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17ー\2016-17アルペンポイントリストNO.3修正版\"/>
    </mc:Choice>
  </mc:AlternateContent>
  <bookViews>
    <workbookView xWindow="600" yWindow="90" windowWidth="19395" windowHeight="7365" xr2:uid="{00000000-000D-0000-FFFF-FFFF00000000}"/>
  </bookViews>
  <sheets>
    <sheet name="男子ＳＬ" sheetId="3" r:id="rId1"/>
  </sheets>
  <definedNames>
    <definedName name="_xlnm._FilterDatabase" localSheetId="0" hidden="1">男子ＳＬ!$A$2:$AD$1087</definedName>
  </definedNames>
  <calcPr calcId="171027"/>
</workbook>
</file>

<file path=xl/calcChain.xml><?xml version="1.0" encoding="utf-8"?>
<calcChain xmlns="http://schemas.openxmlformats.org/spreadsheetml/2006/main">
  <c r="K4" i="3" l="1"/>
  <c r="U1087" i="3" l="1"/>
  <c r="E1087" i="3"/>
  <c r="U1086" i="3"/>
  <c r="E1086" i="3"/>
  <c r="K1085" i="3"/>
  <c r="E1085" i="3"/>
  <c r="U1084" i="3"/>
  <c r="E1084" i="3"/>
  <c r="U1083" i="3"/>
  <c r="E1083" i="3"/>
  <c r="K1082" i="3"/>
  <c r="E1082" i="3"/>
  <c r="U1081" i="3"/>
  <c r="E1081" i="3"/>
  <c r="U1080" i="3"/>
  <c r="E1080" i="3"/>
  <c r="U1079" i="3"/>
  <c r="E1079" i="3"/>
  <c r="U1078" i="3"/>
  <c r="R1078" i="3"/>
  <c r="E1078" i="3"/>
  <c r="U1077" i="3"/>
  <c r="E1077" i="3"/>
  <c r="AB1076" i="3"/>
  <c r="U1076" i="3"/>
  <c r="E1076" i="3"/>
  <c r="U1075" i="3"/>
  <c r="K1075" i="3"/>
  <c r="E1075" i="3"/>
  <c r="U1074" i="3"/>
  <c r="E1074" i="3"/>
  <c r="U1073" i="3"/>
  <c r="E1073" i="3"/>
  <c r="U1072" i="3"/>
  <c r="K1072" i="3"/>
  <c r="E1072" i="3"/>
  <c r="U1071" i="3"/>
  <c r="E1071" i="3"/>
  <c r="U1070" i="3"/>
  <c r="E1070" i="3"/>
  <c r="U1069" i="3"/>
  <c r="E1069" i="3"/>
  <c r="U1068" i="3"/>
  <c r="E1068" i="3"/>
  <c r="U1067" i="3"/>
  <c r="E1067" i="3"/>
  <c r="U1066" i="3"/>
  <c r="R1066" i="3"/>
  <c r="E1066" i="3"/>
  <c r="U1065" i="3"/>
  <c r="E1065" i="3"/>
  <c r="Y1064" i="3"/>
  <c r="U1064" i="3"/>
  <c r="E1064" i="3"/>
  <c r="K1063" i="3"/>
  <c r="E1063" i="3"/>
  <c r="U1062" i="3"/>
  <c r="E1062" i="3"/>
  <c r="U1061" i="3"/>
  <c r="E1061" i="3"/>
  <c r="U1060" i="3"/>
  <c r="E1060" i="3"/>
  <c r="K1059" i="3"/>
  <c r="E1059" i="3"/>
  <c r="U1058" i="3"/>
  <c r="E1058" i="3"/>
  <c r="K1057" i="3"/>
  <c r="E1057" i="3"/>
  <c r="U1056" i="3"/>
  <c r="E1056" i="3"/>
  <c r="AB1055" i="3"/>
  <c r="U1055" i="3"/>
  <c r="E1055" i="3"/>
  <c r="K1054" i="3"/>
  <c r="E1054" i="3"/>
  <c r="U1053" i="3"/>
  <c r="E1053" i="3"/>
  <c r="U1052" i="3"/>
  <c r="E1052" i="3"/>
  <c r="U1051" i="3"/>
  <c r="E1051" i="3"/>
  <c r="U1050" i="3"/>
  <c r="K1050" i="3"/>
  <c r="E1050" i="3"/>
  <c r="U1049" i="3"/>
  <c r="E1049" i="3"/>
  <c r="U1048" i="3"/>
  <c r="E1048" i="3"/>
  <c r="U1047" i="3"/>
  <c r="E1047" i="3"/>
  <c r="U1046" i="3"/>
  <c r="K1046" i="3"/>
  <c r="E1046" i="3"/>
  <c r="U1045" i="3"/>
  <c r="K1045" i="3"/>
  <c r="E1045" i="3"/>
  <c r="U1044" i="3"/>
  <c r="E1044" i="3"/>
  <c r="U1043" i="3"/>
  <c r="K1043" i="3"/>
  <c r="E1043" i="3"/>
  <c r="AB1042" i="3"/>
  <c r="U1042" i="3"/>
  <c r="E1042" i="3"/>
  <c r="U1041" i="3"/>
  <c r="E1041" i="3"/>
  <c r="K1039" i="3"/>
  <c r="E1039" i="3"/>
  <c r="U1038" i="3"/>
  <c r="E1038" i="3"/>
  <c r="U1037" i="3"/>
  <c r="K1037" i="3"/>
  <c r="E1037" i="3"/>
  <c r="U1036" i="3"/>
  <c r="K1036" i="3"/>
  <c r="E1036" i="3"/>
  <c r="U1035" i="3"/>
  <c r="E1035" i="3"/>
  <c r="AB1034" i="3"/>
  <c r="U1034" i="3"/>
  <c r="E1034" i="3"/>
  <c r="U1033" i="3"/>
  <c r="K1033" i="3"/>
  <c r="E1033" i="3"/>
  <c r="Y1032" i="3"/>
  <c r="U1032" i="3"/>
  <c r="E1032" i="3"/>
  <c r="K1031" i="3"/>
  <c r="E1031" i="3"/>
  <c r="U1030" i="3"/>
  <c r="K1030" i="3"/>
  <c r="E1030" i="3"/>
  <c r="AC1029" i="3"/>
  <c r="E1029" i="3"/>
  <c r="U1028" i="3"/>
  <c r="K1028" i="3"/>
  <c r="E1028" i="3"/>
  <c r="U1027" i="3"/>
  <c r="K1027" i="3"/>
  <c r="E1027" i="3"/>
  <c r="U1026" i="3"/>
  <c r="K1026" i="3"/>
  <c r="E1026" i="3"/>
  <c r="U1025" i="3"/>
  <c r="K1025" i="3"/>
  <c r="E1025" i="3"/>
  <c r="U1024" i="3"/>
  <c r="R1024" i="3"/>
  <c r="K1024" i="3"/>
  <c r="E1024" i="3"/>
  <c r="U1023" i="3"/>
  <c r="K1023" i="3"/>
  <c r="E1023" i="3"/>
  <c r="K1022" i="3"/>
  <c r="E1022" i="3"/>
  <c r="U1021" i="3"/>
  <c r="K1021" i="3"/>
  <c r="E1021" i="3"/>
  <c r="K1020" i="3"/>
  <c r="E1020" i="3"/>
  <c r="U1019" i="3"/>
  <c r="R1019" i="3"/>
  <c r="E1019" i="3"/>
  <c r="U1018" i="3"/>
  <c r="K1018" i="3"/>
  <c r="E1018" i="3"/>
  <c r="U1017" i="3"/>
  <c r="E1017" i="3"/>
  <c r="K1016" i="3"/>
  <c r="E1016" i="3"/>
  <c r="U1015" i="3"/>
  <c r="E1015" i="3"/>
  <c r="AB1014" i="3"/>
  <c r="U1014" i="3"/>
  <c r="K1014" i="3"/>
  <c r="E1014" i="3"/>
  <c r="K1013" i="3"/>
  <c r="E1013" i="3"/>
  <c r="U1012" i="3"/>
  <c r="K1012" i="3"/>
  <c r="E1012" i="3"/>
  <c r="AC1011" i="3"/>
  <c r="U1011" i="3"/>
  <c r="E1011" i="3"/>
  <c r="U1010" i="3"/>
  <c r="K1010" i="3"/>
  <c r="E1010" i="3"/>
  <c r="P1009" i="3"/>
  <c r="K1009" i="3"/>
  <c r="E1009" i="3"/>
  <c r="U1008" i="3"/>
  <c r="K1008" i="3"/>
  <c r="E1008" i="3"/>
  <c r="U1007" i="3"/>
  <c r="R1007" i="3"/>
  <c r="E1007" i="3"/>
  <c r="AB1006" i="3"/>
  <c r="U1006" i="3"/>
  <c r="K1006" i="3"/>
  <c r="E1006" i="3"/>
  <c r="AC1005" i="3"/>
  <c r="U1005" i="3"/>
  <c r="K1005" i="3"/>
  <c r="E1005" i="3"/>
  <c r="K1004" i="3"/>
  <c r="E1004" i="3"/>
  <c r="R1003" i="3"/>
  <c r="E1003" i="3"/>
  <c r="AB1002" i="3"/>
  <c r="U1002" i="3"/>
  <c r="K1002" i="3"/>
  <c r="E1002" i="3"/>
  <c r="K1001" i="3"/>
  <c r="E1001" i="3"/>
  <c r="U1000" i="3"/>
  <c r="K1000" i="3"/>
  <c r="E1000" i="3"/>
  <c r="U999" i="3"/>
  <c r="K999" i="3"/>
  <c r="E999" i="3"/>
  <c r="K998" i="3"/>
  <c r="E998" i="3"/>
  <c r="AC997" i="3"/>
  <c r="U997" i="3"/>
  <c r="E997" i="3"/>
  <c r="U996" i="3"/>
  <c r="K996" i="3"/>
  <c r="E996" i="3"/>
  <c r="AB995" i="3"/>
  <c r="U995" i="3"/>
  <c r="K995" i="3"/>
  <c r="E995" i="3"/>
  <c r="U994" i="3"/>
  <c r="R994" i="3"/>
  <c r="K994" i="3"/>
  <c r="E994" i="3"/>
  <c r="AB993" i="3"/>
  <c r="U993" i="3"/>
  <c r="K993" i="3"/>
  <c r="E993" i="3"/>
  <c r="K992" i="3"/>
  <c r="E992" i="3"/>
  <c r="AB991" i="3"/>
  <c r="U991" i="3"/>
  <c r="K991" i="3"/>
  <c r="E991" i="3"/>
  <c r="AB990" i="3"/>
  <c r="U990" i="3"/>
  <c r="E990" i="3"/>
  <c r="K989" i="3"/>
  <c r="E989" i="3"/>
  <c r="AC988" i="3"/>
  <c r="U988" i="3"/>
  <c r="K988" i="3"/>
  <c r="E988" i="3"/>
  <c r="K987" i="3"/>
  <c r="E987" i="3"/>
  <c r="AC986" i="3"/>
  <c r="E986" i="3"/>
  <c r="V985" i="3"/>
  <c r="E985" i="3"/>
  <c r="U984" i="3"/>
  <c r="R984" i="3"/>
  <c r="E984" i="3"/>
  <c r="K983" i="3"/>
  <c r="E983" i="3"/>
  <c r="K982" i="3"/>
  <c r="E982" i="3"/>
  <c r="U981" i="3"/>
  <c r="E981" i="3"/>
  <c r="K980" i="3"/>
  <c r="E980" i="3"/>
  <c r="AC979" i="3"/>
  <c r="U979" i="3"/>
  <c r="K979" i="3"/>
  <c r="E979" i="3"/>
  <c r="Y978" i="3"/>
  <c r="U978" i="3"/>
  <c r="E978" i="3"/>
  <c r="P977" i="3"/>
  <c r="E977" i="3"/>
  <c r="K976" i="3"/>
  <c r="E976" i="3"/>
  <c r="P975" i="3"/>
  <c r="K975" i="3"/>
  <c r="E975" i="3"/>
  <c r="K974" i="3"/>
  <c r="E974" i="3"/>
  <c r="AC973" i="3"/>
  <c r="V973" i="3"/>
  <c r="E973" i="3"/>
  <c r="AB972" i="3"/>
  <c r="U972" i="3"/>
  <c r="K972" i="3"/>
  <c r="E972" i="3"/>
  <c r="U971" i="3"/>
  <c r="R971" i="3"/>
  <c r="K971" i="3"/>
  <c r="E971" i="3"/>
  <c r="AC970" i="3"/>
  <c r="V970" i="3"/>
  <c r="E970" i="3"/>
  <c r="AC969" i="3"/>
  <c r="U969" i="3"/>
  <c r="K969" i="3"/>
  <c r="E969" i="3"/>
  <c r="K968" i="3"/>
  <c r="E968" i="3"/>
  <c r="AC967" i="3"/>
  <c r="U967" i="3"/>
  <c r="K967" i="3"/>
  <c r="E967" i="3"/>
  <c r="K966" i="3"/>
  <c r="E966" i="3"/>
  <c r="V965" i="3"/>
  <c r="K965" i="3"/>
  <c r="E965" i="3"/>
  <c r="K964" i="3"/>
  <c r="E964" i="3"/>
  <c r="U963" i="3"/>
  <c r="K963" i="3"/>
  <c r="E963" i="3"/>
  <c r="K962" i="3"/>
  <c r="E962" i="3"/>
  <c r="R961" i="3"/>
  <c r="K961" i="3"/>
  <c r="E961" i="3"/>
  <c r="AC960" i="3"/>
  <c r="V960" i="3"/>
  <c r="E960" i="3"/>
  <c r="AC959" i="3"/>
  <c r="R959" i="3"/>
  <c r="K959" i="3"/>
  <c r="E959" i="3"/>
  <c r="P958" i="3"/>
  <c r="E958" i="3"/>
  <c r="V957" i="3"/>
  <c r="E957" i="3"/>
  <c r="AC956" i="3"/>
  <c r="L956" i="3"/>
  <c r="K956" i="3"/>
  <c r="E956" i="3"/>
  <c r="K955" i="3"/>
  <c r="E955" i="3"/>
  <c r="U954" i="3"/>
  <c r="K954" i="3"/>
  <c r="E954" i="3"/>
  <c r="X953" i="3"/>
  <c r="U953" i="3"/>
  <c r="K953" i="3"/>
  <c r="E953" i="3"/>
  <c r="U952" i="3"/>
  <c r="K952" i="3"/>
  <c r="E952" i="3"/>
  <c r="AC951" i="3"/>
  <c r="E951" i="3"/>
  <c r="AC950" i="3"/>
  <c r="U950" i="3"/>
  <c r="K950" i="3"/>
  <c r="E950" i="3"/>
  <c r="K949" i="3"/>
  <c r="E949" i="3"/>
  <c r="L948" i="3"/>
  <c r="K948" i="3"/>
  <c r="E948" i="3"/>
  <c r="AC947" i="3"/>
  <c r="U947" i="3"/>
  <c r="K947" i="3"/>
  <c r="E947" i="3"/>
  <c r="AB946" i="3"/>
  <c r="U946" i="3"/>
  <c r="K946" i="3"/>
  <c r="E946" i="3"/>
  <c r="U945" i="3"/>
  <c r="K945" i="3"/>
  <c r="E945" i="3"/>
  <c r="M944" i="3"/>
  <c r="L944" i="3"/>
  <c r="K944" i="3"/>
  <c r="E944" i="3"/>
  <c r="AC943" i="3"/>
  <c r="V943" i="3"/>
  <c r="E943" i="3"/>
  <c r="V942" i="3"/>
  <c r="E942" i="3"/>
  <c r="K941" i="3"/>
  <c r="E941" i="3"/>
  <c r="V940" i="3"/>
  <c r="E940" i="3"/>
  <c r="AC939" i="3"/>
  <c r="V939" i="3"/>
  <c r="E939" i="3"/>
  <c r="AC938" i="3"/>
  <c r="L938" i="3"/>
  <c r="E938" i="3"/>
  <c r="R937" i="3"/>
  <c r="E937" i="3"/>
  <c r="AC936" i="3"/>
  <c r="E936" i="3"/>
  <c r="AC935" i="3"/>
  <c r="E935" i="3"/>
  <c r="U934" i="3"/>
  <c r="K934" i="3"/>
  <c r="E934" i="3"/>
  <c r="AB933" i="3"/>
  <c r="U933" i="3"/>
  <c r="K933" i="3"/>
  <c r="E933" i="3"/>
  <c r="K932" i="3"/>
  <c r="E932" i="3"/>
  <c r="K931" i="3"/>
  <c r="E931" i="3"/>
  <c r="V930" i="3"/>
  <c r="K930" i="3"/>
  <c r="E930" i="3"/>
  <c r="L929" i="3"/>
  <c r="K929" i="3"/>
  <c r="E929" i="3"/>
  <c r="K928" i="3"/>
  <c r="E928" i="3"/>
  <c r="AB927" i="3"/>
  <c r="U927" i="3"/>
  <c r="K927" i="3"/>
  <c r="E927" i="3"/>
  <c r="AC926" i="3"/>
  <c r="K926" i="3"/>
  <c r="E926" i="3"/>
  <c r="V925" i="3"/>
  <c r="L925" i="3"/>
  <c r="K925" i="3"/>
  <c r="E925" i="3"/>
  <c r="P924" i="3"/>
  <c r="E924" i="3"/>
  <c r="P922" i="3"/>
  <c r="E922" i="3"/>
  <c r="AC921" i="3"/>
  <c r="V921" i="3"/>
  <c r="E921" i="3"/>
  <c r="K920" i="3"/>
  <c r="E920" i="3"/>
  <c r="AC919" i="3"/>
  <c r="E919" i="3"/>
  <c r="V918" i="3"/>
  <c r="L918" i="3"/>
  <c r="K918" i="3"/>
  <c r="E918" i="3"/>
  <c r="AC917" i="3"/>
  <c r="E917" i="3"/>
  <c r="V916" i="3"/>
  <c r="E916" i="3"/>
  <c r="AC915" i="3"/>
  <c r="M915" i="3"/>
  <c r="L915" i="3"/>
  <c r="K915" i="3"/>
  <c r="E915" i="3"/>
  <c r="V914" i="3"/>
  <c r="K914" i="3"/>
  <c r="E914" i="3"/>
  <c r="AC913" i="3"/>
  <c r="AA913" i="3"/>
  <c r="L913" i="3"/>
  <c r="E913" i="3"/>
  <c r="U912" i="3"/>
  <c r="R912" i="3"/>
  <c r="K912" i="3"/>
  <c r="E912" i="3"/>
  <c r="AC911" i="3"/>
  <c r="E911" i="3"/>
  <c r="K910" i="3"/>
  <c r="E910" i="3"/>
  <c r="AC909" i="3"/>
  <c r="K909" i="3"/>
  <c r="E909" i="3"/>
  <c r="AC908" i="3"/>
  <c r="V908" i="3"/>
  <c r="E908" i="3"/>
  <c r="V907" i="3"/>
  <c r="E907" i="3"/>
  <c r="AC906" i="3"/>
  <c r="V906" i="3"/>
  <c r="E906" i="3"/>
  <c r="T905" i="3"/>
  <c r="K905" i="3"/>
  <c r="E905" i="3"/>
  <c r="K904" i="3"/>
  <c r="E904" i="3"/>
  <c r="AC903" i="3"/>
  <c r="L903" i="3"/>
  <c r="E903" i="3"/>
  <c r="AC902" i="3"/>
  <c r="M902" i="3"/>
  <c r="L902" i="3"/>
  <c r="K902" i="3"/>
  <c r="E902" i="3"/>
  <c r="R901" i="3"/>
  <c r="E901" i="3"/>
  <c r="AC900" i="3"/>
  <c r="V900" i="3"/>
  <c r="L900" i="3"/>
  <c r="E900" i="3"/>
  <c r="K899" i="3"/>
  <c r="E899" i="3"/>
  <c r="K898" i="3"/>
  <c r="E898" i="3"/>
  <c r="K897" i="3"/>
  <c r="E897" i="3"/>
  <c r="Y896" i="3"/>
  <c r="M896" i="3"/>
  <c r="L896" i="3"/>
  <c r="E896" i="3"/>
  <c r="M895" i="3"/>
  <c r="L895" i="3"/>
  <c r="K895" i="3"/>
  <c r="E895" i="3"/>
  <c r="AC894" i="3"/>
  <c r="L894" i="3"/>
  <c r="E894" i="3"/>
  <c r="AC893" i="3"/>
  <c r="V893" i="3"/>
  <c r="E893" i="3"/>
  <c r="AC892" i="3"/>
  <c r="V892" i="3"/>
  <c r="E892" i="3"/>
  <c r="K891" i="3"/>
  <c r="E891" i="3"/>
  <c r="P890" i="3"/>
  <c r="E890" i="3"/>
  <c r="M889" i="3"/>
  <c r="L889" i="3"/>
  <c r="K889" i="3"/>
  <c r="E889" i="3"/>
  <c r="K888" i="3"/>
  <c r="E888" i="3"/>
  <c r="K887" i="3"/>
  <c r="E887" i="3"/>
  <c r="K886" i="3"/>
  <c r="E886" i="3"/>
  <c r="K885" i="3"/>
  <c r="E885" i="3"/>
  <c r="U884" i="3"/>
  <c r="R884" i="3"/>
  <c r="K884" i="3"/>
  <c r="E884" i="3"/>
  <c r="M883" i="3"/>
  <c r="L883" i="3"/>
  <c r="K883" i="3"/>
  <c r="E883" i="3"/>
  <c r="M882" i="3"/>
  <c r="L882" i="3"/>
  <c r="K882" i="3"/>
  <c r="E882" i="3"/>
  <c r="AB881" i="3"/>
  <c r="U881" i="3"/>
  <c r="K881" i="3"/>
  <c r="E881" i="3"/>
  <c r="AC880" i="3"/>
  <c r="V880" i="3"/>
  <c r="E880" i="3"/>
  <c r="K879" i="3"/>
  <c r="E879" i="3"/>
  <c r="AB878" i="3"/>
  <c r="E878" i="3"/>
  <c r="K877" i="3"/>
  <c r="E877" i="3"/>
  <c r="AC876" i="3"/>
  <c r="V876" i="3"/>
  <c r="L876" i="3"/>
  <c r="E876" i="3"/>
  <c r="AC875" i="3"/>
  <c r="E875" i="3"/>
  <c r="L874" i="3"/>
  <c r="K874" i="3"/>
  <c r="E874" i="3"/>
  <c r="P873" i="3"/>
  <c r="K873" i="3"/>
  <c r="E873" i="3"/>
  <c r="AC872" i="3"/>
  <c r="V872" i="3"/>
  <c r="E872" i="3"/>
  <c r="AB871" i="3"/>
  <c r="U871" i="3"/>
  <c r="K871" i="3"/>
  <c r="E871" i="3"/>
  <c r="K870" i="3"/>
  <c r="E870" i="3"/>
  <c r="AC869" i="3"/>
  <c r="V869" i="3"/>
  <c r="E869" i="3"/>
  <c r="AC868" i="3"/>
  <c r="V868" i="3"/>
  <c r="E868" i="3"/>
  <c r="AC867" i="3"/>
  <c r="U867" i="3"/>
  <c r="K867" i="3"/>
  <c r="E867" i="3"/>
  <c r="K866" i="3"/>
  <c r="E866" i="3"/>
  <c r="K865" i="3"/>
  <c r="E865" i="3"/>
  <c r="AC864" i="3"/>
  <c r="AB864" i="3"/>
  <c r="U864" i="3"/>
  <c r="E864" i="3"/>
  <c r="K863" i="3"/>
  <c r="E863" i="3"/>
  <c r="K862" i="3"/>
  <c r="E862" i="3"/>
  <c r="AC861" i="3"/>
  <c r="E861" i="3"/>
  <c r="X860" i="3"/>
  <c r="E860" i="3"/>
  <c r="U859" i="3"/>
  <c r="R859" i="3"/>
  <c r="K859" i="3"/>
  <c r="E859" i="3"/>
  <c r="P858" i="3"/>
  <c r="E858" i="3"/>
  <c r="P857" i="3"/>
  <c r="E857" i="3"/>
  <c r="V856" i="3"/>
  <c r="M856" i="3"/>
  <c r="L856" i="3"/>
  <c r="K856" i="3"/>
  <c r="E856" i="3"/>
  <c r="AC855" i="3"/>
  <c r="V855" i="3"/>
  <c r="E855" i="3"/>
  <c r="V854" i="3"/>
  <c r="E854" i="3"/>
  <c r="AA853" i="3"/>
  <c r="K853" i="3"/>
  <c r="E853" i="3"/>
  <c r="U852" i="3"/>
  <c r="K852" i="3"/>
  <c r="E852" i="3"/>
  <c r="K851" i="3"/>
  <c r="E851" i="3"/>
  <c r="K850" i="3"/>
  <c r="E850" i="3"/>
  <c r="K849" i="3"/>
  <c r="E849" i="3"/>
  <c r="P848" i="3"/>
  <c r="E848" i="3"/>
  <c r="W847" i="3"/>
  <c r="V847" i="3"/>
  <c r="K847" i="3"/>
  <c r="E847" i="3"/>
  <c r="K846" i="3"/>
  <c r="E846" i="3"/>
  <c r="K845" i="3"/>
  <c r="E845" i="3"/>
  <c r="K844" i="3"/>
  <c r="E844" i="3"/>
  <c r="Y843" i="3"/>
  <c r="K843" i="3"/>
  <c r="E843" i="3"/>
  <c r="AC842" i="3"/>
  <c r="L842" i="3"/>
  <c r="E842" i="3"/>
  <c r="K841" i="3"/>
  <c r="E841" i="3"/>
  <c r="K840" i="3"/>
  <c r="E840" i="3"/>
  <c r="K839" i="3"/>
  <c r="E839" i="3"/>
  <c r="P838" i="3"/>
  <c r="K838" i="3"/>
  <c r="E838" i="3"/>
  <c r="V837" i="3"/>
  <c r="K837" i="3"/>
  <c r="E837" i="3"/>
  <c r="AC836" i="3"/>
  <c r="V836" i="3"/>
  <c r="K836" i="3"/>
  <c r="E836" i="3"/>
  <c r="M835" i="3"/>
  <c r="L835" i="3"/>
  <c r="K835" i="3"/>
  <c r="E835" i="3"/>
  <c r="AC834" i="3"/>
  <c r="U834" i="3"/>
  <c r="R834" i="3"/>
  <c r="K834" i="3"/>
  <c r="E834" i="3"/>
  <c r="P833" i="3"/>
  <c r="K833" i="3"/>
  <c r="E833" i="3"/>
  <c r="K832" i="3"/>
  <c r="E832" i="3"/>
  <c r="K831" i="3"/>
  <c r="E831" i="3"/>
  <c r="AC830" i="3"/>
  <c r="E830" i="3"/>
  <c r="AC829" i="3"/>
  <c r="V829" i="3"/>
  <c r="E829" i="3"/>
  <c r="L828" i="3"/>
  <c r="K828" i="3"/>
  <c r="E828" i="3"/>
  <c r="P827" i="3"/>
  <c r="K827" i="3"/>
  <c r="E827" i="3"/>
  <c r="M826" i="3"/>
  <c r="L826" i="3"/>
  <c r="K826" i="3"/>
  <c r="E826" i="3"/>
  <c r="AB825" i="3"/>
  <c r="U825" i="3"/>
  <c r="K825" i="3"/>
  <c r="E825" i="3"/>
  <c r="X824" i="3"/>
  <c r="U824" i="3"/>
  <c r="R824" i="3"/>
  <c r="K824" i="3"/>
  <c r="E824" i="3"/>
  <c r="P823" i="3"/>
  <c r="E823" i="3"/>
  <c r="V822" i="3"/>
  <c r="K822" i="3"/>
  <c r="E822" i="3"/>
  <c r="X821" i="3"/>
  <c r="U821" i="3"/>
  <c r="Q821" i="3"/>
  <c r="E821" i="3"/>
  <c r="K820" i="3"/>
  <c r="E820" i="3"/>
  <c r="L819" i="3"/>
  <c r="K819" i="3"/>
  <c r="E819" i="3"/>
  <c r="Y818" i="3"/>
  <c r="P818" i="3"/>
  <c r="K818" i="3"/>
  <c r="E818" i="3"/>
  <c r="Y817" i="3"/>
  <c r="U817" i="3"/>
  <c r="K817" i="3"/>
  <c r="E817" i="3"/>
  <c r="M816" i="3"/>
  <c r="L816" i="3"/>
  <c r="K816" i="3"/>
  <c r="E816" i="3"/>
  <c r="K815" i="3"/>
  <c r="E815" i="3"/>
  <c r="W814" i="3"/>
  <c r="V814" i="3"/>
  <c r="K814" i="3"/>
  <c r="E814" i="3"/>
  <c r="AC813" i="3"/>
  <c r="V813" i="3"/>
  <c r="K813" i="3"/>
  <c r="E813" i="3"/>
  <c r="K812" i="3"/>
  <c r="E812" i="3"/>
  <c r="K811" i="3"/>
  <c r="E811" i="3"/>
  <c r="AC810" i="3"/>
  <c r="L810" i="3"/>
  <c r="E810" i="3"/>
  <c r="AC809" i="3"/>
  <c r="V809" i="3"/>
  <c r="L809" i="3"/>
  <c r="K809" i="3"/>
  <c r="E809" i="3"/>
  <c r="K808" i="3"/>
  <c r="E808" i="3"/>
  <c r="U807" i="3"/>
  <c r="K807" i="3"/>
  <c r="E807" i="3"/>
  <c r="L806" i="3"/>
  <c r="E806" i="3"/>
  <c r="K805" i="3"/>
  <c r="E805" i="3"/>
  <c r="K804" i="3"/>
  <c r="E804" i="3"/>
  <c r="V803" i="3"/>
  <c r="K803" i="3"/>
  <c r="E803" i="3"/>
  <c r="V802" i="3"/>
  <c r="L802" i="3"/>
  <c r="E802" i="3"/>
  <c r="K801" i="3"/>
  <c r="E801" i="3"/>
  <c r="K800" i="3"/>
  <c r="E800" i="3"/>
  <c r="W799" i="3"/>
  <c r="K799" i="3"/>
  <c r="E799" i="3"/>
  <c r="M798" i="3"/>
  <c r="L798" i="3"/>
  <c r="K798" i="3"/>
  <c r="E798" i="3"/>
  <c r="V797" i="3"/>
  <c r="M797" i="3"/>
  <c r="L797" i="3"/>
  <c r="K797" i="3"/>
  <c r="E797" i="3"/>
  <c r="M796" i="3"/>
  <c r="K796" i="3"/>
  <c r="E796" i="3"/>
  <c r="K795" i="3"/>
  <c r="E795" i="3"/>
  <c r="K794" i="3"/>
  <c r="E794" i="3"/>
  <c r="V793" i="3"/>
  <c r="E793" i="3"/>
  <c r="X792" i="3"/>
  <c r="K792" i="3"/>
  <c r="E792" i="3"/>
  <c r="AC791" i="3"/>
  <c r="E791" i="3"/>
  <c r="K790" i="3"/>
  <c r="E790" i="3"/>
  <c r="AA789" i="3"/>
  <c r="V789" i="3"/>
  <c r="K789" i="3"/>
  <c r="E789" i="3"/>
  <c r="AB788" i="3"/>
  <c r="E788" i="3"/>
  <c r="AA787" i="3"/>
  <c r="K787" i="3"/>
  <c r="E787" i="3"/>
  <c r="V786" i="3"/>
  <c r="E786" i="3"/>
  <c r="K785" i="3"/>
  <c r="E785" i="3"/>
  <c r="P784" i="3"/>
  <c r="K784" i="3"/>
  <c r="E784" i="3"/>
  <c r="AA783" i="3"/>
  <c r="V783" i="3"/>
  <c r="L783" i="3"/>
  <c r="K783" i="3"/>
  <c r="E783" i="3"/>
  <c r="K782" i="3"/>
  <c r="E782" i="3"/>
  <c r="W781" i="3"/>
  <c r="V781" i="3"/>
  <c r="M781" i="3"/>
  <c r="L781" i="3"/>
  <c r="K781" i="3"/>
  <c r="E781" i="3"/>
  <c r="K780" i="3"/>
  <c r="E780" i="3"/>
  <c r="K779" i="3"/>
  <c r="E779" i="3"/>
  <c r="K778" i="3"/>
  <c r="E778" i="3"/>
  <c r="AC777" i="3"/>
  <c r="V777" i="3"/>
  <c r="L777" i="3"/>
  <c r="K777" i="3"/>
  <c r="E777" i="3"/>
  <c r="K776" i="3"/>
  <c r="E776" i="3"/>
  <c r="K775" i="3"/>
  <c r="E775" i="3"/>
  <c r="K774" i="3"/>
  <c r="E774" i="3"/>
  <c r="AC773" i="3"/>
  <c r="V773" i="3"/>
  <c r="M773" i="3"/>
  <c r="L773" i="3"/>
  <c r="E773" i="3"/>
  <c r="X772" i="3"/>
  <c r="S772" i="3"/>
  <c r="K772" i="3"/>
  <c r="E772" i="3"/>
  <c r="V771" i="3"/>
  <c r="K771" i="3"/>
  <c r="E771" i="3"/>
  <c r="K770" i="3"/>
  <c r="E770" i="3"/>
  <c r="K769" i="3"/>
  <c r="E769" i="3"/>
  <c r="X768" i="3"/>
  <c r="K768" i="3"/>
  <c r="E768" i="3"/>
  <c r="K767" i="3"/>
  <c r="E767" i="3"/>
  <c r="K766" i="3"/>
  <c r="E766" i="3"/>
  <c r="K765" i="3"/>
  <c r="E765" i="3"/>
  <c r="K764" i="3"/>
  <c r="E764" i="3"/>
  <c r="Y763" i="3"/>
  <c r="K763" i="3"/>
  <c r="E763" i="3"/>
  <c r="W762" i="3"/>
  <c r="V762" i="3"/>
  <c r="M762" i="3"/>
  <c r="L762" i="3"/>
  <c r="K762" i="3"/>
  <c r="E762" i="3"/>
  <c r="M761" i="3"/>
  <c r="L761" i="3"/>
  <c r="K761" i="3"/>
  <c r="E761" i="3"/>
  <c r="X760" i="3"/>
  <c r="E760" i="3"/>
  <c r="T759" i="3"/>
  <c r="K759" i="3"/>
  <c r="E759" i="3"/>
  <c r="K758" i="3"/>
  <c r="E758" i="3"/>
  <c r="K757" i="3"/>
  <c r="E757" i="3"/>
  <c r="V756" i="3"/>
  <c r="M756" i="3"/>
  <c r="L756" i="3"/>
  <c r="K756" i="3"/>
  <c r="E756" i="3"/>
  <c r="V755" i="3"/>
  <c r="M755" i="3"/>
  <c r="L755" i="3"/>
  <c r="K755" i="3"/>
  <c r="E755" i="3"/>
  <c r="U754" i="3"/>
  <c r="K754" i="3"/>
  <c r="E754" i="3"/>
  <c r="X753" i="3"/>
  <c r="E753" i="3"/>
  <c r="K752" i="3"/>
  <c r="E752" i="3"/>
  <c r="K751" i="3"/>
  <c r="E751" i="3"/>
  <c r="Z750" i="3"/>
  <c r="K750" i="3"/>
  <c r="E750" i="3"/>
  <c r="M749" i="3"/>
  <c r="L749" i="3"/>
  <c r="K749" i="3"/>
  <c r="E749" i="3"/>
  <c r="W748" i="3"/>
  <c r="V748" i="3"/>
  <c r="M748" i="3"/>
  <c r="L748" i="3"/>
  <c r="K748" i="3"/>
  <c r="E748" i="3"/>
  <c r="X747" i="3"/>
  <c r="E747" i="3"/>
  <c r="AC746" i="3"/>
  <c r="W746" i="3"/>
  <c r="V746" i="3"/>
  <c r="M746" i="3"/>
  <c r="L746" i="3"/>
  <c r="K746" i="3"/>
  <c r="E746" i="3"/>
  <c r="V745" i="3"/>
  <c r="K745" i="3"/>
  <c r="E745" i="3"/>
  <c r="K744" i="3"/>
  <c r="E744" i="3"/>
  <c r="AA743" i="3"/>
  <c r="K743" i="3"/>
  <c r="E743" i="3"/>
  <c r="U742" i="3"/>
  <c r="K742" i="3"/>
  <c r="E742" i="3"/>
  <c r="X741" i="3"/>
  <c r="E741" i="3"/>
  <c r="AA740" i="3"/>
  <c r="V740" i="3"/>
  <c r="M740" i="3"/>
  <c r="L740" i="3"/>
  <c r="K740" i="3"/>
  <c r="E740" i="3"/>
  <c r="AA739" i="3"/>
  <c r="W739" i="3"/>
  <c r="V739" i="3"/>
  <c r="M739" i="3"/>
  <c r="L739" i="3"/>
  <c r="E739" i="3"/>
  <c r="T738" i="3"/>
  <c r="K738" i="3"/>
  <c r="E738" i="3"/>
  <c r="K737" i="3"/>
  <c r="E737" i="3"/>
  <c r="X736" i="3"/>
  <c r="U736" i="3"/>
  <c r="E736" i="3"/>
  <c r="K735" i="3"/>
  <c r="E735" i="3"/>
  <c r="V734" i="3"/>
  <c r="L734" i="3"/>
  <c r="K734" i="3"/>
  <c r="E734" i="3"/>
  <c r="P733" i="3"/>
  <c r="K733" i="3"/>
  <c r="E733" i="3"/>
  <c r="W732" i="3"/>
  <c r="V732" i="3"/>
  <c r="K732" i="3"/>
  <c r="E732" i="3"/>
  <c r="K731" i="3"/>
  <c r="E731" i="3"/>
  <c r="T730" i="3"/>
  <c r="K730" i="3"/>
  <c r="E730" i="3"/>
  <c r="K729" i="3"/>
  <c r="E729" i="3"/>
  <c r="K728" i="3"/>
  <c r="E728" i="3"/>
  <c r="K727" i="3"/>
  <c r="E727" i="3"/>
  <c r="AB726" i="3"/>
  <c r="U726" i="3"/>
  <c r="R726" i="3"/>
  <c r="K726" i="3"/>
  <c r="E726" i="3"/>
  <c r="AC725" i="3"/>
  <c r="L725" i="3"/>
  <c r="K725" i="3"/>
  <c r="E725" i="3"/>
  <c r="AC724" i="3"/>
  <c r="AB724" i="3"/>
  <c r="U724" i="3"/>
  <c r="K724" i="3"/>
  <c r="E724" i="3"/>
  <c r="V723" i="3"/>
  <c r="E723" i="3"/>
  <c r="AC722" i="3"/>
  <c r="V722" i="3"/>
  <c r="E722" i="3"/>
  <c r="K721" i="3"/>
  <c r="E721" i="3"/>
  <c r="X720" i="3"/>
  <c r="K720" i="3"/>
  <c r="E720" i="3"/>
  <c r="K719" i="3"/>
  <c r="E719" i="3"/>
  <c r="V718" i="3"/>
  <c r="S718" i="3"/>
  <c r="E718" i="3"/>
  <c r="P717" i="3"/>
  <c r="K717" i="3"/>
  <c r="E717" i="3"/>
  <c r="V716" i="3"/>
  <c r="L716" i="3"/>
  <c r="K716" i="3"/>
  <c r="E716" i="3"/>
  <c r="O715" i="3"/>
  <c r="K715" i="3"/>
  <c r="E715" i="3"/>
  <c r="M714" i="3"/>
  <c r="K714" i="3"/>
  <c r="E714" i="3"/>
  <c r="T713" i="3"/>
  <c r="K713" i="3"/>
  <c r="E713" i="3"/>
  <c r="T712" i="3"/>
  <c r="K712" i="3"/>
  <c r="E712" i="3"/>
  <c r="K711" i="3"/>
  <c r="E711" i="3"/>
  <c r="X710" i="3"/>
  <c r="K710" i="3"/>
  <c r="E710" i="3"/>
  <c r="AC709" i="3"/>
  <c r="AB709" i="3"/>
  <c r="U709" i="3"/>
  <c r="K709" i="3"/>
  <c r="E709" i="3"/>
  <c r="Y708" i="3"/>
  <c r="X708" i="3"/>
  <c r="K708" i="3"/>
  <c r="E708" i="3"/>
  <c r="Y707" i="3"/>
  <c r="E707" i="3"/>
  <c r="K706" i="3"/>
  <c r="E706" i="3"/>
  <c r="K705" i="3"/>
  <c r="E705" i="3"/>
  <c r="K704" i="3"/>
  <c r="E704" i="3"/>
  <c r="L703" i="3"/>
  <c r="K703" i="3"/>
  <c r="E703" i="3"/>
  <c r="P702" i="3"/>
  <c r="K702" i="3"/>
  <c r="E702" i="3"/>
  <c r="AA701" i="3"/>
  <c r="E701" i="3"/>
  <c r="AB700" i="3"/>
  <c r="U700" i="3"/>
  <c r="E700" i="3"/>
  <c r="O699" i="3"/>
  <c r="K699" i="3"/>
  <c r="E699" i="3"/>
  <c r="AD698" i="3"/>
  <c r="AC698" i="3"/>
  <c r="U698" i="3"/>
  <c r="E698" i="3"/>
  <c r="K697" i="3"/>
  <c r="E697" i="3"/>
  <c r="P696" i="3"/>
  <c r="K696" i="3"/>
  <c r="E696" i="3"/>
  <c r="K695" i="3"/>
  <c r="E695" i="3"/>
  <c r="AD694" i="3"/>
  <c r="AC694" i="3"/>
  <c r="L694" i="3"/>
  <c r="K694" i="3"/>
  <c r="E694" i="3"/>
  <c r="W693" i="3"/>
  <c r="V693" i="3"/>
  <c r="L693" i="3"/>
  <c r="K693" i="3"/>
  <c r="E693" i="3"/>
  <c r="AC692" i="3"/>
  <c r="AB692" i="3"/>
  <c r="U692" i="3"/>
  <c r="K692" i="3"/>
  <c r="E692" i="3"/>
  <c r="K691" i="3"/>
  <c r="E691" i="3"/>
  <c r="AD690" i="3"/>
  <c r="AC690" i="3"/>
  <c r="L690" i="3"/>
  <c r="K690" i="3"/>
  <c r="E690" i="3"/>
  <c r="AD689" i="3"/>
  <c r="AC689" i="3"/>
  <c r="V689" i="3"/>
  <c r="M689" i="3"/>
  <c r="L689" i="3"/>
  <c r="K689" i="3"/>
  <c r="E689" i="3"/>
  <c r="U688" i="3"/>
  <c r="K688" i="3"/>
  <c r="E688" i="3"/>
  <c r="K687" i="3"/>
  <c r="E687" i="3"/>
  <c r="W686" i="3"/>
  <c r="V686" i="3"/>
  <c r="L686" i="3"/>
  <c r="K686" i="3"/>
  <c r="E686" i="3"/>
  <c r="U685" i="3"/>
  <c r="R685" i="3"/>
  <c r="Q685" i="3"/>
  <c r="K685" i="3"/>
  <c r="E685" i="3"/>
  <c r="W684" i="3"/>
  <c r="V684" i="3"/>
  <c r="L684" i="3"/>
  <c r="K684" i="3"/>
  <c r="E684" i="3"/>
  <c r="K683" i="3"/>
  <c r="E683" i="3"/>
  <c r="AB682" i="3"/>
  <c r="U682" i="3"/>
  <c r="R682" i="3"/>
  <c r="Q682" i="3"/>
  <c r="K682" i="3"/>
  <c r="E682" i="3"/>
  <c r="K681" i="3"/>
  <c r="E681" i="3"/>
  <c r="K680" i="3"/>
  <c r="E680" i="3"/>
  <c r="O679" i="3"/>
  <c r="K679" i="3"/>
  <c r="E679" i="3"/>
  <c r="AC678" i="3"/>
  <c r="M678" i="3"/>
  <c r="L678" i="3"/>
  <c r="K678" i="3"/>
  <c r="E678" i="3"/>
  <c r="K677" i="3"/>
  <c r="E677" i="3"/>
  <c r="R676" i="3"/>
  <c r="K676" i="3"/>
  <c r="E676" i="3"/>
  <c r="X675" i="3"/>
  <c r="P675" i="3"/>
  <c r="K675" i="3"/>
  <c r="E675" i="3"/>
  <c r="K674" i="3"/>
  <c r="E674" i="3"/>
  <c r="AD673" i="3"/>
  <c r="AC673" i="3"/>
  <c r="W673" i="3"/>
  <c r="V673" i="3"/>
  <c r="K673" i="3"/>
  <c r="E673" i="3"/>
  <c r="K672" i="3"/>
  <c r="E672" i="3"/>
  <c r="V671" i="3"/>
  <c r="M671" i="3"/>
  <c r="L671" i="3"/>
  <c r="K671" i="3"/>
  <c r="E671" i="3"/>
  <c r="K670" i="3"/>
  <c r="E670" i="3"/>
  <c r="S669" i="3"/>
  <c r="K669" i="3"/>
  <c r="E669" i="3"/>
  <c r="K668" i="3"/>
  <c r="E668" i="3"/>
  <c r="W667" i="3"/>
  <c r="V667" i="3"/>
  <c r="M667" i="3"/>
  <c r="L667" i="3"/>
  <c r="K667" i="3"/>
  <c r="E667" i="3"/>
  <c r="K666" i="3"/>
  <c r="E666" i="3"/>
  <c r="K665" i="3"/>
  <c r="E665" i="3"/>
  <c r="O664" i="3"/>
  <c r="K664" i="3"/>
  <c r="E664" i="3"/>
  <c r="K663" i="3"/>
  <c r="E663" i="3"/>
  <c r="S662" i="3"/>
  <c r="K662" i="3"/>
  <c r="E662" i="3"/>
  <c r="AA661" i="3"/>
  <c r="W661" i="3"/>
  <c r="V661" i="3"/>
  <c r="M661" i="3"/>
  <c r="L661" i="3"/>
  <c r="K661" i="3"/>
  <c r="E661" i="3"/>
  <c r="AD660" i="3"/>
  <c r="AC660" i="3"/>
  <c r="K660" i="3"/>
  <c r="E660" i="3"/>
  <c r="Y659" i="3"/>
  <c r="E659" i="3"/>
  <c r="AD658" i="3"/>
  <c r="AC658" i="3"/>
  <c r="V658" i="3"/>
  <c r="M658" i="3"/>
  <c r="L658" i="3"/>
  <c r="E658" i="3"/>
  <c r="AD657" i="3"/>
  <c r="AC657" i="3"/>
  <c r="U657" i="3"/>
  <c r="K657" i="3"/>
  <c r="E657" i="3"/>
  <c r="K656" i="3"/>
  <c r="E656" i="3"/>
  <c r="P655" i="3"/>
  <c r="K655" i="3"/>
  <c r="E655" i="3"/>
  <c r="V654" i="3"/>
  <c r="M654" i="3"/>
  <c r="L654" i="3"/>
  <c r="K654" i="3"/>
  <c r="E654" i="3"/>
  <c r="AB653" i="3"/>
  <c r="U653" i="3"/>
  <c r="K653" i="3"/>
  <c r="E653" i="3"/>
  <c r="W652" i="3"/>
  <c r="V652" i="3"/>
  <c r="K652" i="3"/>
  <c r="E652" i="3"/>
  <c r="AB651" i="3"/>
  <c r="K651" i="3"/>
  <c r="E651" i="3"/>
  <c r="AD650" i="3"/>
  <c r="AC650" i="3"/>
  <c r="W650" i="3"/>
  <c r="V650" i="3"/>
  <c r="E650" i="3"/>
  <c r="K649" i="3"/>
  <c r="E649" i="3"/>
  <c r="M648" i="3"/>
  <c r="L648" i="3"/>
  <c r="K648" i="3"/>
  <c r="E648" i="3"/>
  <c r="W647" i="3"/>
  <c r="K647" i="3"/>
  <c r="E647" i="3"/>
  <c r="K646" i="3"/>
  <c r="E646" i="3"/>
  <c r="AA645" i="3"/>
  <c r="K645" i="3"/>
  <c r="E645" i="3"/>
  <c r="AC644" i="3"/>
  <c r="AB644" i="3"/>
  <c r="U644" i="3"/>
  <c r="K644" i="3"/>
  <c r="E644" i="3"/>
  <c r="T643" i="3"/>
  <c r="K643" i="3"/>
  <c r="E643" i="3"/>
  <c r="V642" i="3"/>
  <c r="E642" i="3"/>
  <c r="AD641" i="3"/>
  <c r="AC641" i="3"/>
  <c r="U641" i="3"/>
  <c r="K641" i="3"/>
  <c r="E641" i="3"/>
  <c r="W640" i="3"/>
  <c r="V640" i="3"/>
  <c r="M640" i="3"/>
  <c r="L640" i="3"/>
  <c r="K640" i="3"/>
  <c r="E640" i="3"/>
  <c r="K639" i="3"/>
  <c r="E639" i="3"/>
  <c r="AD638" i="3"/>
  <c r="AC638" i="3"/>
  <c r="W638" i="3"/>
  <c r="V638" i="3"/>
  <c r="K638" i="3"/>
  <c r="E638" i="3"/>
  <c r="X637" i="3"/>
  <c r="K637" i="3"/>
  <c r="E637" i="3"/>
  <c r="Z636" i="3"/>
  <c r="T636" i="3"/>
  <c r="O636" i="3"/>
  <c r="K636" i="3"/>
  <c r="E636" i="3"/>
  <c r="AD635" i="3"/>
  <c r="AC635" i="3"/>
  <c r="V635" i="3"/>
  <c r="K635" i="3"/>
  <c r="E635" i="3"/>
  <c r="X634" i="3"/>
  <c r="K634" i="3"/>
  <c r="E634" i="3"/>
  <c r="AC633" i="3"/>
  <c r="AB633" i="3"/>
  <c r="U633" i="3"/>
  <c r="K633" i="3"/>
  <c r="E633" i="3"/>
  <c r="K632" i="3"/>
  <c r="E632" i="3"/>
  <c r="AD631" i="3"/>
  <c r="AC631" i="3"/>
  <c r="U631" i="3"/>
  <c r="K631" i="3"/>
  <c r="E631" i="3"/>
  <c r="Y630" i="3"/>
  <c r="U630" i="3"/>
  <c r="Q630" i="3"/>
  <c r="K630" i="3"/>
  <c r="E630" i="3"/>
  <c r="K629" i="3"/>
  <c r="E629" i="3"/>
  <c r="AB628" i="3"/>
  <c r="U628" i="3"/>
  <c r="R628" i="3"/>
  <c r="E628" i="3"/>
  <c r="X627" i="3"/>
  <c r="K627" i="3"/>
  <c r="E627" i="3"/>
  <c r="Z626" i="3"/>
  <c r="O626" i="3"/>
  <c r="K626" i="3"/>
  <c r="E626" i="3"/>
  <c r="AD625" i="3"/>
  <c r="AC625" i="3"/>
  <c r="V625" i="3"/>
  <c r="E625" i="3"/>
  <c r="T624" i="3"/>
  <c r="K624" i="3"/>
  <c r="E624" i="3"/>
  <c r="AA623" i="3"/>
  <c r="X623" i="3"/>
  <c r="S623" i="3"/>
  <c r="K623" i="3"/>
  <c r="E623" i="3"/>
  <c r="W622" i="3"/>
  <c r="V622" i="3"/>
  <c r="L622" i="3"/>
  <c r="K622" i="3"/>
  <c r="E622" i="3"/>
  <c r="K621" i="3"/>
  <c r="E621" i="3"/>
  <c r="AC620" i="3"/>
  <c r="AB620" i="3"/>
  <c r="Y620" i="3"/>
  <c r="K620" i="3"/>
  <c r="E620" i="3"/>
  <c r="S619" i="3"/>
  <c r="E619" i="3"/>
  <c r="K618" i="3"/>
  <c r="E618" i="3"/>
  <c r="K617" i="3"/>
  <c r="E617" i="3"/>
  <c r="AD616" i="3"/>
  <c r="AC616" i="3"/>
  <c r="V616" i="3"/>
  <c r="K616" i="3"/>
  <c r="E616" i="3"/>
  <c r="AD615" i="3"/>
  <c r="AC615" i="3"/>
  <c r="X615" i="3"/>
  <c r="L615" i="3"/>
  <c r="K615" i="3"/>
  <c r="E615" i="3"/>
  <c r="K614" i="3"/>
  <c r="E614" i="3"/>
  <c r="K613" i="3"/>
  <c r="E613" i="3"/>
  <c r="O612" i="3"/>
  <c r="K612" i="3"/>
  <c r="E612" i="3"/>
  <c r="U611" i="3"/>
  <c r="R611" i="3"/>
  <c r="Q611" i="3"/>
  <c r="N611" i="3"/>
  <c r="E611" i="3"/>
  <c r="M610" i="3"/>
  <c r="K610" i="3"/>
  <c r="E610" i="3"/>
  <c r="AC609" i="3"/>
  <c r="W609" i="3"/>
  <c r="V609" i="3"/>
  <c r="K609" i="3"/>
  <c r="E609" i="3"/>
  <c r="AD608" i="3"/>
  <c r="AC608" i="3"/>
  <c r="AB608" i="3"/>
  <c r="K608" i="3"/>
  <c r="E608" i="3"/>
  <c r="K607" i="3"/>
  <c r="E607" i="3"/>
  <c r="P606" i="3"/>
  <c r="K606" i="3"/>
  <c r="E606" i="3"/>
  <c r="K605" i="3"/>
  <c r="E605" i="3"/>
  <c r="W604" i="3"/>
  <c r="V604" i="3"/>
  <c r="M604" i="3"/>
  <c r="L604" i="3"/>
  <c r="K604" i="3"/>
  <c r="E604" i="3"/>
  <c r="S603" i="3"/>
  <c r="E603" i="3"/>
  <c r="AD602" i="3"/>
  <c r="AC602" i="3"/>
  <c r="V602" i="3"/>
  <c r="K602" i="3"/>
  <c r="E602" i="3"/>
  <c r="K601" i="3"/>
  <c r="E601" i="3"/>
  <c r="AD600" i="3"/>
  <c r="AC600" i="3"/>
  <c r="W600" i="3"/>
  <c r="V600" i="3"/>
  <c r="K600" i="3"/>
  <c r="E600" i="3"/>
  <c r="X599" i="3"/>
  <c r="K599" i="3"/>
  <c r="E599" i="3"/>
  <c r="K598" i="3"/>
  <c r="E598" i="3"/>
  <c r="Z597" i="3"/>
  <c r="T597" i="3"/>
  <c r="K597" i="3"/>
  <c r="E597" i="3"/>
  <c r="K596" i="3"/>
  <c r="E596" i="3"/>
  <c r="W595" i="3"/>
  <c r="V595" i="3"/>
  <c r="K595" i="3"/>
  <c r="E595" i="3"/>
  <c r="Z594" i="3"/>
  <c r="K594" i="3"/>
  <c r="E594" i="3"/>
  <c r="K593" i="3"/>
  <c r="E593" i="3"/>
  <c r="K592" i="3"/>
  <c r="E592" i="3"/>
  <c r="O591" i="3"/>
  <c r="K591" i="3"/>
  <c r="E591" i="3"/>
  <c r="AC590" i="3"/>
  <c r="AA590" i="3"/>
  <c r="X590" i="3"/>
  <c r="K590" i="3"/>
  <c r="E590" i="3"/>
  <c r="K589" i="3"/>
  <c r="E589" i="3"/>
  <c r="AD588" i="3"/>
  <c r="AC588" i="3"/>
  <c r="R588" i="3"/>
  <c r="K588" i="3"/>
  <c r="E588" i="3"/>
  <c r="W587" i="3"/>
  <c r="V587" i="3"/>
  <c r="L587" i="3"/>
  <c r="K587" i="3"/>
  <c r="E587" i="3"/>
  <c r="K586" i="3"/>
  <c r="E586" i="3"/>
  <c r="AB585" i="3"/>
  <c r="X585" i="3"/>
  <c r="E585" i="3"/>
  <c r="K584" i="3"/>
  <c r="E584" i="3"/>
  <c r="K583" i="3"/>
  <c r="E583" i="3"/>
  <c r="O582" i="3"/>
  <c r="K582" i="3"/>
  <c r="E582" i="3"/>
  <c r="K581" i="3"/>
  <c r="E581" i="3"/>
  <c r="Q580" i="3"/>
  <c r="K580" i="3"/>
  <c r="E580" i="3"/>
  <c r="AB579" i="3"/>
  <c r="R579" i="3"/>
  <c r="K579" i="3"/>
  <c r="E579" i="3"/>
  <c r="K578" i="3"/>
  <c r="E578" i="3"/>
  <c r="AC577" i="3"/>
  <c r="K577" i="3"/>
  <c r="E577" i="3"/>
  <c r="AA576" i="3"/>
  <c r="K576" i="3"/>
  <c r="E576" i="3"/>
  <c r="K575" i="3"/>
  <c r="E575" i="3"/>
  <c r="W574" i="3"/>
  <c r="V574" i="3"/>
  <c r="L574" i="3"/>
  <c r="K574" i="3"/>
  <c r="E574" i="3"/>
  <c r="K573" i="3"/>
  <c r="E573" i="3"/>
  <c r="K572" i="3"/>
  <c r="E572" i="3"/>
  <c r="K571" i="3"/>
  <c r="E571" i="3"/>
  <c r="K570" i="3"/>
  <c r="E570" i="3"/>
  <c r="AA569" i="3"/>
  <c r="V569" i="3"/>
  <c r="L569" i="3"/>
  <c r="K569" i="3"/>
  <c r="E569" i="3"/>
  <c r="Y568" i="3"/>
  <c r="K568" i="3"/>
  <c r="E568" i="3"/>
  <c r="K567" i="3"/>
  <c r="E567" i="3"/>
  <c r="Z566" i="3"/>
  <c r="O566" i="3"/>
  <c r="K566" i="3"/>
  <c r="E566" i="3"/>
  <c r="V565" i="3"/>
  <c r="K565" i="3"/>
  <c r="E565" i="3"/>
  <c r="AD564" i="3"/>
  <c r="AC564" i="3"/>
  <c r="U564" i="3"/>
  <c r="K564" i="3"/>
  <c r="E564" i="3"/>
  <c r="AD563" i="3"/>
  <c r="AC563" i="3"/>
  <c r="E563" i="3"/>
  <c r="Y562" i="3"/>
  <c r="X562" i="3"/>
  <c r="K562" i="3"/>
  <c r="E562" i="3"/>
  <c r="K561" i="3"/>
  <c r="E561" i="3"/>
  <c r="K560" i="3"/>
  <c r="E560" i="3"/>
  <c r="K559" i="3"/>
  <c r="E559" i="3"/>
  <c r="AD558" i="3"/>
  <c r="AC558" i="3"/>
  <c r="W558" i="3"/>
  <c r="V558" i="3"/>
  <c r="E558" i="3"/>
  <c r="K557" i="3"/>
  <c r="E557" i="3"/>
  <c r="N556" i="3"/>
  <c r="K556" i="3"/>
  <c r="E556" i="3"/>
  <c r="Y555" i="3"/>
  <c r="E555" i="3"/>
  <c r="AC554" i="3"/>
  <c r="V554" i="3"/>
  <c r="K554" i="3"/>
  <c r="E554" i="3"/>
  <c r="K553" i="3"/>
  <c r="E553" i="3"/>
  <c r="R552" i="3"/>
  <c r="E552" i="3"/>
  <c r="U551" i="3"/>
  <c r="R551" i="3"/>
  <c r="K551" i="3"/>
  <c r="E551" i="3"/>
  <c r="K550" i="3"/>
  <c r="E550" i="3"/>
  <c r="Y549" i="3"/>
  <c r="E549" i="3"/>
  <c r="AD548" i="3"/>
  <c r="AC548" i="3"/>
  <c r="W548" i="3"/>
  <c r="V548" i="3"/>
  <c r="L548" i="3"/>
  <c r="K548" i="3"/>
  <c r="E548" i="3"/>
  <c r="K547" i="3"/>
  <c r="E547" i="3"/>
  <c r="V546" i="3"/>
  <c r="K546" i="3"/>
  <c r="E546" i="3"/>
  <c r="T545" i="3"/>
  <c r="K545" i="3"/>
  <c r="E545" i="3"/>
  <c r="V544" i="3"/>
  <c r="L544" i="3"/>
  <c r="K544" i="3"/>
  <c r="E544" i="3"/>
  <c r="AD543" i="3"/>
  <c r="AC543" i="3"/>
  <c r="V543" i="3"/>
  <c r="K543" i="3"/>
  <c r="E543" i="3"/>
  <c r="T542" i="3"/>
  <c r="O542" i="3"/>
  <c r="K542" i="3"/>
  <c r="E542" i="3"/>
  <c r="P541" i="3"/>
  <c r="E541" i="3"/>
  <c r="K540" i="3"/>
  <c r="E540" i="3"/>
  <c r="K539" i="3"/>
  <c r="E539" i="3"/>
  <c r="AA538" i="3"/>
  <c r="S538" i="3"/>
  <c r="K538" i="3"/>
  <c r="E538" i="3"/>
  <c r="O537" i="3"/>
  <c r="K537" i="3"/>
  <c r="E537" i="3"/>
  <c r="K536" i="3"/>
  <c r="E536" i="3"/>
  <c r="K535" i="3"/>
  <c r="E535" i="3"/>
  <c r="K534" i="3"/>
  <c r="E534" i="3"/>
  <c r="O533" i="3"/>
  <c r="K533" i="3"/>
  <c r="E533" i="3"/>
  <c r="K532" i="3"/>
  <c r="E532" i="3"/>
  <c r="Y531" i="3"/>
  <c r="N531" i="3"/>
  <c r="L531" i="3"/>
  <c r="K531" i="3"/>
  <c r="E531" i="3"/>
  <c r="T530" i="3"/>
  <c r="E530" i="3"/>
  <c r="Z529" i="3"/>
  <c r="O529" i="3"/>
  <c r="K529" i="3"/>
  <c r="E529" i="3"/>
  <c r="K528" i="3"/>
  <c r="E528" i="3"/>
  <c r="O527" i="3"/>
  <c r="K527" i="3"/>
  <c r="E527" i="3"/>
  <c r="K526" i="3"/>
  <c r="E526" i="3"/>
  <c r="AD525" i="3"/>
  <c r="AC525" i="3"/>
  <c r="V525" i="3"/>
  <c r="K525" i="3"/>
  <c r="E525" i="3"/>
  <c r="K524" i="3"/>
  <c r="E524" i="3"/>
  <c r="K481" i="3"/>
  <c r="E481" i="3"/>
  <c r="K523" i="3"/>
  <c r="E523" i="3"/>
  <c r="AB522" i="3"/>
  <c r="U522" i="3"/>
  <c r="R522" i="3"/>
  <c r="Q522" i="3"/>
  <c r="E522" i="3"/>
  <c r="W521" i="3"/>
  <c r="V521" i="3"/>
  <c r="E521" i="3"/>
  <c r="O520" i="3"/>
  <c r="K520" i="3"/>
  <c r="E520" i="3"/>
  <c r="Y519" i="3"/>
  <c r="X519" i="3"/>
  <c r="K519" i="3"/>
  <c r="E519" i="3"/>
  <c r="P518" i="3"/>
  <c r="K518" i="3"/>
  <c r="E518" i="3"/>
  <c r="K516" i="3"/>
  <c r="E516" i="3"/>
  <c r="K515" i="3"/>
  <c r="E515" i="3"/>
  <c r="K514" i="3"/>
  <c r="E514" i="3"/>
  <c r="K513" i="3"/>
  <c r="E513" i="3"/>
  <c r="AD512" i="3"/>
  <c r="AC512" i="3"/>
  <c r="U512" i="3"/>
  <c r="K512" i="3"/>
  <c r="E512" i="3"/>
  <c r="K511" i="3"/>
  <c r="E511" i="3"/>
  <c r="AD510" i="3"/>
  <c r="AC510" i="3"/>
  <c r="W510" i="3"/>
  <c r="V510" i="3"/>
  <c r="M510" i="3"/>
  <c r="L510" i="3"/>
  <c r="K510" i="3"/>
  <c r="E510" i="3"/>
  <c r="K509" i="3"/>
  <c r="E509" i="3"/>
  <c r="K508" i="3"/>
  <c r="E508" i="3"/>
  <c r="K507" i="3"/>
  <c r="E507" i="3"/>
  <c r="V506" i="3"/>
  <c r="M506" i="3"/>
  <c r="L506" i="3"/>
  <c r="K506" i="3"/>
  <c r="E506" i="3"/>
  <c r="L505" i="3"/>
  <c r="K505" i="3"/>
  <c r="E505" i="3"/>
  <c r="K504" i="3"/>
  <c r="E504" i="3"/>
  <c r="AA503" i="3"/>
  <c r="O503" i="3"/>
  <c r="K503" i="3"/>
  <c r="E503" i="3"/>
  <c r="AD502" i="3"/>
  <c r="AC502" i="3"/>
  <c r="AB502" i="3"/>
  <c r="U502" i="3"/>
  <c r="K502" i="3"/>
  <c r="E502" i="3"/>
  <c r="K501" i="3"/>
  <c r="E501" i="3"/>
  <c r="Y500" i="3"/>
  <c r="K500" i="3"/>
  <c r="E500" i="3"/>
  <c r="K499" i="3"/>
  <c r="E499" i="3"/>
  <c r="P498" i="3"/>
  <c r="K498" i="3"/>
  <c r="E498" i="3"/>
  <c r="AD497" i="3"/>
  <c r="AC497" i="3"/>
  <c r="W497" i="3"/>
  <c r="V497" i="3"/>
  <c r="L497" i="3"/>
  <c r="K497" i="3"/>
  <c r="E497" i="3"/>
  <c r="AC496" i="3"/>
  <c r="L496" i="3"/>
  <c r="K496" i="3"/>
  <c r="E496" i="3"/>
  <c r="K495" i="3"/>
  <c r="E495" i="3"/>
  <c r="T494" i="3"/>
  <c r="K494" i="3"/>
  <c r="E494" i="3"/>
  <c r="Y493" i="3"/>
  <c r="K493" i="3"/>
  <c r="E493" i="3"/>
  <c r="T492" i="3"/>
  <c r="K492" i="3"/>
  <c r="E492" i="3"/>
  <c r="Z491" i="3"/>
  <c r="T491" i="3"/>
  <c r="K491" i="3"/>
  <c r="E491" i="3"/>
  <c r="X490" i="3"/>
  <c r="K490" i="3"/>
  <c r="E490" i="3"/>
  <c r="O489" i="3"/>
  <c r="K489" i="3"/>
  <c r="E489" i="3"/>
  <c r="W488" i="3"/>
  <c r="M488" i="3"/>
  <c r="K488" i="3"/>
  <c r="E488" i="3"/>
  <c r="W487" i="3"/>
  <c r="V487" i="3"/>
  <c r="M487" i="3"/>
  <c r="L487" i="3"/>
  <c r="K487" i="3"/>
  <c r="E487" i="3"/>
  <c r="N486" i="3"/>
  <c r="K486" i="3"/>
  <c r="E486" i="3"/>
  <c r="AD485" i="3"/>
  <c r="AC485" i="3"/>
  <c r="Y485" i="3"/>
  <c r="U485" i="3"/>
  <c r="K485" i="3"/>
  <c r="E485" i="3"/>
  <c r="K484" i="3"/>
  <c r="E484" i="3"/>
  <c r="K483" i="3"/>
  <c r="E483" i="3"/>
  <c r="M482" i="3"/>
  <c r="L482" i="3"/>
  <c r="K482" i="3"/>
  <c r="E482" i="3"/>
  <c r="AD480" i="3"/>
  <c r="AC480" i="3"/>
  <c r="W480" i="3"/>
  <c r="V480" i="3"/>
  <c r="K480" i="3"/>
  <c r="E480" i="3"/>
  <c r="K479" i="3"/>
  <c r="E479" i="3"/>
  <c r="K478" i="3"/>
  <c r="E478" i="3"/>
  <c r="Y477" i="3"/>
  <c r="K477" i="3"/>
  <c r="E477" i="3"/>
  <c r="K476" i="3"/>
  <c r="E476" i="3"/>
  <c r="K475" i="3"/>
  <c r="E475" i="3"/>
  <c r="X474" i="3"/>
  <c r="U474" i="3"/>
  <c r="R474" i="3"/>
  <c r="K474" i="3"/>
  <c r="E474" i="3"/>
  <c r="K473" i="3"/>
  <c r="E473" i="3"/>
  <c r="K472" i="3"/>
  <c r="E472" i="3"/>
  <c r="AA471" i="3"/>
  <c r="T471" i="3"/>
  <c r="K471" i="3"/>
  <c r="E471" i="3"/>
  <c r="AD470" i="3"/>
  <c r="AC470" i="3"/>
  <c r="W470" i="3"/>
  <c r="V470" i="3"/>
  <c r="M470" i="3"/>
  <c r="L470" i="3"/>
  <c r="K470" i="3"/>
  <c r="E470" i="3"/>
  <c r="AC469" i="3"/>
  <c r="E469" i="3"/>
  <c r="AD468" i="3"/>
  <c r="AC468" i="3"/>
  <c r="W468" i="3"/>
  <c r="V468" i="3"/>
  <c r="M468" i="3"/>
  <c r="L468" i="3"/>
  <c r="E468" i="3"/>
  <c r="K467" i="3"/>
  <c r="E467" i="3"/>
  <c r="W466" i="3"/>
  <c r="M466" i="3"/>
  <c r="K466" i="3"/>
  <c r="E466" i="3"/>
  <c r="X465" i="3"/>
  <c r="N465" i="3"/>
  <c r="K465" i="3"/>
  <c r="E465" i="3"/>
  <c r="K464" i="3"/>
  <c r="E464" i="3"/>
  <c r="W463" i="3"/>
  <c r="V463" i="3"/>
  <c r="K463" i="3"/>
  <c r="E463" i="3"/>
  <c r="K462" i="3"/>
  <c r="E462" i="3"/>
  <c r="K461" i="3"/>
  <c r="E461" i="3"/>
  <c r="K460" i="3"/>
  <c r="E460" i="3"/>
  <c r="X459" i="3"/>
  <c r="K459" i="3"/>
  <c r="E459" i="3"/>
  <c r="K458" i="3"/>
  <c r="E458" i="3"/>
  <c r="AD457" i="3"/>
  <c r="AC457" i="3"/>
  <c r="U457" i="3"/>
  <c r="K457" i="3"/>
  <c r="E457" i="3"/>
  <c r="X456" i="3"/>
  <c r="K456" i="3"/>
  <c r="E456" i="3"/>
  <c r="K455" i="3"/>
  <c r="E455" i="3"/>
  <c r="K454" i="3"/>
  <c r="E454" i="3"/>
  <c r="W453" i="3"/>
  <c r="V453" i="3"/>
  <c r="M453" i="3"/>
  <c r="L453" i="3"/>
  <c r="K453" i="3"/>
  <c r="E453" i="3"/>
  <c r="X452" i="3"/>
  <c r="S452" i="3"/>
  <c r="K452" i="3"/>
  <c r="E452" i="3"/>
  <c r="K451" i="3"/>
  <c r="E451" i="3"/>
  <c r="X450" i="3"/>
  <c r="N450" i="3"/>
  <c r="K450" i="3"/>
  <c r="E450" i="3"/>
  <c r="AB449" i="3"/>
  <c r="K449" i="3"/>
  <c r="E449" i="3"/>
  <c r="K448" i="3"/>
  <c r="E448" i="3"/>
  <c r="W447" i="3"/>
  <c r="V447" i="3"/>
  <c r="E447" i="3"/>
  <c r="K446" i="3"/>
  <c r="E446" i="3"/>
  <c r="AB445" i="3"/>
  <c r="P445" i="3"/>
  <c r="K445" i="3"/>
  <c r="E445" i="3"/>
  <c r="K444" i="3"/>
  <c r="E444" i="3"/>
  <c r="T443" i="3"/>
  <c r="O443" i="3"/>
  <c r="K443" i="3"/>
  <c r="E443" i="3"/>
  <c r="K442" i="3"/>
  <c r="E442" i="3"/>
  <c r="O441" i="3"/>
  <c r="K441" i="3"/>
  <c r="E441" i="3"/>
  <c r="K440" i="3"/>
  <c r="E440" i="3"/>
  <c r="K439" i="3"/>
  <c r="E439" i="3"/>
  <c r="K438" i="3"/>
  <c r="E438" i="3"/>
  <c r="K437" i="3"/>
  <c r="E437" i="3"/>
  <c r="AC436" i="3"/>
  <c r="K436" i="3"/>
  <c r="E436" i="3"/>
  <c r="K435" i="3"/>
  <c r="E435" i="3"/>
  <c r="K434" i="3"/>
  <c r="E434" i="3"/>
  <c r="W433" i="3"/>
  <c r="V433" i="3"/>
  <c r="K433" i="3"/>
  <c r="E433" i="3"/>
  <c r="K432" i="3"/>
  <c r="E432" i="3"/>
  <c r="O431" i="3"/>
  <c r="K431" i="3"/>
  <c r="E431" i="3"/>
  <c r="K430" i="3"/>
  <c r="E430" i="3"/>
  <c r="N429" i="3"/>
  <c r="K429" i="3"/>
  <c r="E429" i="3"/>
  <c r="S428" i="3"/>
  <c r="N428" i="3"/>
  <c r="K428" i="3"/>
  <c r="E428" i="3"/>
  <c r="P427" i="3"/>
  <c r="K427" i="3"/>
  <c r="E427" i="3"/>
  <c r="AA426" i="3"/>
  <c r="Y426" i="3"/>
  <c r="K426" i="3"/>
  <c r="E426" i="3"/>
  <c r="W425" i="3"/>
  <c r="M425" i="3"/>
  <c r="K425" i="3"/>
  <c r="E425" i="3"/>
  <c r="T424" i="3"/>
  <c r="O424" i="3"/>
  <c r="K424" i="3"/>
  <c r="E424" i="3"/>
  <c r="X423" i="3"/>
  <c r="K423" i="3"/>
  <c r="E423" i="3"/>
  <c r="AD422" i="3"/>
  <c r="AC422" i="3"/>
  <c r="X422" i="3"/>
  <c r="M422" i="3"/>
  <c r="L422" i="3"/>
  <c r="K422" i="3"/>
  <c r="E422" i="3"/>
  <c r="X421" i="3"/>
  <c r="K421" i="3"/>
  <c r="E421" i="3"/>
  <c r="P420" i="3"/>
  <c r="K420" i="3"/>
  <c r="E420" i="3"/>
  <c r="Y419" i="3"/>
  <c r="X419" i="3"/>
  <c r="N419" i="3"/>
  <c r="K419" i="3"/>
  <c r="E419" i="3"/>
  <c r="V418" i="3"/>
  <c r="K418" i="3"/>
  <c r="E418" i="3"/>
  <c r="Y417" i="3"/>
  <c r="K417" i="3"/>
  <c r="E417" i="3"/>
  <c r="O416" i="3"/>
  <c r="K416" i="3"/>
  <c r="E416" i="3"/>
  <c r="K415" i="3"/>
  <c r="E415" i="3"/>
  <c r="K414" i="3"/>
  <c r="E414" i="3"/>
  <c r="X413" i="3"/>
  <c r="N413" i="3"/>
  <c r="K413" i="3"/>
  <c r="E413" i="3"/>
  <c r="K412" i="3"/>
  <c r="E412" i="3"/>
  <c r="S411" i="3"/>
  <c r="K411" i="3"/>
  <c r="E411" i="3"/>
  <c r="AD410" i="3"/>
  <c r="AC410" i="3"/>
  <c r="U410" i="3"/>
  <c r="R410" i="3"/>
  <c r="K410" i="3"/>
  <c r="E410" i="3"/>
  <c r="K409" i="3"/>
  <c r="E409" i="3"/>
  <c r="N408" i="3"/>
  <c r="K408" i="3"/>
  <c r="E408" i="3"/>
  <c r="K407" i="3"/>
  <c r="E407" i="3"/>
  <c r="U406" i="3"/>
  <c r="R406" i="3"/>
  <c r="Q406" i="3"/>
  <c r="K406" i="3"/>
  <c r="E406" i="3"/>
  <c r="K405" i="3"/>
  <c r="E405" i="3"/>
  <c r="AB404" i="3"/>
  <c r="E404" i="3"/>
  <c r="K403" i="3"/>
  <c r="E403" i="3"/>
  <c r="AA402" i="3"/>
  <c r="Y402" i="3"/>
  <c r="M402" i="3"/>
  <c r="K402" i="3"/>
  <c r="E402" i="3"/>
  <c r="O401" i="3"/>
  <c r="K401" i="3"/>
  <c r="E401" i="3"/>
  <c r="K400" i="3"/>
  <c r="E400" i="3"/>
  <c r="K399" i="3"/>
  <c r="E399" i="3"/>
  <c r="K398" i="3"/>
  <c r="E398" i="3"/>
  <c r="O397" i="3"/>
  <c r="E397" i="3"/>
  <c r="K396" i="3"/>
  <c r="E396" i="3"/>
  <c r="K395" i="3"/>
  <c r="E395" i="3"/>
  <c r="M394" i="3"/>
  <c r="K394" i="3"/>
  <c r="E394" i="3"/>
  <c r="K393" i="3"/>
  <c r="E393" i="3"/>
  <c r="K392" i="3"/>
  <c r="E392" i="3"/>
  <c r="K391" i="3"/>
  <c r="E391" i="3"/>
  <c r="T390" i="3"/>
  <c r="O390" i="3"/>
  <c r="K390" i="3"/>
  <c r="E390" i="3"/>
  <c r="Z389" i="3"/>
  <c r="K389" i="3"/>
  <c r="E389" i="3"/>
  <c r="K388" i="3"/>
  <c r="E388" i="3"/>
  <c r="K387" i="3"/>
  <c r="E387" i="3"/>
  <c r="O386" i="3"/>
  <c r="K386" i="3"/>
  <c r="E386" i="3"/>
  <c r="W385" i="3"/>
  <c r="V385" i="3"/>
  <c r="M385" i="3"/>
  <c r="L385" i="3"/>
  <c r="K385" i="3"/>
  <c r="E385" i="3"/>
  <c r="K384" i="3"/>
  <c r="E384" i="3"/>
  <c r="W383" i="3"/>
  <c r="K383" i="3"/>
  <c r="E383" i="3"/>
  <c r="K382" i="3"/>
  <c r="E382" i="3"/>
  <c r="K381" i="3"/>
  <c r="E381" i="3"/>
  <c r="K380" i="3"/>
  <c r="E380" i="3"/>
  <c r="T379" i="3"/>
  <c r="O379" i="3"/>
  <c r="E379" i="3"/>
  <c r="K378" i="3"/>
  <c r="E378" i="3"/>
  <c r="O377" i="3"/>
  <c r="K377" i="3"/>
  <c r="E377" i="3"/>
  <c r="K376" i="3"/>
  <c r="E376" i="3"/>
  <c r="K375" i="3"/>
  <c r="E375" i="3"/>
  <c r="K374" i="3"/>
  <c r="E374" i="3"/>
  <c r="P373" i="3"/>
  <c r="K373" i="3"/>
  <c r="E373" i="3"/>
  <c r="AD372" i="3"/>
  <c r="AC372" i="3"/>
  <c r="AB372" i="3"/>
  <c r="U372" i="3"/>
  <c r="K372" i="3"/>
  <c r="E372" i="3"/>
  <c r="Y371" i="3"/>
  <c r="X371" i="3"/>
  <c r="K371" i="3"/>
  <c r="E371" i="3"/>
  <c r="K370" i="3"/>
  <c r="E370" i="3"/>
  <c r="K369" i="3"/>
  <c r="E369" i="3"/>
  <c r="K368" i="3"/>
  <c r="E368" i="3"/>
  <c r="Y367" i="3"/>
  <c r="X367" i="3"/>
  <c r="S367" i="3"/>
  <c r="K367" i="3"/>
  <c r="E367" i="3"/>
  <c r="X366" i="3"/>
  <c r="N366" i="3"/>
  <c r="K366" i="3"/>
  <c r="E366" i="3"/>
  <c r="AD365" i="3"/>
  <c r="AC365" i="3"/>
  <c r="AA365" i="3"/>
  <c r="M365" i="3"/>
  <c r="L365" i="3"/>
  <c r="K365" i="3"/>
  <c r="E365" i="3"/>
  <c r="Y364" i="3"/>
  <c r="P364" i="3"/>
  <c r="K364" i="3"/>
  <c r="E364" i="3"/>
  <c r="W363" i="3"/>
  <c r="V363" i="3"/>
  <c r="M363" i="3"/>
  <c r="L363" i="3"/>
  <c r="K363" i="3"/>
  <c r="E363" i="3"/>
  <c r="V362" i="3"/>
  <c r="M362" i="3"/>
  <c r="L362" i="3"/>
  <c r="K362" i="3"/>
  <c r="E362" i="3"/>
  <c r="AD361" i="3"/>
  <c r="AC361" i="3"/>
  <c r="U361" i="3"/>
  <c r="K361" i="3"/>
  <c r="E361" i="3"/>
  <c r="S360" i="3"/>
  <c r="K360" i="3"/>
  <c r="E360" i="3"/>
  <c r="AD359" i="3"/>
  <c r="AC359" i="3"/>
  <c r="U359" i="3"/>
  <c r="R359" i="3"/>
  <c r="K359" i="3"/>
  <c r="E359" i="3"/>
  <c r="X358" i="3"/>
  <c r="N358" i="3"/>
  <c r="K358" i="3"/>
  <c r="E358" i="3"/>
  <c r="Z357" i="3"/>
  <c r="O357" i="3"/>
  <c r="K357" i="3"/>
  <c r="E357" i="3"/>
  <c r="AA356" i="3"/>
  <c r="E356" i="3"/>
  <c r="K355" i="3"/>
  <c r="E355" i="3"/>
  <c r="O354" i="3"/>
  <c r="K354" i="3"/>
  <c r="E354" i="3"/>
  <c r="AA353" i="3"/>
  <c r="X353" i="3"/>
  <c r="S353" i="3"/>
  <c r="K353" i="3"/>
  <c r="E353" i="3"/>
  <c r="K352" i="3"/>
  <c r="E352" i="3"/>
  <c r="K351" i="3"/>
  <c r="E351" i="3"/>
  <c r="K350" i="3"/>
  <c r="E350" i="3"/>
  <c r="AD349" i="3"/>
  <c r="M349" i="3"/>
  <c r="K349" i="3"/>
  <c r="E349" i="3"/>
  <c r="K348" i="3"/>
  <c r="E348" i="3"/>
  <c r="S347" i="3"/>
  <c r="N347" i="3"/>
  <c r="K347" i="3"/>
  <c r="E347" i="3"/>
  <c r="S346" i="3"/>
  <c r="K346" i="3"/>
  <c r="E346" i="3"/>
  <c r="P345" i="3"/>
  <c r="K345" i="3"/>
  <c r="E345" i="3"/>
  <c r="X344" i="3"/>
  <c r="K344" i="3"/>
  <c r="E344" i="3"/>
  <c r="U343" i="3"/>
  <c r="K343" i="3"/>
  <c r="E343" i="3"/>
  <c r="X342" i="3"/>
  <c r="K342" i="3"/>
  <c r="E342" i="3"/>
  <c r="AA341" i="3"/>
  <c r="Y341" i="3"/>
  <c r="X341" i="3"/>
  <c r="S341" i="3"/>
  <c r="K341" i="3"/>
  <c r="E341" i="3"/>
  <c r="K340" i="3"/>
  <c r="E340" i="3"/>
  <c r="V339" i="3"/>
  <c r="M339" i="3"/>
  <c r="L339" i="3"/>
  <c r="K339" i="3"/>
  <c r="E339" i="3"/>
  <c r="N338" i="3"/>
  <c r="K338" i="3"/>
  <c r="E338" i="3"/>
  <c r="K337" i="3"/>
  <c r="E337" i="3"/>
  <c r="AB336" i="3"/>
  <c r="X336" i="3"/>
  <c r="K336" i="3"/>
  <c r="E336" i="3"/>
  <c r="K335" i="3"/>
  <c r="E335" i="3"/>
  <c r="X334" i="3"/>
  <c r="R334" i="3"/>
  <c r="Q334" i="3"/>
  <c r="E334" i="3"/>
  <c r="K333" i="3"/>
  <c r="E333" i="3"/>
  <c r="K332" i="3"/>
  <c r="E332" i="3"/>
  <c r="K331" i="3"/>
  <c r="E331" i="3"/>
  <c r="AD329" i="3"/>
  <c r="AC329" i="3"/>
  <c r="W329" i="3"/>
  <c r="V329" i="3"/>
  <c r="M329" i="3"/>
  <c r="L329" i="3"/>
  <c r="K329" i="3"/>
  <c r="E329" i="3"/>
  <c r="K328" i="3"/>
  <c r="E328" i="3"/>
  <c r="K327" i="3"/>
  <c r="E327" i="3"/>
  <c r="K326" i="3"/>
  <c r="E326" i="3"/>
  <c r="K325" i="3"/>
  <c r="E325" i="3"/>
  <c r="AC324" i="3"/>
  <c r="W324" i="3"/>
  <c r="V324" i="3"/>
  <c r="K324" i="3"/>
  <c r="E324" i="3"/>
  <c r="AD323" i="3"/>
  <c r="AC323" i="3"/>
  <c r="V323" i="3"/>
  <c r="E323" i="3"/>
  <c r="K322" i="3"/>
  <c r="E322" i="3"/>
  <c r="T321" i="3"/>
  <c r="O321" i="3"/>
  <c r="K321" i="3"/>
  <c r="E321" i="3"/>
  <c r="K320" i="3"/>
  <c r="E320" i="3"/>
  <c r="K319" i="3"/>
  <c r="E319" i="3"/>
  <c r="Y318" i="3"/>
  <c r="X318" i="3"/>
  <c r="N318" i="3"/>
  <c r="K318" i="3"/>
  <c r="E318" i="3"/>
  <c r="K317" i="3"/>
  <c r="E317" i="3"/>
  <c r="AA316" i="3"/>
  <c r="S316" i="3"/>
  <c r="K316" i="3"/>
  <c r="E316" i="3"/>
  <c r="T315" i="3"/>
  <c r="O315" i="3"/>
  <c r="K315" i="3"/>
  <c r="E315" i="3"/>
  <c r="K314" i="3"/>
  <c r="E314" i="3"/>
  <c r="AA313" i="3"/>
  <c r="K313" i="3"/>
  <c r="E313" i="3"/>
  <c r="K312" i="3"/>
  <c r="E312" i="3"/>
  <c r="K311" i="3"/>
  <c r="E311" i="3"/>
  <c r="K310" i="3"/>
  <c r="E310" i="3"/>
  <c r="K309" i="3"/>
  <c r="E309" i="3"/>
  <c r="K308" i="3"/>
  <c r="E308" i="3"/>
  <c r="AD307" i="3"/>
  <c r="AC307" i="3"/>
  <c r="V307" i="3"/>
  <c r="L307" i="3"/>
  <c r="K307" i="3"/>
  <c r="E307" i="3"/>
  <c r="S306" i="3"/>
  <c r="E306" i="3"/>
  <c r="Y305" i="3"/>
  <c r="S305" i="3"/>
  <c r="N305" i="3"/>
  <c r="K305" i="3"/>
  <c r="E305" i="3"/>
  <c r="N304" i="3"/>
  <c r="K304" i="3"/>
  <c r="E304" i="3"/>
  <c r="K303" i="3"/>
  <c r="E303" i="3"/>
  <c r="K302" i="3"/>
  <c r="E302" i="3"/>
  <c r="X301" i="3"/>
  <c r="N301" i="3"/>
  <c r="K301" i="3"/>
  <c r="E301" i="3"/>
  <c r="W300" i="3"/>
  <c r="M300" i="3"/>
  <c r="K300" i="3"/>
  <c r="E300" i="3"/>
  <c r="X299" i="3"/>
  <c r="S299" i="3"/>
  <c r="K299" i="3"/>
  <c r="E299" i="3"/>
  <c r="K298" i="3"/>
  <c r="E298" i="3"/>
  <c r="P297" i="3"/>
  <c r="K297" i="3"/>
  <c r="E297" i="3"/>
  <c r="K296" i="3"/>
  <c r="E296" i="3"/>
  <c r="K295" i="3"/>
  <c r="E295" i="3"/>
  <c r="Z294" i="3"/>
  <c r="T294" i="3"/>
  <c r="E294" i="3"/>
  <c r="AB293" i="3"/>
  <c r="X293" i="3"/>
  <c r="U293" i="3"/>
  <c r="K293" i="3"/>
  <c r="E293" i="3"/>
  <c r="K292" i="3"/>
  <c r="E292" i="3"/>
  <c r="S291" i="3"/>
  <c r="K291" i="3"/>
  <c r="E291" i="3"/>
  <c r="AC290" i="3"/>
  <c r="V290" i="3"/>
  <c r="M290" i="3"/>
  <c r="L290" i="3"/>
  <c r="E290" i="3"/>
  <c r="X289" i="3"/>
  <c r="N289" i="3"/>
  <c r="K289" i="3"/>
  <c r="E289" i="3"/>
  <c r="S288" i="3"/>
  <c r="K288" i="3"/>
  <c r="E288" i="3"/>
  <c r="X287" i="3"/>
  <c r="K287" i="3"/>
  <c r="E287" i="3"/>
  <c r="AA286" i="3"/>
  <c r="O286" i="3"/>
  <c r="K286" i="3"/>
  <c r="E286" i="3"/>
  <c r="K285" i="3"/>
  <c r="E285" i="3"/>
  <c r="AD284" i="3"/>
  <c r="AC284" i="3"/>
  <c r="W284" i="3"/>
  <c r="V284" i="3"/>
  <c r="K284" i="3"/>
  <c r="E284" i="3"/>
  <c r="K283" i="3"/>
  <c r="E283" i="3"/>
  <c r="N282" i="3"/>
  <c r="E282" i="3"/>
  <c r="N281" i="3"/>
  <c r="E281" i="3"/>
  <c r="M280" i="3"/>
  <c r="K280" i="3"/>
  <c r="E280" i="3"/>
  <c r="N279" i="3"/>
  <c r="K279" i="3"/>
  <c r="E279" i="3"/>
  <c r="AD278" i="3"/>
  <c r="K278" i="3"/>
  <c r="E278" i="3"/>
  <c r="X277" i="3"/>
  <c r="U277" i="3"/>
  <c r="Q277" i="3"/>
  <c r="K277" i="3"/>
  <c r="E277" i="3"/>
  <c r="K276" i="3"/>
  <c r="E276" i="3"/>
  <c r="M275" i="3"/>
  <c r="K275" i="3"/>
  <c r="E275" i="3"/>
  <c r="Y274" i="3"/>
  <c r="S274" i="3"/>
  <c r="N274" i="3"/>
  <c r="K274" i="3"/>
  <c r="E274" i="3"/>
  <c r="N273" i="3"/>
  <c r="K273" i="3"/>
  <c r="E273" i="3"/>
  <c r="AD272" i="3"/>
  <c r="AC272" i="3"/>
  <c r="W272" i="3"/>
  <c r="V272" i="3"/>
  <c r="M272" i="3"/>
  <c r="L272" i="3"/>
  <c r="K272" i="3"/>
  <c r="E272" i="3"/>
  <c r="AD271" i="3"/>
  <c r="AA271" i="3"/>
  <c r="N271" i="3"/>
  <c r="K271" i="3"/>
  <c r="E271" i="3"/>
  <c r="O270" i="3"/>
  <c r="K270" i="3"/>
  <c r="E270" i="3"/>
  <c r="AA269" i="3"/>
  <c r="K269" i="3"/>
  <c r="E269" i="3"/>
  <c r="AD268" i="3"/>
  <c r="W268" i="3"/>
  <c r="M268" i="3"/>
  <c r="K268" i="3"/>
  <c r="E268" i="3"/>
  <c r="Y267" i="3"/>
  <c r="K267" i="3"/>
  <c r="E267" i="3"/>
  <c r="K266" i="3"/>
  <c r="E266" i="3"/>
  <c r="K265" i="3"/>
  <c r="E265" i="3"/>
  <c r="S264" i="3"/>
  <c r="K264" i="3"/>
  <c r="E264" i="3"/>
  <c r="AA263" i="3"/>
  <c r="K263" i="3"/>
  <c r="E263" i="3"/>
  <c r="K262" i="3"/>
  <c r="E262" i="3"/>
  <c r="AD261" i="3"/>
  <c r="M261" i="3"/>
  <c r="K261" i="3"/>
  <c r="E261" i="3"/>
  <c r="K260" i="3"/>
  <c r="E260" i="3"/>
  <c r="S259" i="3"/>
  <c r="N259" i="3"/>
  <c r="K259" i="3"/>
  <c r="E259" i="3"/>
  <c r="K258" i="3"/>
  <c r="E258" i="3"/>
  <c r="S257" i="3"/>
  <c r="K257" i="3"/>
  <c r="E257" i="3"/>
  <c r="AA256" i="3"/>
  <c r="X256" i="3"/>
  <c r="S256" i="3"/>
  <c r="N256" i="3"/>
  <c r="K256" i="3"/>
  <c r="E256" i="3"/>
  <c r="AD255" i="3"/>
  <c r="AC255" i="3"/>
  <c r="U255" i="3"/>
  <c r="K255" i="3"/>
  <c r="E255" i="3"/>
  <c r="O254" i="3"/>
  <c r="E254" i="3"/>
  <c r="T253" i="3"/>
  <c r="O253" i="3"/>
  <c r="E253" i="3"/>
  <c r="O252" i="3"/>
  <c r="K252" i="3"/>
  <c r="E252" i="3"/>
  <c r="X251" i="3"/>
  <c r="K251" i="3"/>
  <c r="E251" i="3"/>
  <c r="AC250" i="3"/>
  <c r="X250" i="3"/>
  <c r="U250" i="3"/>
  <c r="Q250" i="3"/>
  <c r="K250" i="3"/>
  <c r="E250" i="3"/>
  <c r="K249" i="3"/>
  <c r="E249" i="3"/>
  <c r="W248" i="3"/>
  <c r="V248" i="3"/>
  <c r="M248" i="3"/>
  <c r="L248" i="3"/>
  <c r="K248" i="3"/>
  <c r="E248" i="3"/>
  <c r="K247" i="3"/>
  <c r="E247" i="3"/>
  <c r="S246" i="3"/>
  <c r="K246" i="3"/>
  <c r="E246" i="3"/>
  <c r="X245" i="3"/>
  <c r="N245" i="3"/>
  <c r="K245" i="3"/>
  <c r="E245" i="3"/>
  <c r="S244" i="3"/>
  <c r="K244" i="3"/>
  <c r="E244" i="3"/>
  <c r="AA243" i="3"/>
  <c r="S243" i="3"/>
  <c r="E243" i="3"/>
  <c r="S242" i="3"/>
  <c r="K242" i="3"/>
  <c r="E242" i="3"/>
  <c r="S241" i="3"/>
  <c r="N241" i="3"/>
  <c r="K241" i="3"/>
  <c r="E241" i="3"/>
  <c r="AB240" i="3"/>
  <c r="K240" i="3"/>
  <c r="E240" i="3"/>
  <c r="N239" i="3"/>
  <c r="K239" i="3"/>
  <c r="E239" i="3"/>
  <c r="S238" i="3"/>
  <c r="O238" i="3"/>
  <c r="K238" i="3"/>
  <c r="E238" i="3"/>
  <c r="X237" i="3"/>
  <c r="E237" i="3"/>
  <c r="AD236" i="3"/>
  <c r="U236" i="3"/>
  <c r="R236" i="3"/>
  <c r="K236" i="3"/>
  <c r="E236" i="3"/>
  <c r="M235" i="3"/>
  <c r="K235" i="3"/>
  <c r="E235" i="3"/>
  <c r="K234" i="3"/>
  <c r="E234" i="3"/>
  <c r="Y233" i="3"/>
  <c r="K233" i="3"/>
  <c r="E233" i="3"/>
  <c r="K232" i="3"/>
  <c r="E232" i="3"/>
  <c r="AD231" i="3"/>
  <c r="AA231" i="3"/>
  <c r="W231" i="3"/>
  <c r="M231" i="3"/>
  <c r="K231" i="3"/>
  <c r="E231" i="3"/>
  <c r="AD230" i="3"/>
  <c r="AC230" i="3"/>
  <c r="AB230" i="3"/>
  <c r="X230" i="3"/>
  <c r="U230" i="3"/>
  <c r="K230" i="3"/>
  <c r="E230" i="3"/>
  <c r="K229" i="3"/>
  <c r="E229" i="3"/>
  <c r="AC228" i="3"/>
  <c r="V228" i="3"/>
  <c r="K228" i="3"/>
  <c r="E228" i="3"/>
  <c r="AA227" i="3"/>
  <c r="K227" i="3"/>
  <c r="E227" i="3"/>
  <c r="W226" i="3"/>
  <c r="M226" i="3"/>
  <c r="E226" i="3"/>
  <c r="K225" i="3"/>
  <c r="E225" i="3"/>
  <c r="K224" i="3"/>
  <c r="E224" i="3"/>
  <c r="X223" i="3"/>
  <c r="N223" i="3"/>
  <c r="E223" i="3"/>
  <c r="X222" i="3"/>
  <c r="N222" i="3"/>
  <c r="K222" i="3"/>
  <c r="E222" i="3"/>
  <c r="AA221" i="3"/>
  <c r="K221" i="3"/>
  <c r="E221" i="3"/>
  <c r="K220" i="3"/>
  <c r="E220" i="3"/>
  <c r="Z219" i="3"/>
  <c r="K219" i="3"/>
  <c r="E219" i="3"/>
  <c r="S218" i="3"/>
  <c r="K218" i="3"/>
  <c r="E218" i="3"/>
  <c r="O217" i="3"/>
  <c r="K217" i="3"/>
  <c r="E217" i="3"/>
  <c r="K216" i="3"/>
  <c r="E216" i="3"/>
  <c r="S215" i="3"/>
  <c r="E215" i="3"/>
  <c r="X214" i="3"/>
  <c r="N214" i="3"/>
  <c r="K214" i="3"/>
  <c r="E214" i="3"/>
  <c r="AD213" i="3"/>
  <c r="K213" i="3"/>
  <c r="E213" i="3"/>
  <c r="X212" i="3"/>
  <c r="S212" i="3"/>
  <c r="K212" i="3"/>
  <c r="E212" i="3"/>
  <c r="K211" i="3"/>
  <c r="E211" i="3"/>
  <c r="X210" i="3"/>
  <c r="U210" i="3"/>
  <c r="R210" i="3"/>
  <c r="Q210" i="3"/>
  <c r="N210" i="3"/>
  <c r="K210" i="3"/>
  <c r="E210" i="3"/>
  <c r="X209" i="3"/>
  <c r="E209" i="3"/>
  <c r="K208" i="3"/>
  <c r="E208" i="3"/>
  <c r="P207" i="3"/>
  <c r="K207" i="3"/>
  <c r="E207" i="3"/>
  <c r="AA206" i="3"/>
  <c r="K206" i="3"/>
  <c r="E206" i="3"/>
  <c r="W205" i="3"/>
  <c r="V205" i="3"/>
  <c r="K205" i="3"/>
  <c r="E205" i="3"/>
  <c r="S204" i="3"/>
  <c r="K204" i="3"/>
  <c r="E204" i="3"/>
  <c r="K203" i="3"/>
  <c r="E203" i="3"/>
  <c r="O202" i="3"/>
  <c r="K202" i="3"/>
  <c r="E202" i="3"/>
  <c r="K201" i="3"/>
  <c r="E201" i="3"/>
  <c r="K200" i="3"/>
  <c r="E200" i="3"/>
  <c r="S199" i="3"/>
  <c r="K199" i="3"/>
  <c r="E199" i="3"/>
  <c r="Y198" i="3"/>
  <c r="X198" i="3"/>
  <c r="N198" i="3"/>
  <c r="K198" i="3"/>
  <c r="E198" i="3"/>
  <c r="K197" i="3"/>
  <c r="E197" i="3"/>
  <c r="N196" i="3"/>
  <c r="K196" i="3"/>
  <c r="E196" i="3"/>
  <c r="AA195" i="3"/>
  <c r="U195" i="3"/>
  <c r="K195" i="3"/>
  <c r="E195" i="3"/>
  <c r="Y194" i="3"/>
  <c r="X194" i="3"/>
  <c r="N194" i="3"/>
  <c r="K194" i="3"/>
  <c r="E194" i="3"/>
  <c r="X193" i="3"/>
  <c r="E193" i="3"/>
  <c r="O192" i="3"/>
  <c r="K192" i="3"/>
  <c r="E192" i="3"/>
  <c r="U191" i="3"/>
  <c r="K191" i="3"/>
  <c r="E191" i="3"/>
  <c r="K190" i="3"/>
  <c r="E190" i="3"/>
  <c r="K189" i="3"/>
  <c r="E189" i="3"/>
  <c r="P188" i="3"/>
  <c r="K188" i="3"/>
  <c r="E188" i="3"/>
  <c r="Z187" i="3"/>
  <c r="T187" i="3"/>
  <c r="O187" i="3"/>
  <c r="K187" i="3"/>
  <c r="E187" i="3"/>
  <c r="T186" i="3"/>
  <c r="K186" i="3"/>
  <c r="E186" i="3"/>
  <c r="T185" i="3"/>
  <c r="O185" i="3"/>
  <c r="K185" i="3"/>
  <c r="E185" i="3"/>
  <c r="M184" i="3"/>
  <c r="K184" i="3"/>
  <c r="E184" i="3"/>
  <c r="X183" i="3"/>
  <c r="W183" i="3"/>
  <c r="M183" i="3"/>
  <c r="K183" i="3"/>
  <c r="E183" i="3"/>
  <c r="N182" i="3"/>
  <c r="E182" i="3"/>
  <c r="AD181" i="3"/>
  <c r="AC181" i="3"/>
  <c r="V181" i="3"/>
  <c r="K181" i="3"/>
  <c r="E181" i="3"/>
  <c r="K180" i="3"/>
  <c r="E180" i="3"/>
  <c r="K179" i="3"/>
  <c r="E179" i="3"/>
  <c r="P178" i="3"/>
  <c r="E178" i="3"/>
  <c r="N177" i="3"/>
  <c r="K177" i="3"/>
  <c r="E177" i="3"/>
  <c r="AA176" i="3"/>
  <c r="X176" i="3"/>
  <c r="O176" i="3"/>
  <c r="K176" i="3"/>
  <c r="E176" i="3"/>
  <c r="AD175" i="3"/>
  <c r="Y175" i="3"/>
  <c r="W175" i="3"/>
  <c r="N175" i="3"/>
  <c r="M175" i="3"/>
  <c r="K175" i="3"/>
  <c r="E175" i="3"/>
  <c r="K174" i="3"/>
  <c r="E174" i="3"/>
  <c r="Z173" i="3"/>
  <c r="K173" i="3"/>
  <c r="E173" i="3"/>
  <c r="X172" i="3"/>
  <c r="S172" i="3"/>
  <c r="K172" i="3"/>
  <c r="E172" i="3"/>
  <c r="AD171" i="3"/>
  <c r="AB171" i="3"/>
  <c r="Y171" i="3"/>
  <c r="K171" i="3"/>
  <c r="E171" i="3"/>
  <c r="AD170" i="3"/>
  <c r="U170" i="3"/>
  <c r="R170" i="3"/>
  <c r="Q170" i="3"/>
  <c r="N170" i="3"/>
  <c r="K170" i="3"/>
  <c r="E170" i="3"/>
  <c r="S169" i="3"/>
  <c r="K169" i="3"/>
  <c r="E169" i="3"/>
  <c r="X168" i="3"/>
  <c r="S168" i="3"/>
  <c r="K168" i="3"/>
  <c r="E168" i="3"/>
  <c r="K167" i="3"/>
  <c r="E167" i="3"/>
  <c r="S166" i="3"/>
  <c r="K166" i="3"/>
  <c r="E166" i="3"/>
  <c r="X165" i="3"/>
  <c r="S165" i="3"/>
  <c r="O165" i="3"/>
  <c r="K165" i="3"/>
  <c r="E165" i="3"/>
  <c r="K164" i="3"/>
  <c r="E164" i="3"/>
  <c r="AD163" i="3"/>
  <c r="AC163" i="3"/>
  <c r="U163" i="3"/>
  <c r="K163" i="3"/>
  <c r="E163" i="3"/>
  <c r="O162" i="3"/>
  <c r="K162" i="3"/>
  <c r="E162" i="3"/>
  <c r="AA161" i="3"/>
  <c r="W161" i="3"/>
  <c r="V161" i="3"/>
  <c r="N161" i="3"/>
  <c r="M161" i="3"/>
  <c r="L161" i="3"/>
  <c r="K161" i="3"/>
  <c r="E161" i="3"/>
  <c r="Q160" i="3"/>
  <c r="K160" i="3"/>
  <c r="E160" i="3"/>
  <c r="K159" i="3"/>
  <c r="E159" i="3"/>
  <c r="Y158" i="3"/>
  <c r="X158" i="3"/>
  <c r="N158" i="3"/>
  <c r="K158" i="3"/>
  <c r="E158" i="3"/>
  <c r="K157" i="3"/>
  <c r="E157" i="3"/>
  <c r="K156" i="3"/>
  <c r="E156" i="3"/>
  <c r="AA155" i="3"/>
  <c r="Y155" i="3"/>
  <c r="W155" i="3"/>
  <c r="V155" i="3"/>
  <c r="E155" i="3"/>
  <c r="K154" i="3"/>
  <c r="E154" i="3"/>
  <c r="N153" i="3"/>
  <c r="K153" i="3"/>
  <c r="E153" i="3"/>
  <c r="K152" i="3"/>
  <c r="E152" i="3"/>
  <c r="K151" i="3"/>
  <c r="E151" i="3"/>
  <c r="U150" i="3"/>
  <c r="R150" i="3"/>
  <c r="Q150" i="3"/>
  <c r="K150" i="3"/>
  <c r="E150" i="3"/>
  <c r="K149" i="3"/>
  <c r="E149" i="3"/>
  <c r="N148" i="3"/>
  <c r="K148" i="3"/>
  <c r="E148" i="3"/>
  <c r="K147" i="3"/>
  <c r="E147" i="3"/>
  <c r="AA119" i="3"/>
  <c r="K119" i="3"/>
  <c r="E119" i="3"/>
  <c r="U146" i="3"/>
  <c r="Q146" i="3"/>
  <c r="K146" i="3"/>
  <c r="E146" i="3"/>
  <c r="K145" i="3"/>
  <c r="E145" i="3"/>
  <c r="S144" i="3"/>
  <c r="K144" i="3"/>
  <c r="E144" i="3"/>
  <c r="AA143" i="3"/>
  <c r="X143" i="3"/>
  <c r="W143" i="3"/>
  <c r="M143" i="3"/>
  <c r="K143" i="3"/>
  <c r="E143" i="3"/>
  <c r="S142" i="3"/>
  <c r="N142" i="3"/>
  <c r="K142" i="3"/>
  <c r="E142" i="3"/>
  <c r="N141" i="3"/>
  <c r="E141" i="3"/>
  <c r="X140" i="3"/>
  <c r="E140" i="3"/>
  <c r="T139" i="3"/>
  <c r="O139" i="3"/>
  <c r="K139" i="3"/>
  <c r="E139" i="3"/>
  <c r="N138" i="3"/>
  <c r="K138" i="3"/>
  <c r="E138" i="3"/>
  <c r="AB137" i="3"/>
  <c r="X137" i="3"/>
  <c r="R137" i="3"/>
  <c r="K137" i="3"/>
  <c r="E137" i="3"/>
  <c r="N136" i="3"/>
  <c r="K136" i="3"/>
  <c r="E136" i="3"/>
  <c r="S135" i="3"/>
  <c r="K135" i="3"/>
  <c r="E135" i="3"/>
  <c r="U134" i="3"/>
  <c r="Q134" i="3"/>
  <c r="K134" i="3"/>
  <c r="E134" i="3"/>
  <c r="Z133" i="3"/>
  <c r="K133" i="3"/>
  <c r="E133" i="3"/>
  <c r="W132" i="3"/>
  <c r="M132" i="3"/>
  <c r="K132" i="3"/>
  <c r="E132" i="3"/>
  <c r="Y131" i="3"/>
  <c r="N131" i="3"/>
  <c r="K131" i="3"/>
  <c r="E131" i="3"/>
  <c r="X130" i="3"/>
  <c r="O130" i="3"/>
  <c r="K130" i="3"/>
  <c r="E130" i="3"/>
  <c r="K129" i="3"/>
  <c r="E129" i="3"/>
  <c r="AD128" i="3"/>
  <c r="W128" i="3"/>
  <c r="M128" i="3"/>
  <c r="K128" i="3"/>
  <c r="E128" i="3"/>
  <c r="AD127" i="3"/>
  <c r="U127" i="3"/>
  <c r="R127" i="3"/>
  <c r="Q127" i="3"/>
  <c r="K127" i="3"/>
  <c r="E127" i="3"/>
  <c r="K126" i="3"/>
  <c r="E126" i="3"/>
  <c r="K96" i="3"/>
  <c r="E96" i="3"/>
  <c r="O125" i="3"/>
  <c r="K125" i="3"/>
  <c r="E125" i="3"/>
  <c r="Y124" i="3"/>
  <c r="X124" i="3"/>
  <c r="S124" i="3"/>
  <c r="N124" i="3"/>
  <c r="K124" i="3"/>
  <c r="E124" i="3"/>
  <c r="K123" i="3"/>
  <c r="E123" i="3"/>
  <c r="X122" i="3"/>
  <c r="U122" i="3"/>
  <c r="R122" i="3"/>
  <c r="Q122" i="3"/>
  <c r="K122" i="3"/>
  <c r="E122" i="3"/>
  <c r="K121" i="3"/>
  <c r="E121" i="3"/>
  <c r="AD120" i="3"/>
  <c r="W120" i="3"/>
  <c r="M120" i="3"/>
  <c r="K120" i="3"/>
  <c r="E120" i="3"/>
  <c r="T118" i="3"/>
  <c r="O118" i="3"/>
  <c r="K118" i="3"/>
  <c r="E118" i="3"/>
  <c r="S117" i="3"/>
  <c r="N117" i="3"/>
  <c r="K117" i="3"/>
  <c r="E117" i="3"/>
  <c r="K86" i="3"/>
  <c r="E86" i="3"/>
  <c r="U116" i="3"/>
  <c r="R116" i="3"/>
  <c r="Q116" i="3"/>
  <c r="K116" i="3"/>
  <c r="E116" i="3"/>
  <c r="S115" i="3"/>
  <c r="N115" i="3"/>
  <c r="K115" i="3"/>
  <c r="E115" i="3"/>
  <c r="X114" i="3"/>
  <c r="S114" i="3"/>
  <c r="K114" i="3"/>
  <c r="E114" i="3"/>
  <c r="AD113" i="3"/>
  <c r="AA113" i="3"/>
  <c r="W113" i="3"/>
  <c r="N113" i="3"/>
  <c r="M113" i="3"/>
  <c r="K113" i="3"/>
  <c r="E113" i="3"/>
  <c r="S112" i="3"/>
  <c r="K112" i="3"/>
  <c r="E112" i="3"/>
  <c r="S111" i="3"/>
  <c r="K111" i="3"/>
  <c r="E111" i="3"/>
  <c r="Y110" i="3"/>
  <c r="S110" i="3"/>
  <c r="K110" i="3"/>
  <c r="E110" i="3"/>
  <c r="Y109" i="3"/>
  <c r="X109" i="3"/>
  <c r="S109" i="3"/>
  <c r="N109" i="3"/>
  <c r="K109" i="3"/>
  <c r="E109" i="3"/>
  <c r="K108" i="3"/>
  <c r="E108" i="3"/>
  <c r="O107" i="3"/>
  <c r="K107" i="3"/>
  <c r="E107" i="3"/>
  <c r="K106" i="3"/>
  <c r="E106" i="3"/>
  <c r="X105" i="3"/>
  <c r="U105" i="3"/>
  <c r="Q105" i="3"/>
  <c r="K105" i="3"/>
  <c r="E105" i="3"/>
  <c r="K104" i="3"/>
  <c r="E104" i="3"/>
  <c r="N103" i="3"/>
  <c r="K103" i="3"/>
  <c r="E103" i="3"/>
  <c r="X102" i="3"/>
  <c r="O102" i="3"/>
  <c r="K102" i="3"/>
  <c r="E102" i="3"/>
  <c r="Z101" i="3"/>
  <c r="K101" i="3"/>
  <c r="E101" i="3"/>
  <c r="AD100" i="3"/>
  <c r="AA100" i="3"/>
  <c r="U100" i="3"/>
  <c r="Q100" i="3"/>
  <c r="K100" i="3"/>
  <c r="E100" i="3"/>
  <c r="AA99" i="3"/>
  <c r="K99" i="3"/>
  <c r="E99" i="3"/>
  <c r="X98" i="3"/>
  <c r="S98" i="3"/>
  <c r="K98" i="3"/>
  <c r="E98" i="3"/>
  <c r="X97" i="3"/>
  <c r="N97" i="3"/>
  <c r="K97" i="3"/>
  <c r="E97" i="3"/>
  <c r="O95" i="3"/>
  <c r="K95" i="3"/>
  <c r="E95" i="3"/>
  <c r="K94" i="3"/>
  <c r="E94" i="3"/>
  <c r="AA93" i="3"/>
  <c r="X93" i="3"/>
  <c r="S93" i="3"/>
  <c r="K93" i="3"/>
  <c r="E93" i="3"/>
  <c r="N92" i="3"/>
  <c r="K92" i="3"/>
  <c r="E92" i="3"/>
  <c r="AD91" i="3"/>
  <c r="X91" i="3"/>
  <c r="W91" i="3"/>
  <c r="M91" i="3"/>
  <c r="K91" i="3"/>
  <c r="E91" i="3"/>
  <c r="AA90" i="3"/>
  <c r="Y90" i="3"/>
  <c r="X90" i="3"/>
  <c r="S90" i="3"/>
  <c r="K90" i="3"/>
  <c r="E90" i="3"/>
  <c r="X89" i="3"/>
  <c r="K89" i="3"/>
  <c r="E89" i="3"/>
  <c r="N88" i="3"/>
  <c r="K88" i="3"/>
  <c r="E88" i="3"/>
  <c r="K68" i="3"/>
  <c r="E68" i="3"/>
  <c r="U87" i="3"/>
  <c r="K87" i="3"/>
  <c r="E87" i="3"/>
  <c r="N85" i="3"/>
  <c r="M85" i="3"/>
  <c r="K85" i="3"/>
  <c r="E85" i="3"/>
  <c r="K84" i="3"/>
  <c r="E84" i="3"/>
  <c r="Y83" i="3"/>
  <c r="X83" i="3"/>
  <c r="S83" i="3"/>
  <c r="N83" i="3"/>
  <c r="K83" i="3"/>
  <c r="E83" i="3"/>
  <c r="W82" i="3"/>
  <c r="M82" i="3"/>
  <c r="K82" i="3"/>
  <c r="E82" i="3"/>
  <c r="AA81" i="3"/>
  <c r="X81" i="3"/>
  <c r="S81" i="3"/>
  <c r="O81" i="3"/>
  <c r="K81" i="3"/>
  <c r="E81" i="3"/>
  <c r="X80" i="3"/>
  <c r="S80" i="3"/>
  <c r="N80" i="3"/>
  <c r="K80" i="3"/>
  <c r="E80" i="3"/>
  <c r="X79" i="3"/>
  <c r="N79" i="3"/>
  <c r="K79" i="3"/>
  <c r="E79" i="3"/>
  <c r="K78" i="3"/>
  <c r="E78" i="3"/>
  <c r="U77" i="3"/>
  <c r="R77" i="3"/>
  <c r="Q77" i="3"/>
  <c r="N77" i="3"/>
  <c r="K77" i="3"/>
  <c r="E77" i="3"/>
  <c r="AD76" i="3"/>
  <c r="AA76" i="3"/>
  <c r="W76" i="3"/>
  <c r="N76" i="3"/>
  <c r="M76" i="3"/>
  <c r="K76" i="3"/>
  <c r="E76" i="3"/>
  <c r="X75" i="3"/>
  <c r="K75" i="3"/>
  <c r="E75" i="3"/>
  <c r="X74" i="3"/>
  <c r="S74" i="3"/>
  <c r="N74" i="3"/>
  <c r="K74" i="3"/>
  <c r="E74" i="3"/>
  <c r="U73" i="3"/>
  <c r="R73" i="3"/>
  <c r="Q73" i="3"/>
  <c r="K73" i="3"/>
  <c r="E73" i="3"/>
  <c r="K72" i="3"/>
  <c r="E72" i="3"/>
  <c r="K71" i="3"/>
  <c r="E71" i="3"/>
  <c r="X70" i="3"/>
  <c r="N70" i="3"/>
  <c r="K70" i="3"/>
  <c r="E70" i="3"/>
  <c r="Z69" i="3"/>
  <c r="S69" i="3"/>
  <c r="N69" i="3"/>
  <c r="K69" i="3"/>
  <c r="E69" i="3"/>
  <c r="AA67" i="3"/>
  <c r="X67" i="3"/>
  <c r="N67" i="3"/>
  <c r="K67" i="3"/>
  <c r="E67" i="3"/>
  <c r="K66" i="3"/>
  <c r="E66" i="3"/>
  <c r="AA65" i="3"/>
  <c r="Y65" i="3"/>
  <c r="S65" i="3"/>
  <c r="N65" i="3"/>
  <c r="K65" i="3"/>
  <c r="E65" i="3"/>
  <c r="K64" i="3"/>
  <c r="E64" i="3"/>
  <c r="AA63" i="3"/>
  <c r="K63" i="3"/>
  <c r="E63" i="3"/>
  <c r="N62" i="3"/>
  <c r="K62" i="3"/>
  <c r="E62" i="3"/>
  <c r="X61" i="3"/>
  <c r="T61" i="3"/>
  <c r="N61" i="3"/>
  <c r="K61" i="3"/>
  <c r="E61" i="3"/>
  <c r="AA60" i="3"/>
  <c r="N60" i="3"/>
  <c r="K60" i="3"/>
  <c r="E60" i="3"/>
  <c r="Y59" i="3"/>
  <c r="X59" i="3"/>
  <c r="S59" i="3"/>
  <c r="N59" i="3"/>
  <c r="K59" i="3"/>
  <c r="E59" i="3"/>
  <c r="AA58" i="3"/>
  <c r="X58" i="3"/>
  <c r="K58" i="3"/>
  <c r="E58" i="3"/>
  <c r="O57" i="3"/>
  <c r="K57" i="3"/>
  <c r="E57" i="3"/>
  <c r="X56" i="3"/>
  <c r="K56" i="3"/>
  <c r="E56" i="3"/>
  <c r="U55" i="3"/>
  <c r="R55" i="3"/>
  <c r="Q55" i="3"/>
  <c r="K55" i="3"/>
  <c r="E55" i="3"/>
  <c r="AD54" i="3"/>
  <c r="U54" i="3"/>
  <c r="Q54" i="3"/>
  <c r="K54" i="3"/>
  <c r="E54" i="3"/>
  <c r="Y53" i="3"/>
  <c r="N53" i="3"/>
  <c r="K53" i="3"/>
  <c r="E53" i="3"/>
  <c r="AA52" i="3"/>
  <c r="K52" i="3"/>
  <c r="E52" i="3"/>
  <c r="K51" i="3"/>
  <c r="E51" i="3"/>
  <c r="AA50" i="3"/>
  <c r="N50" i="3"/>
  <c r="K50" i="3"/>
  <c r="E50" i="3"/>
  <c r="AD49" i="3"/>
  <c r="U49" i="3"/>
  <c r="Q49" i="3"/>
  <c r="K49" i="3"/>
  <c r="E49" i="3"/>
  <c r="K48" i="3"/>
  <c r="E48" i="3"/>
  <c r="AD47" i="3"/>
  <c r="X47" i="3"/>
  <c r="R47" i="3"/>
  <c r="Q47" i="3"/>
  <c r="M47" i="3"/>
  <c r="K47" i="3"/>
  <c r="E47" i="3"/>
  <c r="S46" i="3"/>
  <c r="O46" i="3"/>
  <c r="K46" i="3"/>
  <c r="E46" i="3"/>
  <c r="K45" i="3"/>
  <c r="E45" i="3"/>
  <c r="U44" i="3"/>
  <c r="Q44" i="3"/>
  <c r="N44" i="3"/>
  <c r="K44" i="3"/>
  <c r="E44" i="3"/>
  <c r="N43" i="3"/>
  <c r="K43" i="3"/>
  <c r="E43" i="3"/>
  <c r="K41" i="3"/>
  <c r="E41" i="3"/>
  <c r="M39" i="3"/>
  <c r="K39" i="3"/>
  <c r="E39" i="3"/>
  <c r="N38" i="3"/>
  <c r="E38" i="3"/>
  <c r="N37" i="3"/>
  <c r="K37" i="3"/>
  <c r="E37" i="3"/>
  <c r="Y36" i="3"/>
  <c r="N36" i="3"/>
  <c r="K36" i="3"/>
  <c r="E36" i="3"/>
  <c r="AD35" i="3"/>
  <c r="W35" i="3"/>
  <c r="M35" i="3"/>
  <c r="K35" i="3"/>
  <c r="E35" i="3"/>
  <c r="K34" i="3"/>
  <c r="E34" i="3"/>
  <c r="AD33" i="3"/>
  <c r="AA33" i="3"/>
  <c r="W33" i="3"/>
  <c r="M33" i="3"/>
  <c r="K33" i="3"/>
  <c r="E33" i="3"/>
  <c r="AA32" i="3"/>
  <c r="N32" i="3"/>
  <c r="E32" i="3"/>
  <c r="X31" i="3"/>
  <c r="V31" i="3"/>
  <c r="M31" i="3"/>
  <c r="K31" i="3"/>
  <c r="E31" i="3"/>
  <c r="Y30" i="3"/>
  <c r="X30" i="3"/>
  <c r="S30" i="3"/>
  <c r="K30" i="3"/>
  <c r="E30" i="3"/>
  <c r="S29" i="3"/>
  <c r="O29" i="3"/>
  <c r="K29" i="3"/>
  <c r="E29" i="3"/>
  <c r="X28" i="3"/>
  <c r="K28" i="3"/>
  <c r="E28" i="3"/>
  <c r="K26" i="3"/>
  <c r="E26" i="3"/>
  <c r="AD25" i="3"/>
  <c r="W25" i="3"/>
  <c r="M25" i="3"/>
  <c r="K25" i="3"/>
  <c r="E25" i="3"/>
  <c r="Y24" i="3"/>
  <c r="X24" i="3"/>
  <c r="W24" i="3"/>
  <c r="V24" i="3"/>
  <c r="M24" i="3"/>
  <c r="K24" i="3"/>
  <c r="E24" i="3"/>
  <c r="AA23" i="3"/>
  <c r="K23" i="3"/>
  <c r="E23" i="3"/>
  <c r="AD22" i="3"/>
  <c r="W22" i="3"/>
  <c r="M22" i="3"/>
  <c r="K22" i="3"/>
  <c r="E22" i="3"/>
  <c r="K21" i="3"/>
  <c r="E21" i="3"/>
  <c r="AD20" i="3"/>
  <c r="AC20" i="3"/>
  <c r="X20" i="3"/>
  <c r="M20" i="3"/>
  <c r="K20" i="3"/>
  <c r="E20" i="3"/>
  <c r="W19" i="3"/>
  <c r="V19" i="3"/>
  <c r="M19" i="3"/>
  <c r="L19" i="3"/>
  <c r="K19" i="3"/>
  <c r="E19" i="3"/>
  <c r="AD18" i="3"/>
  <c r="R18" i="3"/>
  <c r="Q18" i="3"/>
  <c r="M18" i="3"/>
  <c r="K18" i="3"/>
  <c r="E18" i="3"/>
  <c r="M17" i="3"/>
  <c r="L17" i="3"/>
  <c r="K17" i="3"/>
  <c r="E17" i="3"/>
  <c r="AD16" i="3"/>
  <c r="AC16" i="3"/>
  <c r="M16" i="3"/>
  <c r="K16" i="3"/>
  <c r="E16" i="3"/>
  <c r="AD15" i="3"/>
  <c r="AC15" i="3"/>
  <c r="W15" i="3"/>
  <c r="M15" i="3"/>
  <c r="K15" i="3"/>
  <c r="E15" i="3"/>
  <c r="AD14" i="3"/>
  <c r="W14" i="3"/>
  <c r="V14" i="3"/>
  <c r="M14" i="3"/>
  <c r="K14" i="3"/>
  <c r="E14" i="3"/>
  <c r="N13" i="3"/>
  <c r="K13" i="3"/>
  <c r="E13" i="3"/>
  <c r="AD12" i="3"/>
  <c r="AC12" i="3"/>
  <c r="M12" i="3"/>
  <c r="K12" i="3"/>
  <c r="E12" i="3"/>
  <c r="Y11" i="3"/>
  <c r="N11" i="3"/>
  <c r="K11" i="3"/>
  <c r="E11" i="3"/>
  <c r="K10" i="3"/>
  <c r="E10" i="3"/>
  <c r="K9" i="3"/>
  <c r="E9" i="3"/>
  <c r="K8" i="3"/>
  <c r="E8" i="3"/>
  <c r="K7" i="3"/>
  <c r="E7" i="3"/>
  <c r="N6" i="3"/>
  <c r="K6" i="3"/>
  <c r="E6" i="3"/>
  <c r="K5" i="3"/>
  <c r="E5" i="3"/>
  <c r="E4" i="3"/>
  <c r="K3" i="3"/>
  <c r="E3" i="3"/>
</calcChain>
</file>

<file path=xl/sharedStrings.xml><?xml version="1.0" encoding="utf-8"?>
<sst xmlns="http://schemas.openxmlformats.org/spreadsheetml/2006/main" count="2889" uniqueCount="1250">
  <si>
    <t>順位</t>
  </si>
  <si>
    <t>SAT競技者番号</t>
  </si>
  <si>
    <t>選手氏名</t>
  </si>
  <si>
    <t>団体名</t>
  </si>
  <si>
    <t>期中ポイント</t>
  </si>
  <si>
    <t>期中Fig</t>
  </si>
  <si>
    <t>期末ポイント</t>
  </si>
  <si>
    <t>期末Fig</t>
  </si>
  <si>
    <t>適用パターン</t>
  </si>
  <si>
    <t>最終登録年度</t>
  </si>
  <si>
    <t>木村 翔馬</t>
  </si>
  <si>
    <t>東京スポーツマンクラブ</t>
  </si>
  <si>
    <t>①</t>
  </si>
  <si>
    <t>鈴木 修太郎</t>
  </si>
  <si>
    <t>ラッチ（RACH)</t>
  </si>
  <si>
    <t>一ノ瀬 丞</t>
  </si>
  <si>
    <t>東京都高等学校体育連盟スキー部</t>
  </si>
  <si>
    <t>八王子スキー連盟</t>
  </si>
  <si>
    <t>*</t>
  </si>
  <si>
    <t>山口 礼雅</t>
  </si>
  <si>
    <t>秋本 健太</t>
  </si>
  <si>
    <t>坂本 貴優</t>
  </si>
  <si>
    <t>ＩＣＩ石井スポーツスキークラブ</t>
  </si>
  <si>
    <t>田中 亜留羽</t>
  </si>
  <si>
    <t>練馬区スキー協会</t>
  </si>
  <si>
    <t>高原 悠綺</t>
  </si>
  <si>
    <t>Ｚスキークラブ</t>
  </si>
  <si>
    <t>ジーファクトリー</t>
  </si>
  <si>
    <t>鈴木 一生</t>
  </si>
  <si>
    <t>東京都中学校体育連盟スキー部</t>
  </si>
  <si>
    <t>森下 颯大</t>
  </si>
  <si>
    <t>永田 嵐</t>
  </si>
  <si>
    <t>平野 颯人</t>
  </si>
  <si>
    <t>岡本 龍</t>
  </si>
  <si>
    <t>ユーエスエムアール</t>
  </si>
  <si>
    <t>奥村 英樹</t>
  </si>
  <si>
    <t>萩生田 純宇</t>
  </si>
  <si>
    <t>鈴木 朋哉</t>
  </si>
  <si>
    <t>萩生田 博之</t>
  </si>
  <si>
    <t>荒井 大地</t>
  </si>
  <si>
    <t>チームディーエルベーハースキークラブ</t>
  </si>
  <si>
    <t>吉田 裕治</t>
  </si>
  <si>
    <t>チーム フォン (TEAM VON)</t>
  </si>
  <si>
    <t>齋木 秀哉</t>
  </si>
  <si>
    <t>若葉スキークラブ</t>
  </si>
  <si>
    <t>市川 隼也</t>
  </si>
  <si>
    <t>ベラーク</t>
  </si>
  <si>
    <t>康野 皓嗣</t>
  </si>
  <si>
    <t>市川 岳海</t>
  </si>
  <si>
    <t>工藤 亮太</t>
  </si>
  <si>
    <t>篠木 知</t>
  </si>
  <si>
    <t>チーム・ビートゥー・ゼット</t>
  </si>
  <si>
    <t>窪島 竜太</t>
  </si>
  <si>
    <t>西山 陸斗</t>
  </si>
  <si>
    <t>岡田 勝義</t>
  </si>
  <si>
    <t>三鷹市スキー連盟</t>
  </si>
  <si>
    <t>増田 蒼</t>
  </si>
  <si>
    <t>荒井 祐治</t>
  </si>
  <si>
    <t>モンタナスキークラブ</t>
  </si>
  <si>
    <t>アカデミースキークラブ</t>
  </si>
  <si>
    <t>瓦井 海年</t>
  </si>
  <si>
    <t>鈴木 真</t>
  </si>
  <si>
    <t>ＧＯＤレーシング</t>
  </si>
  <si>
    <t>ファイヤーレーシングチーム</t>
  </si>
  <si>
    <t>平松 直季</t>
  </si>
  <si>
    <t>竹内 明</t>
  </si>
  <si>
    <t>秋山 航一</t>
  </si>
  <si>
    <t>武蔵野市スキー連盟</t>
  </si>
  <si>
    <t>村山 高志</t>
  </si>
  <si>
    <t>湯口 暁</t>
  </si>
  <si>
    <t>黒澤 俊平</t>
  </si>
  <si>
    <t>マイズ（MyS）スキークラブ</t>
  </si>
  <si>
    <t>栗山 一輝</t>
  </si>
  <si>
    <t>野辺山スキークラブ</t>
  </si>
  <si>
    <t>古川 信行</t>
  </si>
  <si>
    <t>ミーナン シーフラ</t>
  </si>
  <si>
    <t>カンダハートライブ レーシング</t>
  </si>
  <si>
    <t>宮脇 駿</t>
  </si>
  <si>
    <t>三原 蔵</t>
  </si>
  <si>
    <t>ＭＡＸＩＭＵＭスキーチーム</t>
  </si>
  <si>
    <t>秋元 嘉幸</t>
  </si>
  <si>
    <t>スノーウインドスキークラブ</t>
  </si>
  <si>
    <t>手塚 達也</t>
  </si>
  <si>
    <t>日本アルペンスキークラブ</t>
  </si>
  <si>
    <t>武井 哲応</t>
  </si>
  <si>
    <t>港区スキー連盟</t>
  </si>
  <si>
    <t>山内 直己</t>
  </si>
  <si>
    <t>水川 太貴</t>
  </si>
  <si>
    <t>戸祭 修平</t>
  </si>
  <si>
    <t>峰咲 誠弥</t>
  </si>
  <si>
    <t>大平 誠</t>
  </si>
  <si>
    <t>志村 康太</t>
  </si>
  <si>
    <t>髙井 勇翔</t>
  </si>
  <si>
    <t>片野 景太</t>
  </si>
  <si>
    <t>中村 光宏</t>
  </si>
  <si>
    <t>西尾 一輝</t>
  </si>
  <si>
    <t>青木 麗雅</t>
  </si>
  <si>
    <t>西原 駿介</t>
  </si>
  <si>
    <t>石渡 亮</t>
  </si>
  <si>
    <t>渕脇 滉太</t>
  </si>
  <si>
    <t>栗原 渉</t>
  </si>
  <si>
    <t>村本 成洋</t>
  </si>
  <si>
    <t>サウンズスキークラブ</t>
  </si>
  <si>
    <t>雪桜会</t>
  </si>
  <si>
    <t>生形 嘉良</t>
  </si>
  <si>
    <t>アートスポーツスキークラブ</t>
  </si>
  <si>
    <t>前田 湧作</t>
  </si>
  <si>
    <t>山田 裕之</t>
  </si>
  <si>
    <t>世田谷区スキー協会</t>
  </si>
  <si>
    <t>大野 兼司</t>
  </si>
  <si>
    <t>ステューピッドスキークラブ</t>
  </si>
  <si>
    <t>荒井 元気</t>
  </si>
  <si>
    <t>河辺 敏郎</t>
  </si>
  <si>
    <t>川又 眞綱</t>
  </si>
  <si>
    <t>日本ユニシススキークラブ</t>
  </si>
  <si>
    <t>片山 亮志</t>
  </si>
  <si>
    <t>浅見 裕</t>
  </si>
  <si>
    <t>スラロームスキークラブ</t>
  </si>
  <si>
    <t>内山 祐一</t>
  </si>
  <si>
    <t>グランバン・レーシング</t>
  </si>
  <si>
    <t>沼田 雅人</t>
  </si>
  <si>
    <t>チーム　ラッシュ</t>
  </si>
  <si>
    <t>小松原 誠</t>
  </si>
  <si>
    <t>大江 健嗣</t>
  </si>
  <si>
    <t>青木 智洋</t>
  </si>
  <si>
    <t>日留川 領介</t>
  </si>
  <si>
    <t>小宮 章弘</t>
  </si>
  <si>
    <t>江頭 至光</t>
  </si>
  <si>
    <t>バモススキークラブ</t>
  </si>
  <si>
    <t>日紫喜 薫</t>
  </si>
  <si>
    <t>伴 健太郎</t>
  </si>
  <si>
    <t>成城スキークラブ</t>
  </si>
  <si>
    <t>吉武 竜輝</t>
  </si>
  <si>
    <t>吉澤 雅晴</t>
  </si>
  <si>
    <t>エーデル・スキー・クラブ</t>
  </si>
  <si>
    <t>阿部 宗司</t>
  </si>
  <si>
    <t>横山 省</t>
  </si>
  <si>
    <t>山中 駿</t>
  </si>
  <si>
    <t>福島 光伸</t>
  </si>
  <si>
    <t>伊藤 裕行</t>
  </si>
  <si>
    <t>康野 瑛嗣</t>
  </si>
  <si>
    <t>野々山 淳</t>
  </si>
  <si>
    <t>清水 靖男</t>
  </si>
  <si>
    <t>富安 有爾</t>
  </si>
  <si>
    <t>木島 秀夫</t>
  </si>
  <si>
    <t>JFEスチールスキー部</t>
  </si>
  <si>
    <t>北原 貴太</t>
  </si>
  <si>
    <t>井上 雅王</t>
  </si>
  <si>
    <t>村上 雅也</t>
  </si>
  <si>
    <t>野原 徹雄</t>
  </si>
  <si>
    <t>ウィッツ</t>
  </si>
  <si>
    <t>田中 慈音</t>
  </si>
  <si>
    <t>大髙 裕生</t>
  </si>
  <si>
    <t>本山 貴大</t>
  </si>
  <si>
    <t>堀尾 和正</t>
  </si>
  <si>
    <t>ヴェーデルンスキークラブ</t>
  </si>
  <si>
    <t>岡本 悟</t>
  </si>
  <si>
    <t>河野 太郎</t>
  </si>
  <si>
    <t>川口 一司</t>
  </si>
  <si>
    <t>川手 健太郎</t>
  </si>
  <si>
    <t>横山 哲也</t>
  </si>
  <si>
    <t>東京アルム・スキークラブ</t>
  </si>
  <si>
    <t>服部 正史</t>
  </si>
  <si>
    <t>伴 啓明</t>
  </si>
  <si>
    <t>三田ディモンズクラブ</t>
  </si>
  <si>
    <t>小平市スキー連盟</t>
  </si>
  <si>
    <t>坂井 智和</t>
  </si>
  <si>
    <t>スノータンネットクラブ</t>
  </si>
  <si>
    <t>星野 英郎</t>
  </si>
  <si>
    <t>ゲインレーシングチーム</t>
  </si>
  <si>
    <t>板橋区スキー協会</t>
  </si>
  <si>
    <t>ツィールトウキョウ（Ｚieｌ Tokyo)</t>
  </si>
  <si>
    <t>松田 祐兒</t>
  </si>
  <si>
    <t>小笠原 世亜</t>
  </si>
  <si>
    <t>浅輪 景一</t>
  </si>
  <si>
    <t>東谷 学由</t>
  </si>
  <si>
    <t>篠塚 成輝</t>
  </si>
  <si>
    <t>スキーチームアスリート</t>
  </si>
  <si>
    <t>前田 将宏</t>
  </si>
  <si>
    <t>アスペンスキークラブ</t>
  </si>
  <si>
    <t>深澤 伸朗</t>
  </si>
  <si>
    <t>ホリディスキークラブ</t>
  </si>
  <si>
    <t>相馬 悟</t>
  </si>
  <si>
    <t>濱野 真之</t>
  </si>
  <si>
    <t>エスプーマスキーチーム</t>
  </si>
  <si>
    <t>幸得 凌大</t>
  </si>
  <si>
    <t>瀬田 昌彦</t>
  </si>
  <si>
    <t>酒井 貴弘</t>
  </si>
  <si>
    <t>中野区スキー協会</t>
  </si>
  <si>
    <t>福岡 大知</t>
  </si>
  <si>
    <t>アールビー　トウキョウ</t>
  </si>
  <si>
    <t>松田 笙太郎</t>
  </si>
  <si>
    <t>福室 心</t>
  </si>
  <si>
    <t>新名 将也</t>
  </si>
  <si>
    <t>干場 英城</t>
  </si>
  <si>
    <t>新宿スキークラブ</t>
  </si>
  <si>
    <t>江東区スキー連盟</t>
  </si>
  <si>
    <t>安川 嘉敬</t>
  </si>
  <si>
    <t>シュアスキークラブ</t>
  </si>
  <si>
    <t>石川 忠良</t>
  </si>
  <si>
    <t>高橋 尚暉</t>
  </si>
  <si>
    <t>栗林 一成</t>
  </si>
  <si>
    <t>馬場 健哉</t>
  </si>
  <si>
    <t>鈴木 鷹平</t>
  </si>
  <si>
    <t>ジャスク</t>
  </si>
  <si>
    <t>星野 倭山</t>
  </si>
  <si>
    <t>宮脇 瞭</t>
  </si>
  <si>
    <t>清水 悟</t>
  </si>
  <si>
    <t>シール・クラブ</t>
  </si>
  <si>
    <t>福岡 利悦</t>
  </si>
  <si>
    <t>林 幸司</t>
  </si>
  <si>
    <t>スノーマン</t>
  </si>
  <si>
    <t>澤田 健</t>
  </si>
  <si>
    <t>ディップス スキークラブ</t>
  </si>
  <si>
    <t>亀山 詔一</t>
  </si>
  <si>
    <t>市川 知宏</t>
  </si>
  <si>
    <t>杉浦 仁</t>
  </si>
  <si>
    <t>三浦 雄輝</t>
  </si>
  <si>
    <t>天谷 祥吾</t>
  </si>
  <si>
    <t>トラームスキークラブ</t>
  </si>
  <si>
    <t>大塚 裕太</t>
  </si>
  <si>
    <t>馬場 雅哉</t>
  </si>
  <si>
    <t>池野 大介</t>
  </si>
  <si>
    <t>清瀬スキー倶楽部</t>
  </si>
  <si>
    <t>林 昭三</t>
  </si>
  <si>
    <t>新出 翔太</t>
  </si>
  <si>
    <t>神蔵 順一朗</t>
  </si>
  <si>
    <t>松野 賢一</t>
  </si>
  <si>
    <t>福田 凌介</t>
  </si>
  <si>
    <t>高橋 廣</t>
  </si>
  <si>
    <t>野村 一貴</t>
  </si>
  <si>
    <t>特別区職員文化体育会スキー部</t>
  </si>
  <si>
    <t>宇佐見 裕</t>
  </si>
  <si>
    <t>吉田 祥貴</t>
  </si>
  <si>
    <t>高橋 勇太郎</t>
  </si>
  <si>
    <t>上野 歩夢</t>
  </si>
  <si>
    <t>伊藤 肇</t>
  </si>
  <si>
    <t>ペガーズスキークラブ</t>
  </si>
  <si>
    <t>大高 昇</t>
  </si>
  <si>
    <t>日下部 卓哉</t>
  </si>
  <si>
    <t>片桐 哲夫</t>
  </si>
  <si>
    <t>スポーツファンクション</t>
  </si>
  <si>
    <t>入江 哲郎</t>
  </si>
  <si>
    <t>小塩 慶人</t>
  </si>
  <si>
    <t>摠谷 怜隼</t>
  </si>
  <si>
    <t>高山 元成</t>
  </si>
  <si>
    <t>前波 賢彦</t>
  </si>
  <si>
    <t>浅貝スキークラブ</t>
  </si>
  <si>
    <t>大武 正幸</t>
  </si>
  <si>
    <t>上村 黎</t>
  </si>
  <si>
    <t>重光 玄</t>
  </si>
  <si>
    <t>野上 信悟</t>
  </si>
  <si>
    <t>根津 佑介</t>
  </si>
  <si>
    <t>後藤 和海</t>
  </si>
  <si>
    <t>手塚 雅貴</t>
  </si>
  <si>
    <t>清野 雅彦</t>
  </si>
  <si>
    <t>大髙 照平</t>
  </si>
  <si>
    <t>アロースキークラブ</t>
  </si>
  <si>
    <t>斉藤 博幸</t>
  </si>
  <si>
    <t>吉田 裕</t>
  </si>
  <si>
    <t>吉川 昌宏</t>
  </si>
  <si>
    <t>今野 敬行</t>
  </si>
  <si>
    <t>辻 卓弥</t>
  </si>
  <si>
    <t>有馬 卓郎</t>
  </si>
  <si>
    <t>ふくろうスキークラブ</t>
  </si>
  <si>
    <t>福岡 秀幸</t>
  </si>
  <si>
    <t>大内 武彦</t>
  </si>
  <si>
    <t>西川 建</t>
  </si>
  <si>
    <t>須賀 亮太</t>
  </si>
  <si>
    <t>保江 佳克</t>
  </si>
  <si>
    <t>日立製作所本社スキー部</t>
  </si>
  <si>
    <t>大田 想楽</t>
  </si>
  <si>
    <t>森川 勉</t>
  </si>
  <si>
    <t>丸山 貴宏</t>
  </si>
  <si>
    <t>スノースケープ</t>
  </si>
  <si>
    <t>佐藤 大悟</t>
  </si>
  <si>
    <t>早道 奏喜</t>
  </si>
  <si>
    <t>石野 雄一</t>
  </si>
  <si>
    <t>藤枝 良男</t>
  </si>
  <si>
    <t>竹内 宇音</t>
  </si>
  <si>
    <t>頼光 竜二郎</t>
  </si>
  <si>
    <t>横田 剛直</t>
  </si>
  <si>
    <t>ヌプリスキー同人</t>
  </si>
  <si>
    <t>加藤 裕</t>
  </si>
  <si>
    <t>市河 宏章</t>
  </si>
  <si>
    <t>田沢 慎吾</t>
  </si>
  <si>
    <t>岡本 宏和</t>
  </si>
  <si>
    <t>武蔵村山スキー協会</t>
  </si>
  <si>
    <t>福田 博文</t>
  </si>
  <si>
    <t>府中市スキー連盟</t>
  </si>
  <si>
    <t>髙杉 豪</t>
  </si>
  <si>
    <t>スキーサークルスリム</t>
  </si>
  <si>
    <t>柚木 裕明</t>
  </si>
  <si>
    <t>紀 晃太</t>
  </si>
  <si>
    <t>アシックス・スキークラブ</t>
  </si>
  <si>
    <t>野中 走馬</t>
  </si>
  <si>
    <t>安國 貴彦</t>
  </si>
  <si>
    <t>中島 世生</t>
  </si>
  <si>
    <t>今野 太生</t>
  </si>
  <si>
    <t>髙橋 雄司</t>
  </si>
  <si>
    <t>堂内 憲治</t>
  </si>
  <si>
    <t>中村 英樹</t>
  </si>
  <si>
    <t>ＮＥＣ府中スキー部</t>
  </si>
  <si>
    <t>大沼 修</t>
  </si>
  <si>
    <t>丸沼高原レーシングクラブ</t>
  </si>
  <si>
    <t>熊谷 和則</t>
  </si>
  <si>
    <t>小平 健太郎</t>
  </si>
  <si>
    <t>紺谷 克昌</t>
  </si>
  <si>
    <t>高橋 俊晴</t>
  </si>
  <si>
    <t>柳川 誠一郎</t>
  </si>
  <si>
    <t>髙橋 駿太</t>
  </si>
  <si>
    <t>尼崎 義郎</t>
  </si>
  <si>
    <t>須藤 圭一</t>
  </si>
  <si>
    <t>梅原 久</t>
  </si>
  <si>
    <t>加藤 禎博</t>
  </si>
  <si>
    <t>加来 彩人</t>
  </si>
  <si>
    <t>山下 登</t>
  </si>
  <si>
    <t>秋山 功</t>
  </si>
  <si>
    <t>二十日石アルペンスキークラブ</t>
  </si>
  <si>
    <t>浦井 芳洋</t>
  </si>
  <si>
    <t>石川 賢</t>
  </si>
  <si>
    <t>上村 爽</t>
  </si>
  <si>
    <t>鈴木 貴大</t>
  </si>
  <si>
    <t>東京アマチュア・スキー・クラブ</t>
  </si>
  <si>
    <t>松村 周平</t>
  </si>
  <si>
    <t>蔵前 優生</t>
  </si>
  <si>
    <t>西原 優太</t>
  </si>
  <si>
    <t>遠藤 太郎</t>
  </si>
  <si>
    <t>瀬戸崎 健</t>
  </si>
  <si>
    <t>遠藤 正紀</t>
  </si>
  <si>
    <t>斎藤 充</t>
  </si>
  <si>
    <t>鈴木 望</t>
  </si>
  <si>
    <t>竹内 弘之</t>
  </si>
  <si>
    <t>竹山 晃司</t>
  </si>
  <si>
    <t>澤田 祐二</t>
  </si>
  <si>
    <t>ブランシェリースキー クローブ</t>
  </si>
  <si>
    <t>上野 雄平</t>
  </si>
  <si>
    <t>東京デフスキークラブ</t>
  </si>
  <si>
    <t>松山 光男</t>
  </si>
  <si>
    <t>杉山 幹直</t>
  </si>
  <si>
    <t>白馬スキークラブ</t>
  </si>
  <si>
    <t>髙橋 ヤマト</t>
  </si>
  <si>
    <t>ＵＮＯスキークラブ</t>
  </si>
  <si>
    <t>小野 雄一</t>
  </si>
  <si>
    <t>島田 樹空</t>
  </si>
  <si>
    <t>廣作 拓郎</t>
  </si>
  <si>
    <t>坂崎 一郎</t>
  </si>
  <si>
    <t>高杉 晋治</t>
  </si>
  <si>
    <t>島田 喜久則</t>
  </si>
  <si>
    <t>三明 拓也</t>
  </si>
  <si>
    <t>鈴木 脩斗</t>
  </si>
  <si>
    <t>遠藤 裕太</t>
  </si>
  <si>
    <t>三田リーゼンスキークラブ</t>
  </si>
  <si>
    <t>大湯 正彦</t>
  </si>
  <si>
    <t>山本 拓磨</t>
  </si>
  <si>
    <t>今村 郁男</t>
  </si>
  <si>
    <t>古川 浩次</t>
  </si>
  <si>
    <t>吉野 尚恭</t>
  </si>
  <si>
    <t>ジューディッチ ロメオ</t>
  </si>
  <si>
    <t>中川 圭介</t>
  </si>
  <si>
    <t>清水 則雪</t>
  </si>
  <si>
    <t>横山 周人</t>
  </si>
  <si>
    <t>須藤 公貴</t>
  </si>
  <si>
    <t>バディスポーツクラブ</t>
  </si>
  <si>
    <t>荻生 紳太郎</t>
  </si>
  <si>
    <t>広瀬 逸郎</t>
  </si>
  <si>
    <t>大木 寛人</t>
  </si>
  <si>
    <t>谷延 愼司</t>
  </si>
  <si>
    <t>海山 智九</t>
  </si>
  <si>
    <t>田中 智樹</t>
  </si>
  <si>
    <t>青木 祐介</t>
  </si>
  <si>
    <t>福室 直志</t>
  </si>
  <si>
    <t>粕谷 岳洋</t>
  </si>
  <si>
    <t>藤 皓貴</t>
  </si>
  <si>
    <t>福嶋 剛</t>
  </si>
  <si>
    <t>長尾 峻治</t>
  </si>
  <si>
    <t>板羽 佑樹</t>
  </si>
  <si>
    <t>阿部 祐三</t>
  </si>
  <si>
    <t>東京消防庁スキー部</t>
  </si>
  <si>
    <t>篠 誠</t>
  </si>
  <si>
    <t>赤尾 豪宜</t>
  </si>
  <si>
    <t>川上 光一</t>
  </si>
  <si>
    <t>木村 久一</t>
  </si>
  <si>
    <t>髙橋 大喜</t>
  </si>
  <si>
    <t>坂内 友岳</t>
  </si>
  <si>
    <t>平岡 一志</t>
  </si>
  <si>
    <t>瀬戸 信治</t>
  </si>
  <si>
    <t>木村 颯汰</t>
  </si>
  <si>
    <t>吉川 剛志</t>
  </si>
  <si>
    <t>是枝 祐太</t>
  </si>
  <si>
    <t>福田 智弘</t>
  </si>
  <si>
    <t>杉並区スキー連盟</t>
  </si>
  <si>
    <t>酒井 直希</t>
  </si>
  <si>
    <t>増田 卓郎</t>
  </si>
  <si>
    <t>チロルスキークラブ</t>
  </si>
  <si>
    <t>山田 範秀</t>
  </si>
  <si>
    <t>吉野 康博</t>
  </si>
  <si>
    <t>木所 雅征</t>
  </si>
  <si>
    <t>十河 義勝</t>
  </si>
  <si>
    <t>横山 真太郎</t>
  </si>
  <si>
    <t>香取 優斗</t>
  </si>
  <si>
    <t>神尾 昴雅</t>
  </si>
  <si>
    <t>黒越 亮史</t>
  </si>
  <si>
    <t>小野木 直人</t>
  </si>
  <si>
    <t>阿部 光一郎</t>
  </si>
  <si>
    <t>久和野 純也</t>
  </si>
  <si>
    <t>河村 達哉</t>
  </si>
  <si>
    <t>小林 東次</t>
  </si>
  <si>
    <t>山田 孝夫</t>
  </si>
  <si>
    <t>石崎 英文</t>
  </si>
  <si>
    <t>森北 和志</t>
  </si>
  <si>
    <t>大橋 拓真</t>
  </si>
  <si>
    <t>飯塚 修平</t>
  </si>
  <si>
    <t>東京ミタカファーストスキークラブ</t>
  </si>
  <si>
    <t>阿部 謙一</t>
  </si>
  <si>
    <t>海部 圭史</t>
  </si>
  <si>
    <t>熊沢 明</t>
  </si>
  <si>
    <t>長瀬 好幸</t>
  </si>
  <si>
    <t>川崎 俊輔</t>
  </si>
  <si>
    <t>菊池 立身</t>
  </si>
  <si>
    <t>北区スキー連盟</t>
  </si>
  <si>
    <t>中野 義達</t>
  </si>
  <si>
    <t>杉本 明俊</t>
  </si>
  <si>
    <t>遊佐 詔一</t>
  </si>
  <si>
    <t>渡会 一成</t>
  </si>
  <si>
    <t>廣田 香有</t>
  </si>
  <si>
    <t>宮崎 浩</t>
  </si>
  <si>
    <t>小沼 雄暉</t>
  </si>
  <si>
    <t>無量小路 俊輔</t>
  </si>
  <si>
    <t>吉澤 采佑</t>
  </si>
  <si>
    <t>高橋 貞史</t>
  </si>
  <si>
    <t>東京都庁体育会スキー部</t>
  </si>
  <si>
    <t>金子 大翔</t>
  </si>
  <si>
    <t>田中 敏明</t>
  </si>
  <si>
    <t>神田 友義</t>
  </si>
  <si>
    <t>田中 基</t>
  </si>
  <si>
    <t>武井 雅大</t>
  </si>
  <si>
    <t>吉川 慶治郎</t>
  </si>
  <si>
    <t>竹本 圭佑</t>
  </si>
  <si>
    <t>ブルース クロフォード</t>
  </si>
  <si>
    <t>榎本 雄高</t>
  </si>
  <si>
    <t>窪田 哲也</t>
  </si>
  <si>
    <t>鳥居 正行</t>
  </si>
  <si>
    <t>吉田 哲平</t>
  </si>
  <si>
    <t>伊藤 拓美</t>
  </si>
  <si>
    <t>吉田 尭</t>
  </si>
  <si>
    <t>立野 博之</t>
  </si>
  <si>
    <t>黒崎 信之</t>
  </si>
  <si>
    <t>飯山 堅介</t>
  </si>
  <si>
    <t>中田 祐希</t>
  </si>
  <si>
    <t>梶原 龍之佑</t>
  </si>
  <si>
    <t>三井 伸一</t>
  </si>
  <si>
    <t>山田 勝巳</t>
  </si>
  <si>
    <t>ホワイト・ベア・クラブ</t>
  </si>
  <si>
    <t>秋元 俊祐</t>
  </si>
  <si>
    <t>柴崎 功士</t>
  </si>
  <si>
    <t>中山 健史</t>
  </si>
  <si>
    <t>山崎 湧太</t>
  </si>
  <si>
    <t>小川 ルーク</t>
  </si>
  <si>
    <t>佐藤 稜</t>
  </si>
  <si>
    <t>武井 克己</t>
  </si>
  <si>
    <t>秦 義史</t>
  </si>
  <si>
    <t>粟津 健太</t>
  </si>
  <si>
    <t>佐々木 健一</t>
  </si>
  <si>
    <t>石井 哲也</t>
  </si>
  <si>
    <t>中島 史晶</t>
  </si>
  <si>
    <t>馬越 太朗</t>
  </si>
  <si>
    <t>笛木 正一</t>
  </si>
  <si>
    <t>石井 啓太</t>
  </si>
  <si>
    <t>永田 俊太郎</t>
  </si>
  <si>
    <t>市村 隼人</t>
  </si>
  <si>
    <t>殿塚 崇央</t>
  </si>
  <si>
    <t>金井 均</t>
  </si>
  <si>
    <t>川田 誠</t>
  </si>
  <si>
    <t>谷 善樹</t>
  </si>
  <si>
    <t>榎本 来飛</t>
  </si>
  <si>
    <t>岡島 茂</t>
  </si>
  <si>
    <t>ノースウィンド  スキークラブ</t>
  </si>
  <si>
    <t>田中 勇太朗</t>
  </si>
  <si>
    <t>高柳 良大</t>
  </si>
  <si>
    <t>新村 末雄</t>
  </si>
  <si>
    <t>西崎 大悟</t>
  </si>
  <si>
    <t>渡辺 大悟</t>
  </si>
  <si>
    <t>久宗 克也</t>
  </si>
  <si>
    <t>豊野 悠次</t>
  </si>
  <si>
    <t>大月 暁信</t>
  </si>
  <si>
    <t>畑中 真一</t>
  </si>
  <si>
    <t>エコー・コムラード</t>
  </si>
  <si>
    <t>朝比奈 秀樹</t>
  </si>
  <si>
    <t>ＮＴＴ東京スキー部</t>
  </si>
  <si>
    <t>金子 晟三</t>
  </si>
  <si>
    <t>宮坂 優希</t>
  </si>
  <si>
    <t>横内 善雄</t>
  </si>
  <si>
    <t>石井 健嗣</t>
  </si>
  <si>
    <t>東出 憲一</t>
  </si>
  <si>
    <t>饗庭 佑亮</t>
  </si>
  <si>
    <t>内田 義明</t>
  </si>
  <si>
    <t>那須 正志</t>
  </si>
  <si>
    <t>渡辺 光</t>
  </si>
  <si>
    <t>高田 一磨</t>
  </si>
  <si>
    <t>兼松 聖</t>
  </si>
  <si>
    <t>東京ベーレンスキークラブ</t>
  </si>
  <si>
    <t>柏木 直人</t>
  </si>
  <si>
    <t>斉藤 幸一</t>
  </si>
  <si>
    <t>日本レーシングスキークラブ</t>
  </si>
  <si>
    <t>大西 秀人</t>
  </si>
  <si>
    <t>星 勝実</t>
  </si>
  <si>
    <t>坂本 怜大</t>
  </si>
  <si>
    <t>長谷川 一弘</t>
  </si>
  <si>
    <t>小泉 和秀</t>
  </si>
  <si>
    <t>加藤 弘大</t>
  </si>
  <si>
    <t>鈴木 麻生</t>
  </si>
  <si>
    <t>嶋川 憲治</t>
  </si>
  <si>
    <t>野口 慧悟</t>
  </si>
  <si>
    <t>富久尾 真輝</t>
  </si>
  <si>
    <t>平山 陽之</t>
  </si>
  <si>
    <t>臼田 大樹</t>
  </si>
  <si>
    <t>花岡 正智</t>
  </si>
  <si>
    <t>比留間 光成</t>
  </si>
  <si>
    <t>佐々木 勇一</t>
  </si>
  <si>
    <t>立川 湧斗</t>
  </si>
  <si>
    <t>谷口 達彦</t>
  </si>
  <si>
    <t>大山 穂高</t>
  </si>
  <si>
    <t>高田 昭</t>
  </si>
  <si>
    <t>眞鍋 一樹</t>
  </si>
  <si>
    <t>大倉 滉太</t>
  </si>
  <si>
    <t>戸田 直人</t>
  </si>
  <si>
    <t>飯岡 方春</t>
  </si>
  <si>
    <t>島田 眞人</t>
  </si>
  <si>
    <t>井上 裕大</t>
  </si>
  <si>
    <t>根岸 拓生</t>
  </si>
  <si>
    <t>辰巳 晶信</t>
  </si>
  <si>
    <t>盛 拓貴</t>
  </si>
  <si>
    <t>佐川 真啓</t>
  </si>
  <si>
    <t>山内 誠也</t>
  </si>
  <si>
    <t>木口 朋哉</t>
  </si>
  <si>
    <t>染谷 昌彦</t>
  </si>
  <si>
    <t>エスプリレーシング</t>
  </si>
  <si>
    <t>茨木 富貴</t>
  </si>
  <si>
    <t>中村 重継</t>
  </si>
  <si>
    <t>池内 伸行</t>
  </si>
  <si>
    <t>佐竹 伸之</t>
  </si>
  <si>
    <t>福原 力</t>
  </si>
  <si>
    <t>本広 春</t>
  </si>
  <si>
    <t>菊池 大基</t>
  </si>
  <si>
    <t>齋藤 裕樹</t>
  </si>
  <si>
    <t>大久保 聡</t>
  </si>
  <si>
    <t>喜連 祐一</t>
  </si>
  <si>
    <t>佐藤 善紀</t>
  </si>
  <si>
    <t>町田市スキー連盟</t>
  </si>
  <si>
    <t>伊藤 欣一</t>
  </si>
  <si>
    <t>高橋 智也</t>
  </si>
  <si>
    <t>ヴァイス・ホルン</t>
  </si>
  <si>
    <t>柏木 秀仁</t>
  </si>
  <si>
    <t>国府方 昭二</t>
  </si>
  <si>
    <t>倉田 龍介</t>
  </si>
  <si>
    <t>角谷 航樹</t>
  </si>
  <si>
    <t>三浦 一秋</t>
  </si>
  <si>
    <t>佐藤 譲</t>
  </si>
  <si>
    <t>桑原 悠樹</t>
  </si>
  <si>
    <t>山本 秀作</t>
  </si>
  <si>
    <t>脇谷 柊司</t>
  </si>
  <si>
    <t>田中 賢一郎</t>
  </si>
  <si>
    <t>豊島 昂太</t>
  </si>
  <si>
    <t>大中 友志</t>
  </si>
  <si>
    <t>八嶋 洋一</t>
  </si>
  <si>
    <t>林 大耀</t>
  </si>
  <si>
    <t>土居 昭</t>
  </si>
  <si>
    <t>梅沢 進</t>
  </si>
  <si>
    <t>髙橋 啓</t>
  </si>
  <si>
    <t>吉井 誠</t>
  </si>
  <si>
    <t>依田 真治</t>
  </si>
  <si>
    <t>野村 優太</t>
  </si>
  <si>
    <t>中山 隼佑</t>
  </si>
  <si>
    <t>太田 和敏</t>
  </si>
  <si>
    <t>阿部 裕崇</t>
  </si>
  <si>
    <t>松嶋 嶺</t>
  </si>
  <si>
    <t>トムテ スキークラブ</t>
  </si>
  <si>
    <t>城田 伸也</t>
  </si>
  <si>
    <t>市村 昇</t>
  </si>
  <si>
    <t>河合 信太朗</t>
  </si>
  <si>
    <t>西原 孝俊</t>
  </si>
  <si>
    <t>安藤 来波</t>
  </si>
  <si>
    <t>北村 優弥</t>
  </si>
  <si>
    <t>大澤 伶威</t>
  </si>
  <si>
    <t>近藤 英太</t>
  </si>
  <si>
    <t>坂本 暁祐</t>
  </si>
  <si>
    <t>酒井 優希</t>
  </si>
  <si>
    <t>押山 宏晃</t>
  </si>
  <si>
    <t>鈴木 日出男</t>
  </si>
  <si>
    <t>髙橋 幸男</t>
  </si>
  <si>
    <t>工藤 陽生</t>
  </si>
  <si>
    <t>松村 昌幸</t>
  </si>
  <si>
    <t>岡田 哲人</t>
  </si>
  <si>
    <t>松原 健</t>
  </si>
  <si>
    <t>渡嘉敷 健</t>
  </si>
  <si>
    <t>溝口 祥之介</t>
  </si>
  <si>
    <t>久末 信行</t>
  </si>
  <si>
    <t>山内 辰馬</t>
  </si>
  <si>
    <t>小野澤 泰智</t>
  </si>
  <si>
    <t>工藤 直樹</t>
  </si>
  <si>
    <t>塩原 明之</t>
  </si>
  <si>
    <t>柳田 秀樹</t>
  </si>
  <si>
    <t>小川 竜司</t>
  </si>
  <si>
    <t>和田 純一</t>
  </si>
  <si>
    <t>柴田 大斗</t>
  </si>
  <si>
    <t>野邊 倭</t>
  </si>
  <si>
    <t>平山 和成</t>
  </si>
  <si>
    <t>見波 弘</t>
  </si>
  <si>
    <t>笠間 桂次</t>
  </si>
  <si>
    <t>今岡 湧人</t>
  </si>
  <si>
    <t>鈴木 秀駿</t>
  </si>
  <si>
    <t>杉田 雅宏</t>
  </si>
  <si>
    <t>ラッセルスキークラブ</t>
  </si>
  <si>
    <t>椿 秀啓</t>
  </si>
  <si>
    <t>大田区役所スキー部</t>
  </si>
  <si>
    <t>白崎 弘隆</t>
  </si>
  <si>
    <t>目黒 博雄</t>
  </si>
  <si>
    <t>トルベ・コムラード</t>
  </si>
  <si>
    <t>清水 颯太</t>
  </si>
  <si>
    <t>吉田 治彦</t>
  </si>
  <si>
    <t>東 雄二郎</t>
  </si>
  <si>
    <t>関 義男</t>
  </si>
  <si>
    <t>永吉 洸綺</t>
  </si>
  <si>
    <t>小沼 佳史</t>
  </si>
  <si>
    <t>芝 諒真</t>
  </si>
  <si>
    <t>大塚 恒洸</t>
  </si>
  <si>
    <t>森田 哲男</t>
  </si>
  <si>
    <t>藤森 幸三</t>
  </si>
  <si>
    <t>控井 悠太</t>
  </si>
  <si>
    <t>荒田 渓登</t>
  </si>
  <si>
    <t>永沼 崇彦</t>
  </si>
  <si>
    <t>川島 敏男</t>
  </si>
  <si>
    <t>佐藤 和彦</t>
  </si>
  <si>
    <t>栗原 玲音</t>
  </si>
  <si>
    <t>谷口 寿保　</t>
  </si>
  <si>
    <t>高津 義喜</t>
  </si>
  <si>
    <t>松本 周大</t>
  </si>
  <si>
    <t>中野 圭ニ</t>
  </si>
  <si>
    <t>柳田 雄大</t>
  </si>
  <si>
    <t>島村 蒼天</t>
  </si>
  <si>
    <t>伊藤 匠人</t>
  </si>
  <si>
    <t>磯 雄一</t>
  </si>
  <si>
    <t>酒井 宙</t>
  </si>
  <si>
    <t>鈴木 岳人</t>
  </si>
  <si>
    <t>家田 智也</t>
  </si>
  <si>
    <t>吉澤 恒平</t>
  </si>
  <si>
    <t>佐藤 励</t>
  </si>
  <si>
    <t>佐藤 康紀</t>
  </si>
  <si>
    <t>金田 和也</t>
  </si>
  <si>
    <t>関谷 隼太郎</t>
  </si>
  <si>
    <t>若木 陸真</t>
  </si>
  <si>
    <t>秦 憲伸</t>
  </si>
  <si>
    <t>沢 正樹</t>
  </si>
  <si>
    <t>宮澤 慶</t>
  </si>
  <si>
    <t>宮木 泰造</t>
  </si>
  <si>
    <t>冨田 貴仁</t>
  </si>
  <si>
    <t>望月 史</t>
  </si>
  <si>
    <t>皆川 真潤</t>
  </si>
  <si>
    <t>形屋 亮一</t>
  </si>
  <si>
    <t>鈴木 進一</t>
  </si>
  <si>
    <t>加地 貴勝</t>
  </si>
  <si>
    <t>山口 孝</t>
  </si>
  <si>
    <t>若山 俊郎</t>
  </si>
  <si>
    <t>青梅市スキー連盟</t>
  </si>
  <si>
    <t>小野寺 徹</t>
  </si>
  <si>
    <t>吉橋 裕貴</t>
  </si>
  <si>
    <t>降旗 周二</t>
  </si>
  <si>
    <t>寺田 雄翔</t>
  </si>
  <si>
    <t>山内 大一</t>
  </si>
  <si>
    <t>難波 昭信</t>
  </si>
  <si>
    <t>濱武 旺史</t>
  </si>
  <si>
    <t>牧野 達朗</t>
  </si>
  <si>
    <t>渋谷区スキー連盟</t>
  </si>
  <si>
    <t>重光 匡</t>
  </si>
  <si>
    <t>小山 昭司</t>
  </si>
  <si>
    <t>相坂 祐樹</t>
  </si>
  <si>
    <t>遠間 瑠吾</t>
  </si>
  <si>
    <t>八重樫 一仁</t>
  </si>
  <si>
    <t>峯山 陸</t>
  </si>
  <si>
    <t>嵯峨野 太一</t>
  </si>
  <si>
    <t>片桐 大樹</t>
  </si>
  <si>
    <t>松本 奏流</t>
  </si>
  <si>
    <t>眞﨑 嵩</t>
  </si>
  <si>
    <t>山田 修</t>
  </si>
  <si>
    <t>小林 翼</t>
  </si>
  <si>
    <t>西垣 光平</t>
  </si>
  <si>
    <t>田屋 裕範</t>
  </si>
  <si>
    <t>高木 暦</t>
  </si>
  <si>
    <t>新井 蔵人</t>
  </si>
  <si>
    <t>鎮目 隆夫</t>
  </si>
  <si>
    <t>東久留米市スキー連盟</t>
  </si>
  <si>
    <t>小瀬 嵩登</t>
  </si>
  <si>
    <t>小林 大悟</t>
  </si>
  <si>
    <t>有嶋 慧一朗</t>
  </si>
  <si>
    <t>齋藤 憲司</t>
  </si>
  <si>
    <t>深澤 六男</t>
  </si>
  <si>
    <t>田中 実希</t>
  </si>
  <si>
    <t>千石 文夫</t>
  </si>
  <si>
    <t>永吉 冴綺</t>
  </si>
  <si>
    <t>柿沼 黎生</t>
  </si>
  <si>
    <t>山本 悠人</t>
  </si>
  <si>
    <t>篠原 幾也</t>
  </si>
  <si>
    <t>鷺 佳生人</t>
  </si>
  <si>
    <t>井上 雅博</t>
  </si>
  <si>
    <t>葛飾区スキー連盟</t>
  </si>
  <si>
    <t>木村 拓朗</t>
  </si>
  <si>
    <t>塩沢 重利</t>
  </si>
  <si>
    <t>仲山スキークラブ</t>
  </si>
  <si>
    <t>奥村 俊文</t>
  </si>
  <si>
    <t>笹本 裕貴</t>
  </si>
  <si>
    <t>山田 浩</t>
  </si>
  <si>
    <t>宇田 悠真</t>
  </si>
  <si>
    <t>遠藤 辰朗</t>
  </si>
  <si>
    <t>池田 有輝</t>
  </si>
  <si>
    <t>大久保 雅司</t>
  </si>
  <si>
    <t>金子 雅弘</t>
  </si>
  <si>
    <t>佐藤 健児</t>
  </si>
  <si>
    <t>小幡 雪柊</t>
  </si>
  <si>
    <t>岩谷 三兵</t>
  </si>
  <si>
    <t>兼子 祐弥</t>
  </si>
  <si>
    <t>石井 久雄</t>
  </si>
  <si>
    <t>フロイデ・シー・グルッペ</t>
  </si>
  <si>
    <t>堀江 玄一郎</t>
  </si>
  <si>
    <t>加藤 圭基</t>
  </si>
  <si>
    <t>川上 惇</t>
  </si>
  <si>
    <t>アルピナグループ</t>
  </si>
  <si>
    <t>小山 祐輝</t>
  </si>
  <si>
    <t>上妻 隆斗</t>
  </si>
  <si>
    <t>吉原 稔幸</t>
  </si>
  <si>
    <t>小口 慶樹</t>
  </si>
  <si>
    <t>鈴木 海渡</t>
  </si>
  <si>
    <t>小宮山 直人</t>
  </si>
  <si>
    <t>八久保 幸夫</t>
  </si>
  <si>
    <t>河田 壮生</t>
  </si>
  <si>
    <t>古川 雄一朗</t>
  </si>
  <si>
    <t>二見 裕樹</t>
  </si>
  <si>
    <t>小野寺 真也</t>
  </si>
  <si>
    <t>宮城 良佑</t>
  </si>
  <si>
    <t>真次 晃央</t>
  </si>
  <si>
    <t>細野 里音</t>
  </si>
  <si>
    <t>田中 成幸</t>
  </si>
  <si>
    <t>野中 史久</t>
  </si>
  <si>
    <t>清水 遊</t>
  </si>
  <si>
    <t>湯浅 統大</t>
  </si>
  <si>
    <t>山本 章太</t>
  </si>
  <si>
    <t>青井 康徳</t>
  </si>
  <si>
    <t>築地 貴之</t>
  </si>
  <si>
    <t>潮 真也</t>
  </si>
  <si>
    <t>西下 愛也</t>
  </si>
  <si>
    <t>熊谷 大仁</t>
  </si>
  <si>
    <t>山本 皓乃</t>
  </si>
  <si>
    <t>濱野 弘大</t>
  </si>
  <si>
    <t>樋脇 雄飛</t>
  </si>
  <si>
    <t>上島 大輝</t>
  </si>
  <si>
    <t>木越 健輔</t>
  </si>
  <si>
    <t>高見 淳</t>
  </si>
  <si>
    <t>内田 光太郎</t>
  </si>
  <si>
    <t>田邊 信一</t>
  </si>
  <si>
    <t>尾形 俊輔</t>
  </si>
  <si>
    <t>多摩市スキー連盟</t>
  </si>
  <si>
    <t>宮崎 真志</t>
  </si>
  <si>
    <t>小島 陽介</t>
  </si>
  <si>
    <t>福田 俊介</t>
  </si>
  <si>
    <t>正能 憲一</t>
  </si>
  <si>
    <t>東京スキー研究会</t>
  </si>
  <si>
    <t>太田 悠斗</t>
  </si>
  <si>
    <t>佐藤 太朗</t>
  </si>
  <si>
    <t>前田 泰佑</t>
  </si>
  <si>
    <t>高橋 誠</t>
  </si>
  <si>
    <t>サンダーグスキークラブ</t>
  </si>
  <si>
    <t>篠﨑 敏男</t>
  </si>
  <si>
    <t>天野 旭雅</t>
  </si>
  <si>
    <t>外山 智士</t>
  </si>
  <si>
    <t>片山 恒次</t>
  </si>
  <si>
    <t>田中 大成</t>
  </si>
  <si>
    <t>鈴木 啓太</t>
  </si>
  <si>
    <t>柴田 徹</t>
  </si>
  <si>
    <t>石川 海</t>
  </si>
  <si>
    <t>網干 雄己</t>
  </si>
  <si>
    <t>大塚 公太</t>
  </si>
  <si>
    <t>吉田 圭佑</t>
  </si>
  <si>
    <t>亀井 勇希</t>
  </si>
  <si>
    <t>佐久間 大輔</t>
  </si>
  <si>
    <t>植草 悠介</t>
  </si>
  <si>
    <t>池永 福太郎</t>
  </si>
  <si>
    <t>佐藤 英司</t>
  </si>
  <si>
    <t>草野 龍輝</t>
  </si>
  <si>
    <t>山口 暁史</t>
  </si>
  <si>
    <t>髙橋 龍一郎</t>
  </si>
  <si>
    <t>武居 知</t>
  </si>
  <si>
    <t>布施 玲於奈</t>
  </si>
  <si>
    <t>冨井 平</t>
  </si>
  <si>
    <t>能登 正之</t>
  </si>
  <si>
    <t>本田 渉</t>
  </si>
  <si>
    <t>遠藤 海洸</t>
  </si>
  <si>
    <t>五味 信治</t>
  </si>
  <si>
    <t>河西 悠登</t>
  </si>
  <si>
    <t>濱元 拓実</t>
  </si>
  <si>
    <t>田村 優有</t>
  </si>
  <si>
    <t>鈴木 尚人</t>
  </si>
  <si>
    <t>深見 国興</t>
  </si>
  <si>
    <t>クラシックスキークラブ</t>
  </si>
  <si>
    <t>仲田 詠一</t>
  </si>
  <si>
    <t>松田 浩太朗</t>
  </si>
  <si>
    <t>板倉 治男</t>
  </si>
  <si>
    <t>高橋 大夢</t>
  </si>
  <si>
    <t>ＫＤＤＩスキークラブ</t>
  </si>
  <si>
    <t>上山 遼</t>
  </si>
  <si>
    <t>鳥居 俊介</t>
  </si>
  <si>
    <t>宮地 好彦</t>
  </si>
  <si>
    <t>渡邊 嗣公</t>
  </si>
  <si>
    <t>里村 弘志</t>
  </si>
  <si>
    <t>加川 善久</t>
  </si>
  <si>
    <t>髙木 翔弥</t>
  </si>
  <si>
    <t>奥山 侑祐</t>
  </si>
  <si>
    <t>白木 伸行</t>
  </si>
  <si>
    <t>金澤 幸太</t>
  </si>
  <si>
    <t>酒井 孝一</t>
  </si>
  <si>
    <t>立原 博</t>
  </si>
  <si>
    <t>Ｓ．Ｃ．コロポックル</t>
  </si>
  <si>
    <t>鍋山 颯斗</t>
  </si>
  <si>
    <t>池田 英昭</t>
  </si>
  <si>
    <t>堀川 廣</t>
  </si>
  <si>
    <t>渡辺 燎太</t>
  </si>
  <si>
    <t>長久 幸之介</t>
  </si>
  <si>
    <t>藤郷 剣太郎</t>
  </si>
  <si>
    <t>佐藤 忠雄</t>
  </si>
  <si>
    <t>山田 紘淳</t>
  </si>
  <si>
    <t>鈴木 蒼大</t>
  </si>
  <si>
    <t>三原 颯</t>
  </si>
  <si>
    <t>後藤 寛</t>
  </si>
  <si>
    <t>山田 芽來</t>
  </si>
  <si>
    <t>平田 昌範</t>
  </si>
  <si>
    <t>小永井 徹</t>
  </si>
  <si>
    <t>星野 峻一</t>
  </si>
  <si>
    <t>佐藤 久人</t>
  </si>
  <si>
    <t>木田 悠斗</t>
  </si>
  <si>
    <t>大森 春英</t>
  </si>
  <si>
    <t>武江 知寛</t>
  </si>
  <si>
    <t>富岡 宏太朗</t>
  </si>
  <si>
    <t>甲田 聖志郎</t>
  </si>
  <si>
    <t>須藤 琉心</t>
  </si>
  <si>
    <t>高橋 浩一</t>
  </si>
  <si>
    <t>田島 凜斗</t>
  </si>
  <si>
    <t>齊藤 真希生</t>
  </si>
  <si>
    <t>河村 凜太郎</t>
  </si>
  <si>
    <t>寺瀬 克美</t>
  </si>
  <si>
    <t>志賀高原スキークラブ</t>
  </si>
  <si>
    <t>渡部 輝</t>
  </si>
  <si>
    <t>家村 凌平</t>
  </si>
  <si>
    <t>岡田 達弥</t>
  </si>
  <si>
    <t>古賀 久國</t>
  </si>
  <si>
    <t>谷 啓</t>
  </si>
  <si>
    <t>渡邉 海斗</t>
  </si>
  <si>
    <t>金子 優輝</t>
  </si>
  <si>
    <t>蛭川 恒</t>
  </si>
  <si>
    <t>関 晃</t>
  </si>
  <si>
    <t>石井 晃</t>
  </si>
  <si>
    <t>柴山 達弘</t>
  </si>
  <si>
    <t>土肥 尚也</t>
  </si>
  <si>
    <t>鈴木 隆太</t>
  </si>
  <si>
    <t>武藤 力</t>
  </si>
  <si>
    <t>細川 祥</t>
  </si>
  <si>
    <t>渡邉 理久</t>
  </si>
  <si>
    <t>柿内 隆</t>
  </si>
  <si>
    <t>越水 雅裕</t>
  </si>
  <si>
    <t>松村 優輝</t>
  </si>
  <si>
    <t>石川 賢一</t>
  </si>
  <si>
    <t>林 泰地</t>
  </si>
  <si>
    <t>熊本 晴太</t>
  </si>
  <si>
    <t>滝沢 正</t>
  </si>
  <si>
    <t>三瓶 大河</t>
  </si>
  <si>
    <t>重田 雅文</t>
  </si>
  <si>
    <t>三賀山 嗣穏</t>
  </si>
  <si>
    <t>松岡 輝</t>
  </si>
  <si>
    <t>志摩 泰成</t>
  </si>
  <si>
    <t>萩原 隆之介</t>
  </si>
  <si>
    <t>佐藤 良</t>
  </si>
  <si>
    <t>金子 佑介</t>
  </si>
  <si>
    <t>直井 俊樹</t>
  </si>
  <si>
    <t>小川 卓真</t>
  </si>
  <si>
    <t>北村 明</t>
  </si>
  <si>
    <t>大木 秀介</t>
  </si>
  <si>
    <t>近藤 哲</t>
  </si>
  <si>
    <t>河野 夏海</t>
  </si>
  <si>
    <t>大西 望</t>
  </si>
  <si>
    <t>半田 楓</t>
  </si>
  <si>
    <t>宮﨑 涼輔</t>
  </si>
  <si>
    <t>杉本 怜哉</t>
  </si>
  <si>
    <t>三浦 篤</t>
  </si>
  <si>
    <t>高橋 遼太</t>
  </si>
  <si>
    <t>樋口 遼大</t>
  </si>
  <si>
    <t>一ノ瀬 迅</t>
  </si>
  <si>
    <t>神野 登美夫</t>
  </si>
  <si>
    <t>櫻井 智偲</t>
  </si>
  <si>
    <t>磯崎 俊輔</t>
  </si>
  <si>
    <t>西川 将太郎</t>
  </si>
  <si>
    <t>羽村 悠樹</t>
  </si>
  <si>
    <t>松本 昭夫</t>
  </si>
  <si>
    <t>スカオイスキークラブ</t>
  </si>
  <si>
    <t>三浦 弘充</t>
  </si>
  <si>
    <t>内藤 寛貴</t>
  </si>
  <si>
    <t>池田 稜介</t>
  </si>
  <si>
    <t>藤本 勇</t>
  </si>
  <si>
    <t>滝沢 悠介</t>
  </si>
  <si>
    <t>目連 宗一郎</t>
  </si>
  <si>
    <t>藤田 冬馬</t>
  </si>
  <si>
    <t>吉田 太耀</t>
  </si>
  <si>
    <t>星 貞清</t>
  </si>
  <si>
    <t>ウィンズスキークラブ</t>
  </si>
  <si>
    <t>横山 福人</t>
  </si>
  <si>
    <t>渡邊 瑠佳</t>
  </si>
  <si>
    <t>下田 智也</t>
  </si>
  <si>
    <t>三島 麟太郎</t>
  </si>
  <si>
    <t>仲山 俊夫</t>
  </si>
  <si>
    <t>鶴味 裕太</t>
  </si>
  <si>
    <t>井村 陽</t>
  </si>
  <si>
    <t>秋田 岳陽</t>
  </si>
  <si>
    <t>中江 朋弘</t>
  </si>
  <si>
    <t>長井 明</t>
  </si>
  <si>
    <t>殿村 幹也</t>
  </si>
  <si>
    <t>城田 克也</t>
  </si>
  <si>
    <t>嘉門 智一郎</t>
  </si>
  <si>
    <t>前田 凛之介</t>
  </si>
  <si>
    <t>中村 駿大</t>
  </si>
  <si>
    <t>吉田 舜</t>
  </si>
  <si>
    <t>山口 直正</t>
  </si>
  <si>
    <t>松本 陽一</t>
  </si>
  <si>
    <t>西大條 育孝</t>
  </si>
  <si>
    <t>上原 大樹</t>
  </si>
  <si>
    <t>杉崎 壽三男</t>
  </si>
  <si>
    <t>渡辺 悠斗</t>
  </si>
  <si>
    <t>國井 高志</t>
  </si>
  <si>
    <t>吉川 武</t>
  </si>
  <si>
    <t>戸舘 宗一朗</t>
  </si>
  <si>
    <t>荻生 崚太郎</t>
  </si>
  <si>
    <t>坂 和真</t>
  </si>
  <si>
    <t>佐藤 光</t>
  </si>
  <si>
    <t>高木 曜</t>
  </si>
  <si>
    <t>細田 輝大</t>
  </si>
  <si>
    <t>田村 孝嗣</t>
  </si>
  <si>
    <t>髙橋 孫一郎</t>
  </si>
  <si>
    <t>小菅 耕大</t>
  </si>
  <si>
    <t>蜂巣 頌</t>
  </si>
  <si>
    <t>柴山 諒太</t>
  </si>
  <si>
    <t>控井 健太</t>
  </si>
  <si>
    <t>白嶺スキーチーム</t>
  </si>
  <si>
    <t>舛巴 紳二</t>
  </si>
  <si>
    <t>坂口 直弥</t>
  </si>
  <si>
    <t>仲 誠也</t>
  </si>
  <si>
    <t>國部 望</t>
  </si>
  <si>
    <t>長谷川 春彦</t>
  </si>
  <si>
    <t>光芳 陸</t>
  </si>
  <si>
    <t>佐藤 義隆</t>
  </si>
  <si>
    <t>日本エイトマンスキークラブ</t>
  </si>
  <si>
    <t>逢坂 寛光</t>
  </si>
  <si>
    <t>佐藤 泰山</t>
  </si>
  <si>
    <t>羽部 晃広</t>
  </si>
  <si>
    <t>栗原 楓</t>
  </si>
  <si>
    <t>頓宮 寛正</t>
  </si>
  <si>
    <t>藤田 英雄</t>
  </si>
  <si>
    <t>阿野 苑弥</t>
  </si>
  <si>
    <t>小野寺 進太朗</t>
  </si>
  <si>
    <t>鳴海 柊平</t>
  </si>
  <si>
    <t>堀米 力暉</t>
  </si>
  <si>
    <t>武藤 正晃</t>
  </si>
  <si>
    <t>近藤 涼輔</t>
  </si>
  <si>
    <t>飛山 龍ノ介</t>
  </si>
  <si>
    <t>秋山 和輝</t>
  </si>
  <si>
    <t>中村 祐介</t>
  </si>
  <si>
    <t>佐藤 建太郎</t>
  </si>
  <si>
    <t>富田 暁</t>
  </si>
  <si>
    <t>渡辺 周</t>
  </si>
  <si>
    <t>松澤 宏一</t>
  </si>
  <si>
    <t>東垣内 牧男</t>
  </si>
  <si>
    <t>山本 義之</t>
  </si>
  <si>
    <t>山根 鷹之臣</t>
  </si>
  <si>
    <t>榎 康太郎</t>
  </si>
  <si>
    <t>村上 博史</t>
  </si>
  <si>
    <t>渡部 知駿</t>
  </si>
  <si>
    <t>新井 昌汰</t>
  </si>
  <si>
    <t>野口 耀大</t>
  </si>
  <si>
    <t>川田 裕貴</t>
  </si>
  <si>
    <t>田口 裕一</t>
  </si>
  <si>
    <t>谷川 一貴</t>
  </si>
  <si>
    <t>槇 孝雄</t>
  </si>
  <si>
    <t>松村 真</t>
  </si>
  <si>
    <t>岩本 慎太郎</t>
  </si>
  <si>
    <t>斎藤 佑起</t>
  </si>
  <si>
    <t>森田 響</t>
  </si>
  <si>
    <t>宇田 純大</t>
  </si>
  <si>
    <t>中川 琉晟</t>
  </si>
  <si>
    <t>島田 雄気</t>
  </si>
  <si>
    <t>大塚 陽向</t>
  </si>
  <si>
    <t>藤崎 裕人</t>
  </si>
  <si>
    <t>渥見 悠太</t>
  </si>
  <si>
    <t>渡邊 一之介</t>
  </si>
  <si>
    <t>花田 美生</t>
  </si>
  <si>
    <t>小川 幸介</t>
  </si>
  <si>
    <t>鷹橋 幸一郎</t>
  </si>
  <si>
    <t>江村 航大</t>
  </si>
  <si>
    <t>大谷 泰斗</t>
  </si>
  <si>
    <t>赤川 琢人</t>
  </si>
  <si>
    <t>阿部 央季</t>
  </si>
  <si>
    <t>川上 龍之介</t>
  </si>
  <si>
    <t>古川 開</t>
  </si>
  <si>
    <t>福本 将士</t>
  </si>
  <si>
    <t>泉澤 亮太</t>
  </si>
  <si>
    <t>富澤 拓紀</t>
  </si>
  <si>
    <t>長濱 宇宙</t>
  </si>
  <si>
    <t>松矢 英晶</t>
  </si>
  <si>
    <t>畠山 智生</t>
  </si>
  <si>
    <t>古山 聖哉</t>
  </si>
  <si>
    <t>小林 亮太</t>
  </si>
  <si>
    <t>守屋 直希</t>
  </si>
  <si>
    <t>片野 志郎</t>
  </si>
  <si>
    <t>北本 滉太郎</t>
  </si>
  <si>
    <t>福岡 素志</t>
  </si>
  <si>
    <t>井下 聖葵</t>
  </si>
  <si>
    <t>秋庭 克行</t>
  </si>
  <si>
    <t>白木 智也</t>
  </si>
  <si>
    <t>橋本 優吾</t>
  </si>
  <si>
    <t>野口 直樹</t>
  </si>
  <si>
    <t>飯嶌 笙</t>
  </si>
  <si>
    <t>深谷 雄人</t>
  </si>
  <si>
    <t>青木 悠</t>
  </si>
  <si>
    <t>福島 牧人</t>
  </si>
  <si>
    <t>恩田 玲央</t>
  </si>
  <si>
    <t>中島 啓裕</t>
  </si>
  <si>
    <t>保坂 勇太</t>
  </si>
  <si>
    <t>土志田 進太郎</t>
  </si>
  <si>
    <t>店網 宏樹</t>
  </si>
  <si>
    <t>北垣 秀人</t>
  </si>
  <si>
    <t>中川 晴登</t>
  </si>
  <si>
    <t>河西 優</t>
  </si>
  <si>
    <t>坂東 遼翼</t>
  </si>
  <si>
    <t>窪田 遼輔</t>
  </si>
  <si>
    <t>高田 一輝</t>
  </si>
  <si>
    <t>栗橋 優輔</t>
  </si>
  <si>
    <t>花園 智行</t>
  </si>
  <si>
    <t>長谷川 雄大</t>
  </si>
  <si>
    <t>黒田 義稀</t>
  </si>
  <si>
    <t>高安 洋翔</t>
  </si>
  <si>
    <t>深谷 怜伸</t>
  </si>
  <si>
    <t>上原 颯馬</t>
  </si>
  <si>
    <t>安藤 謙真</t>
  </si>
  <si>
    <t>香取 大輝</t>
  </si>
  <si>
    <t>岩本 恵祐</t>
  </si>
  <si>
    <t>小林 寛武</t>
  </si>
  <si>
    <t>武田 光一郎</t>
  </si>
  <si>
    <t>浅香 圭吾</t>
  </si>
  <si>
    <t>立川 健介</t>
  </si>
  <si>
    <t>根岸 大己</t>
  </si>
  <si>
    <t>渡邊 和樹</t>
  </si>
  <si>
    <t>梅根 航希</t>
  </si>
  <si>
    <t>伊藤 尚泰</t>
  </si>
  <si>
    <t>熊崎 亮太</t>
  </si>
  <si>
    <t>畠山 茂信</t>
  </si>
  <si>
    <t>豊永 大河</t>
  </si>
  <si>
    <t>辻 悠希</t>
  </si>
  <si>
    <t>沼野 俊平</t>
  </si>
  <si>
    <t>高橋 哲哉</t>
  </si>
  <si>
    <t>大橋 周造</t>
  </si>
  <si>
    <t>桒田 栞典</t>
  </si>
  <si>
    <t>高橋 長三郎</t>
  </si>
  <si>
    <t>東京石楠花会</t>
  </si>
  <si>
    <t>髙橋 直希</t>
  </si>
  <si>
    <t>髙安 邑太郎</t>
  </si>
  <si>
    <t>竹本 航</t>
  </si>
  <si>
    <t>新井 綾馬</t>
  </si>
  <si>
    <t>渡部 良樹</t>
  </si>
  <si>
    <t>山田 泰之進</t>
  </si>
  <si>
    <t>西城 法遵</t>
  </si>
  <si>
    <t>大竹 陸</t>
  </si>
  <si>
    <t>馳 悠</t>
  </si>
  <si>
    <t>永曽 雄一郎</t>
  </si>
  <si>
    <t>井田 光祝</t>
  </si>
  <si>
    <t>光野 拓馬</t>
  </si>
  <si>
    <t>神山 鷹揚</t>
  </si>
  <si>
    <t>坂本 渉馬</t>
  </si>
  <si>
    <t>折茂 海</t>
  </si>
  <si>
    <t>大久保 慶人</t>
  </si>
  <si>
    <t>津田 祐輔</t>
  </si>
  <si>
    <t>小田島 孝</t>
  </si>
  <si>
    <t>小和田 雄太</t>
  </si>
  <si>
    <t>高木 洋羽</t>
  </si>
  <si>
    <t>明石 響</t>
  </si>
  <si>
    <t>山田 琥太郎</t>
  </si>
  <si>
    <t>北内 大嵩</t>
  </si>
  <si>
    <t>伊藤 悠生</t>
  </si>
  <si>
    <t>永井 佑亮</t>
  </si>
  <si>
    <t>野木 嘉孝</t>
  </si>
  <si>
    <t>緒方 希</t>
  </si>
  <si>
    <t>木元 丈</t>
  </si>
  <si>
    <t>友部 尚輝</t>
  </si>
  <si>
    <t>唐木 大貴</t>
  </si>
  <si>
    <t>髙田 琉聖</t>
  </si>
  <si>
    <t>坂井 頌</t>
  </si>
  <si>
    <t>佐藤 有馬</t>
  </si>
  <si>
    <t>鈴鹿 航太</t>
  </si>
  <si>
    <t>佐藤 拓実</t>
  </si>
  <si>
    <t>片野 翔太</t>
  </si>
  <si>
    <t>岡田 拓純</t>
  </si>
  <si>
    <t>菅野 翔生</t>
  </si>
  <si>
    <t>山田 来紀</t>
  </si>
  <si>
    <t>野村 希</t>
  </si>
  <si>
    <t>荻原 遼</t>
  </si>
  <si>
    <t>小森 大輔</t>
  </si>
  <si>
    <t>鳥羽 莞爾</t>
  </si>
  <si>
    <t>江黒 文隆</t>
  </si>
  <si>
    <t>長谷川 武</t>
  </si>
  <si>
    <t>調布市スキー連盟</t>
  </si>
  <si>
    <t>新井 公大</t>
  </si>
  <si>
    <t>杉田 廉成</t>
  </si>
  <si>
    <t>武田 基秀</t>
  </si>
  <si>
    <t>恩田 拓海</t>
  </si>
  <si>
    <t>久力 大和</t>
  </si>
  <si>
    <t>小川 千太郎</t>
  </si>
  <si>
    <t>村上 孔介</t>
  </si>
  <si>
    <t>有賀 大貴</t>
  </si>
  <si>
    <t>太田 聡</t>
  </si>
  <si>
    <t>保戸塚 信之介</t>
  </si>
  <si>
    <t>濱田 一輝</t>
  </si>
  <si>
    <t>原嶋 洋輔</t>
  </si>
  <si>
    <t>小嶋 俊亮</t>
  </si>
  <si>
    <t>細川 凱央</t>
  </si>
  <si>
    <t>田中 遥希</t>
  </si>
  <si>
    <t>畠山 翔太</t>
  </si>
  <si>
    <t>山中 祐之介</t>
  </si>
  <si>
    <t>胡 以心</t>
  </si>
  <si>
    <t>植田 晃生</t>
  </si>
  <si>
    <t>山﨑 雅之</t>
  </si>
  <si>
    <t>成宮 颯太</t>
  </si>
  <si>
    <t>臼井 龍一</t>
  </si>
  <si>
    <t>島宮 一喜</t>
  </si>
  <si>
    <t>小坂 興平</t>
  </si>
  <si>
    <t>橋本 寛</t>
  </si>
  <si>
    <t>星田 昌好</t>
  </si>
  <si>
    <t>伊藤 正道</t>
  </si>
  <si>
    <t>針谷 清之</t>
  </si>
  <si>
    <t>寺島 伸一</t>
  </si>
  <si>
    <t>政木 隆史</t>
  </si>
  <si>
    <t>築地 照吉</t>
  </si>
  <si>
    <t>石野 真也</t>
  </si>
  <si>
    <t>一條 兼賢</t>
  </si>
  <si>
    <t>伊藤 大介</t>
  </si>
  <si>
    <t>伊藤 真大</t>
  </si>
  <si>
    <t>入倉 優海</t>
  </si>
  <si>
    <t>大石 宗左</t>
  </si>
  <si>
    <t>小川 勇</t>
  </si>
  <si>
    <t>小野 拓巳</t>
  </si>
  <si>
    <t>柏原 弘稜</t>
  </si>
  <si>
    <t>佐藤 茂</t>
  </si>
  <si>
    <t>島本 拓海</t>
  </si>
  <si>
    <t>立川 直杜</t>
  </si>
  <si>
    <t>田中 秀利</t>
  </si>
  <si>
    <t>天川 雄貴</t>
  </si>
  <si>
    <t>成沢 和史</t>
  </si>
  <si>
    <t>早野 将貴</t>
  </si>
  <si>
    <t>原 旭飛</t>
  </si>
  <si>
    <t>福田 勇斗</t>
  </si>
  <si>
    <t>藤巻 拓也</t>
  </si>
  <si>
    <t>星 佑樹</t>
  </si>
  <si>
    <t>真崎 大哉</t>
  </si>
  <si>
    <t>政田 大陽</t>
  </si>
  <si>
    <t>松浦 天我</t>
  </si>
  <si>
    <t>森田 雄人</t>
  </si>
  <si>
    <t>矢﨑 青空</t>
  </si>
  <si>
    <t>湯浅 主基</t>
  </si>
  <si>
    <t>宮内 隆</t>
  </si>
  <si>
    <t>和田 蔵人</t>
  </si>
  <si>
    <t>古市 隆一</t>
  </si>
  <si>
    <t>齋藤 祐司</t>
  </si>
  <si>
    <t>坂本 博史</t>
  </si>
  <si>
    <t>村岡 幹</t>
  </si>
  <si>
    <t>山田 節夫</t>
  </si>
  <si>
    <t>西脇 義弘</t>
  </si>
  <si>
    <t>伊藤 吉彦</t>
  </si>
  <si>
    <t>木内 俊直</t>
  </si>
  <si>
    <t>菊地 敦</t>
  </si>
  <si>
    <t>中堀 孝宏</t>
  </si>
  <si>
    <t>菅家 稔</t>
  </si>
  <si>
    <t>豊島区スキー協会</t>
  </si>
  <si>
    <t>中村 孝</t>
  </si>
  <si>
    <t>石川 利博</t>
  </si>
  <si>
    <t>村田 誠</t>
  </si>
  <si>
    <t>野崎 久仁男</t>
  </si>
  <si>
    <t>吉川 秀文</t>
  </si>
  <si>
    <t>門上 浩慈</t>
  </si>
  <si>
    <t>宮地 建次</t>
  </si>
  <si>
    <t>鈴木 崇理</t>
  </si>
  <si>
    <t>五月女 博英</t>
  </si>
  <si>
    <t>天野 学</t>
  </si>
  <si>
    <t>黒田 伊久雄</t>
  </si>
  <si>
    <t>兎澤 孝義</t>
  </si>
  <si>
    <t>林 良平</t>
  </si>
  <si>
    <t>山崎 菊治</t>
  </si>
  <si>
    <t>吉崎 陽介</t>
  </si>
  <si>
    <t>高橋 昌也</t>
  </si>
  <si>
    <t>ポールスタースキークラブ</t>
  </si>
  <si>
    <t>山﨑 静雄</t>
  </si>
  <si>
    <t>宇田 孝史</t>
  </si>
  <si>
    <t>西塚 順</t>
  </si>
  <si>
    <t>萩谷 芳朗</t>
  </si>
  <si>
    <t>渡辺 広信</t>
  </si>
  <si>
    <t>鳥海 悟</t>
  </si>
  <si>
    <t>吉田 正宏</t>
  </si>
  <si>
    <t>梅沢 望</t>
  </si>
  <si>
    <t>原田 健太朗</t>
  </si>
  <si>
    <t>新家 瑛冬</t>
  </si>
  <si>
    <t>貴峰 智紀</t>
  </si>
  <si>
    <t>中村 文則</t>
  </si>
  <si>
    <t>清水 俊英</t>
  </si>
  <si>
    <t>岩本 茂</t>
  </si>
  <si>
    <t>山口 典宏</t>
  </si>
  <si>
    <t>増田 隆男</t>
  </si>
  <si>
    <t>神山 大樹</t>
  </si>
  <si>
    <t>矢嶋 優樹</t>
  </si>
  <si>
    <t>男子(SL)</t>
  </si>
  <si>
    <t>⑳全国高校予選（選考会） 男子</t>
  </si>
  <si>
    <t>⑳全国高校予選（本大会） 男子</t>
  </si>
  <si>
    <t>⑦関東ユース２ ＡＢ・Ｋ１男子</t>
  </si>
  <si>
    <t>⑦関東ユース２ Ｋ２男子</t>
  </si>
  <si>
    <t>⑧南関ユース 男子</t>
  </si>
  <si>
    <t>⑨野沢マスターズ 男子Ａ</t>
  </si>
  <si>
    <t>⑨野沢マスターズ 男子Ｂ</t>
  </si>
  <si>
    <t>大会ＰＰ</t>
    <rPh sb="0" eb="2">
      <t>タイカイ</t>
    </rPh>
    <phoneticPr fontId="18"/>
  </si>
  <si>
    <t>前年度　ポイント</t>
    <phoneticPr fontId="18"/>
  </si>
  <si>
    <t>㉒ＷＳＣ選手権 男子</t>
    <phoneticPr fontId="18"/>
  </si>
  <si>
    <t>㉒ＷＳＣ選手権 男子Ｍ</t>
    <phoneticPr fontId="18"/>
  </si>
  <si>
    <t>㉑全中予選 男子</t>
    <phoneticPr fontId="18"/>
  </si>
  <si>
    <t>㉓都高校　選考会 男子</t>
    <phoneticPr fontId="18"/>
  </si>
  <si>
    <t>㉓都高校　本大会 男子</t>
    <phoneticPr fontId="18"/>
  </si>
  <si>
    <t>㉔野辺山カップ 男子</t>
    <phoneticPr fontId="18"/>
  </si>
  <si>
    <t>㉕ふそうカップ 男子</t>
    <phoneticPr fontId="18"/>
  </si>
  <si>
    <t>㉕ふそうカップ 男子Ｍ</t>
    <phoneticPr fontId="18"/>
  </si>
  <si>
    <t>㉖アルペン複合 男子</t>
    <phoneticPr fontId="18"/>
  </si>
  <si>
    <t>㉖アルペン複合 男子Ｃ</t>
    <phoneticPr fontId="18"/>
  </si>
  <si>
    <t>㉗春高校　選考会 男子</t>
    <phoneticPr fontId="18"/>
  </si>
  <si>
    <t>㉗春高校　本大会 男子</t>
    <phoneticPr fontId="18"/>
  </si>
  <si>
    <t>〇</t>
    <phoneticPr fontId="18"/>
  </si>
  <si>
    <t>〇</t>
    <phoneticPr fontId="18"/>
  </si>
  <si>
    <t>〇</t>
    <phoneticPr fontId="18"/>
  </si>
  <si>
    <t>篠原 広大</t>
  </si>
  <si>
    <t>小林 弘典</t>
  </si>
  <si>
    <t>吉川 慎太郎</t>
  </si>
  <si>
    <t>須藤 亀蔵</t>
  </si>
  <si>
    <t>境 悠太</t>
  </si>
  <si>
    <t>本間 敏夫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</si>
</sst>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19" fillId="0" borderId="10" xfId="0" applyNumberFormat="1" applyFont="1" applyFill="1" applyBorder="1">
      <alignment vertical="center"/>
    </xf>
    <xf numFmtId="176" fontId="21" fillId="0" borderId="10" xfId="0" applyNumberFormat="1" applyFont="1" applyFill="1" applyBorder="1" applyAlignment="1">
      <alignment vertical="center" shrinkToFit="1"/>
    </xf>
    <xf numFmtId="176" fontId="20" fillId="0" borderId="10" xfId="0" applyNumberFormat="1" applyFont="1" applyFill="1" applyBorder="1">
      <alignment vertical="center"/>
    </xf>
    <xf numFmtId="176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>
      <alignment vertical="center"/>
    </xf>
    <xf numFmtId="0" fontId="21" fillId="0" borderId="10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 shrinkToFit="1"/>
    </xf>
    <xf numFmtId="176" fontId="20" fillId="0" borderId="0" xfId="0" applyNumberFormat="1" applyFont="1" applyFill="1">
      <alignment vertical="center"/>
    </xf>
    <xf numFmtId="0" fontId="21" fillId="0" borderId="0" xfId="0" applyFont="1" applyFill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Alignment="1">
      <alignment horizontal="right" vertical="center"/>
    </xf>
    <xf numFmtId="0" fontId="21" fillId="0" borderId="10" xfId="0" applyFont="1" applyFill="1" applyBorder="1" applyAlignment="1">
      <alignment horizontal="center" vertical="center" wrapText="1" shrinkToFi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D1087"/>
  <sheetViews>
    <sheetView tabSelected="1" workbookViewId="0">
      <pane xSplit="7" ySplit="2" topLeftCell="K3" activePane="bottomRight" state="frozen"/>
      <selection pane="topRight" activeCell="H1" sqref="H1"/>
      <selection pane="bottomLeft" activeCell="A3" sqref="A3"/>
      <selection pane="bottomRight" activeCell="D8" sqref="D8"/>
    </sheetView>
  </sheetViews>
  <sheetFormatPr defaultRowHeight="13.5"/>
  <cols>
    <col min="1" max="2" width="9" style="11"/>
    <col min="3" max="3" width="15.625" style="12" customWidth="1"/>
    <col min="4" max="4" width="31.375" style="11" customWidth="1"/>
    <col min="5" max="6" width="0" style="11" hidden="1" customWidth="1"/>
    <col min="7" max="7" width="9.625" style="13" customWidth="1"/>
    <col min="8" max="8" width="7.625" style="14" customWidth="1"/>
    <col min="9" max="9" width="8.625" style="11" hidden="1" customWidth="1"/>
    <col min="10" max="10" width="8.625" style="14" customWidth="1"/>
    <col min="11" max="30" width="8.625" style="16" customWidth="1"/>
    <col min="31" max="68" width="8.625" style="11" customWidth="1"/>
    <col min="69" max="16384" width="9" style="11"/>
  </cols>
  <sheetData>
    <row r="1" spans="1:30" s="6" customFormat="1">
      <c r="A1" s="1" t="s">
        <v>1219</v>
      </c>
      <c r="B1" s="1"/>
      <c r="C1" s="2"/>
      <c r="D1" s="1"/>
      <c r="E1" s="1"/>
      <c r="F1" s="1"/>
      <c r="G1" s="3"/>
      <c r="H1" s="4"/>
      <c r="I1" s="1"/>
      <c r="J1" s="4"/>
      <c r="K1" s="5" t="s">
        <v>1227</v>
      </c>
      <c r="L1" s="5">
        <v>25.58</v>
      </c>
      <c r="M1" s="5">
        <v>31.15</v>
      </c>
      <c r="N1" s="5">
        <v>0</v>
      </c>
      <c r="O1" s="5">
        <v>56.16</v>
      </c>
      <c r="P1" s="5">
        <v>122.8</v>
      </c>
      <c r="Q1" s="5">
        <v>63.71</v>
      </c>
      <c r="R1" s="5">
        <v>72.930000000000007</v>
      </c>
      <c r="S1" s="5">
        <v>58.03</v>
      </c>
      <c r="T1" s="5">
        <v>65.72</v>
      </c>
      <c r="U1" s="5">
        <v>79.66</v>
      </c>
      <c r="V1" s="5">
        <v>44.73</v>
      </c>
      <c r="W1" s="5">
        <v>39.340000000000003</v>
      </c>
      <c r="X1" s="5">
        <v>42.99</v>
      </c>
      <c r="Y1" s="5">
        <v>34.090000000000003</v>
      </c>
      <c r="Z1" s="5">
        <v>86.24</v>
      </c>
      <c r="AA1" s="5">
        <v>35.11</v>
      </c>
      <c r="AB1" s="5">
        <v>124.9</v>
      </c>
      <c r="AC1" s="5">
        <v>36.81</v>
      </c>
      <c r="AD1" s="5">
        <v>40.090000000000003</v>
      </c>
    </row>
    <row r="2" spans="1:30" s="19" customFormat="1" ht="54">
      <c r="A2" s="7" t="s">
        <v>0</v>
      </c>
      <c r="B2" s="7" t="s">
        <v>1</v>
      </c>
      <c r="C2" s="17" t="s">
        <v>2</v>
      </c>
      <c r="D2" s="7" t="s">
        <v>3</v>
      </c>
      <c r="E2" s="7" t="s">
        <v>4</v>
      </c>
      <c r="F2" s="7" t="s">
        <v>5</v>
      </c>
      <c r="G2" s="18" t="s">
        <v>6</v>
      </c>
      <c r="H2" s="7" t="s">
        <v>7</v>
      </c>
      <c r="I2" s="7" t="s">
        <v>8</v>
      </c>
      <c r="J2" s="7" t="s">
        <v>9</v>
      </c>
      <c r="K2" s="15" t="s">
        <v>1228</v>
      </c>
      <c r="L2" s="15" t="s">
        <v>1220</v>
      </c>
      <c r="M2" s="15" t="s">
        <v>1221</v>
      </c>
      <c r="N2" s="15" t="s">
        <v>1229</v>
      </c>
      <c r="O2" s="15" t="s">
        <v>1230</v>
      </c>
      <c r="P2" s="15" t="s">
        <v>1222</v>
      </c>
      <c r="Q2" s="15" t="s">
        <v>1223</v>
      </c>
      <c r="R2" s="15" t="s">
        <v>1224</v>
      </c>
      <c r="S2" s="15" t="s">
        <v>1225</v>
      </c>
      <c r="T2" s="15" t="s">
        <v>1226</v>
      </c>
      <c r="U2" s="15" t="s">
        <v>1231</v>
      </c>
      <c r="V2" s="15" t="s">
        <v>1232</v>
      </c>
      <c r="W2" s="15" t="s">
        <v>1233</v>
      </c>
      <c r="X2" s="15" t="s">
        <v>1234</v>
      </c>
      <c r="Y2" s="15" t="s">
        <v>1235</v>
      </c>
      <c r="Z2" s="15" t="s">
        <v>1236</v>
      </c>
      <c r="AA2" s="15" t="s">
        <v>1237</v>
      </c>
      <c r="AB2" s="15" t="s">
        <v>1238</v>
      </c>
      <c r="AC2" s="15" t="s">
        <v>1239</v>
      </c>
      <c r="AD2" s="15" t="s">
        <v>1240</v>
      </c>
    </row>
    <row r="3" spans="1:30" ht="13.5" customHeight="1">
      <c r="A3" s="8">
        <v>1</v>
      </c>
      <c r="B3" s="8">
        <v>3292</v>
      </c>
      <c r="C3" s="9" t="s">
        <v>25</v>
      </c>
      <c r="D3" s="8" t="s">
        <v>26</v>
      </c>
      <c r="E3" s="8" t="str">
        <f>"0.00"</f>
        <v>0.00</v>
      </c>
      <c r="F3" s="8"/>
      <c r="G3" s="3">
        <v>8</v>
      </c>
      <c r="H3" s="10" t="s">
        <v>18</v>
      </c>
      <c r="I3" s="8">
        <v>1</v>
      </c>
      <c r="J3" s="10">
        <v>2018</v>
      </c>
      <c r="K3" s="5" t="str">
        <f>"0.00"</f>
        <v>0.00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3.5" customHeight="1">
      <c r="A4" s="8">
        <v>1</v>
      </c>
      <c r="B4" s="8">
        <v>4021</v>
      </c>
      <c r="C4" s="9" t="s">
        <v>38</v>
      </c>
      <c r="D4" s="8" t="s">
        <v>22</v>
      </c>
      <c r="E4" s="8" t="str">
        <f>"4.97"</f>
        <v>4.97</v>
      </c>
      <c r="F4" s="8"/>
      <c r="G4" s="3">
        <v>8</v>
      </c>
      <c r="H4" s="10" t="s">
        <v>18</v>
      </c>
      <c r="I4" s="8">
        <v>1</v>
      </c>
      <c r="J4" s="10">
        <v>2017</v>
      </c>
      <c r="K4" s="5" t="str">
        <f>"4.97"</f>
        <v>4.97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3.5" customHeight="1">
      <c r="A5" s="8">
        <v>1</v>
      </c>
      <c r="B5" s="8">
        <v>3120</v>
      </c>
      <c r="C5" s="9" t="s">
        <v>152</v>
      </c>
      <c r="D5" s="8" t="s">
        <v>14</v>
      </c>
      <c r="E5" s="8" t="str">
        <f>"0.00"</f>
        <v>0.00</v>
      </c>
      <c r="F5" s="8"/>
      <c r="G5" s="3">
        <v>8</v>
      </c>
      <c r="H5" s="10" t="s">
        <v>18</v>
      </c>
      <c r="I5" s="8">
        <v>1</v>
      </c>
      <c r="J5" s="10">
        <v>2017</v>
      </c>
      <c r="K5" s="5" t="str">
        <f>"0.00"</f>
        <v>0.00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3.5" customHeight="1">
      <c r="A6" s="8">
        <v>1</v>
      </c>
      <c r="B6" s="8">
        <v>2568</v>
      </c>
      <c r="C6" s="9" t="s">
        <v>13</v>
      </c>
      <c r="D6" s="8" t="s">
        <v>14</v>
      </c>
      <c r="E6" s="8" t="str">
        <f>"15.29"</f>
        <v>15.29</v>
      </c>
      <c r="F6" s="8"/>
      <c r="G6" s="3">
        <v>8</v>
      </c>
      <c r="H6" s="10" t="s">
        <v>12</v>
      </c>
      <c r="I6" s="8">
        <v>2</v>
      </c>
      <c r="J6" s="10">
        <v>2017</v>
      </c>
      <c r="K6" s="5" t="str">
        <f>"30.58"</f>
        <v>30.58</v>
      </c>
      <c r="L6" s="5"/>
      <c r="M6" s="5"/>
      <c r="N6" s="5" t="str">
        <f>"0.00"</f>
        <v>0.00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3.5" customHeight="1">
      <c r="A7" s="8">
        <v>5</v>
      </c>
      <c r="B7" s="8">
        <v>10683</v>
      </c>
      <c r="C7" s="9" t="s">
        <v>10</v>
      </c>
      <c r="D7" s="8" t="s">
        <v>11</v>
      </c>
      <c r="E7" s="8" t="str">
        <f>"6.88"</f>
        <v>6.88</v>
      </c>
      <c r="F7" s="8"/>
      <c r="G7" s="3">
        <v>9.91</v>
      </c>
      <c r="H7" s="10" t="s">
        <v>18</v>
      </c>
      <c r="I7" s="8">
        <v>1</v>
      </c>
      <c r="J7" s="10">
        <v>2018</v>
      </c>
      <c r="K7" s="5" t="str">
        <f>"6.88"</f>
        <v>6.88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3.5" customHeight="1">
      <c r="A8" s="8">
        <v>6</v>
      </c>
      <c r="B8" s="8">
        <v>3076</v>
      </c>
      <c r="C8" s="9" t="s">
        <v>130</v>
      </c>
      <c r="D8" s="8" t="s">
        <v>131</v>
      </c>
      <c r="E8" s="8" t="str">
        <f>"9.41"</f>
        <v>9.41</v>
      </c>
      <c r="F8" s="8"/>
      <c r="G8" s="3">
        <v>13.55</v>
      </c>
      <c r="H8" s="10" t="s">
        <v>18</v>
      </c>
      <c r="I8" s="8">
        <v>1</v>
      </c>
      <c r="J8" s="10">
        <v>2018</v>
      </c>
      <c r="K8" s="5" t="str">
        <f>"9.41"</f>
        <v>9.41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3.5" customHeight="1">
      <c r="A9" s="8">
        <v>7</v>
      </c>
      <c r="B9" s="8">
        <v>1827</v>
      </c>
      <c r="C9" s="9" t="s">
        <v>31</v>
      </c>
      <c r="D9" s="8" t="s">
        <v>22</v>
      </c>
      <c r="E9" s="8" t="str">
        <f>"15.78"</f>
        <v>15.78</v>
      </c>
      <c r="F9" s="8"/>
      <c r="G9" s="3">
        <v>22.72</v>
      </c>
      <c r="H9" s="10" t="s">
        <v>18</v>
      </c>
      <c r="I9" s="8">
        <v>1</v>
      </c>
      <c r="J9" s="10">
        <v>2017</v>
      </c>
      <c r="K9" s="5" t="str">
        <f>"15.78"</f>
        <v>15.78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3.5" customHeight="1">
      <c r="A10" s="8">
        <v>8</v>
      </c>
      <c r="B10" s="8">
        <v>3961</v>
      </c>
      <c r="C10" s="9" t="s">
        <v>209</v>
      </c>
      <c r="D10" s="8" t="s">
        <v>16</v>
      </c>
      <c r="E10" s="8" t="str">
        <f>"20.92"</f>
        <v>20.92</v>
      </c>
      <c r="F10" s="8"/>
      <c r="G10" s="3">
        <v>30.12</v>
      </c>
      <c r="H10" s="10" t="s">
        <v>18</v>
      </c>
      <c r="I10" s="8">
        <v>1</v>
      </c>
      <c r="J10" s="10">
        <v>2017</v>
      </c>
      <c r="K10" s="5" t="str">
        <f>"20.92"</f>
        <v>20.92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3.5" customHeight="1">
      <c r="A11" s="8">
        <v>9</v>
      </c>
      <c r="B11" s="8">
        <v>10695</v>
      </c>
      <c r="C11" s="9" t="s">
        <v>390</v>
      </c>
      <c r="D11" s="8" t="s">
        <v>391</v>
      </c>
      <c r="E11" s="8" t="str">
        <f>"35.21"</f>
        <v>35.21</v>
      </c>
      <c r="F11" s="8"/>
      <c r="G11" s="3">
        <v>35.21</v>
      </c>
      <c r="H11" s="10"/>
      <c r="I11" s="8">
        <v>3</v>
      </c>
      <c r="J11" s="10">
        <v>2018</v>
      </c>
      <c r="K11" s="5" t="str">
        <f>"45.70"</f>
        <v>45.70</v>
      </c>
      <c r="L11" s="5"/>
      <c r="M11" s="5"/>
      <c r="N11" s="5" t="str">
        <f>"36.33"</f>
        <v>36.33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 t="str">
        <f>"34.09"</f>
        <v>34.09</v>
      </c>
      <c r="Z11" s="5"/>
      <c r="AA11" s="5"/>
      <c r="AB11" s="5"/>
      <c r="AC11" s="5"/>
      <c r="AD11" s="5"/>
    </row>
    <row r="12" spans="1:30" ht="13.5" customHeight="1">
      <c r="A12" s="8">
        <v>10</v>
      </c>
      <c r="B12" s="8">
        <v>5498</v>
      </c>
      <c r="C12" s="9" t="s">
        <v>33</v>
      </c>
      <c r="D12" s="8" t="s">
        <v>16</v>
      </c>
      <c r="E12" s="8" t="str">
        <f>"35.27"</f>
        <v>35.27</v>
      </c>
      <c r="F12" s="8"/>
      <c r="G12" s="3">
        <v>35.270000000000003</v>
      </c>
      <c r="H12" s="10"/>
      <c r="I12" s="8">
        <v>3</v>
      </c>
      <c r="J12" s="10">
        <v>2017</v>
      </c>
      <c r="K12" s="5" t="str">
        <f>"61.07"</f>
        <v>61.07</v>
      </c>
      <c r="L12" s="5"/>
      <c r="M12" s="5" t="str">
        <f>"33.09"</f>
        <v>33.09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 t="str">
        <f>"37.45"</f>
        <v>37.45</v>
      </c>
      <c r="AD12" s="5" t="str">
        <f>"50.22"</f>
        <v>50.22</v>
      </c>
    </row>
    <row r="13" spans="1:30" ht="13.5" customHeight="1">
      <c r="A13" s="8">
        <v>11</v>
      </c>
      <c r="B13" s="8">
        <v>6528</v>
      </c>
      <c r="C13" s="9" t="s">
        <v>21</v>
      </c>
      <c r="D13" s="8" t="s">
        <v>22</v>
      </c>
      <c r="E13" s="8" t="str">
        <f>"17.61"</f>
        <v>17.61</v>
      </c>
      <c r="F13" s="8"/>
      <c r="G13" s="3">
        <v>37.57</v>
      </c>
      <c r="H13" s="10" t="s">
        <v>12</v>
      </c>
      <c r="I13" s="8">
        <v>2</v>
      </c>
      <c r="J13" s="10">
        <v>2017</v>
      </c>
      <c r="K13" s="5" t="str">
        <f>"17.61"</f>
        <v>17.61</v>
      </c>
      <c r="L13" s="5"/>
      <c r="M13" s="5"/>
      <c r="N13" s="5" t="str">
        <f>"26.09"</f>
        <v>26.09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A14" s="8">
        <v>12</v>
      </c>
      <c r="B14" s="8">
        <v>7696</v>
      </c>
      <c r="C14" s="9" t="s">
        <v>20</v>
      </c>
      <c r="D14" s="8" t="s">
        <v>16</v>
      </c>
      <c r="E14" s="8" t="str">
        <f>"32.84"</f>
        <v>32.84</v>
      </c>
      <c r="F14" s="8"/>
      <c r="G14" s="3">
        <v>37.94</v>
      </c>
      <c r="H14" s="10"/>
      <c r="I14" s="8">
        <v>3</v>
      </c>
      <c r="J14" s="10">
        <v>2017</v>
      </c>
      <c r="K14" s="5" t="str">
        <f>"34.52"</f>
        <v>34.52</v>
      </c>
      <c r="L14" s="5"/>
      <c r="M14" s="5" t="str">
        <f>"31.15"</f>
        <v>31.15</v>
      </c>
      <c r="N14" s="5"/>
      <c r="O14" s="5"/>
      <c r="P14" s="5"/>
      <c r="Q14" s="5"/>
      <c r="R14" s="5"/>
      <c r="S14" s="5"/>
      <c r="T14" s="5"/>
      <c r="U14" s="5"/>
      <c r="V14" s="5" t="str">
        <f>"44.73"</f>
        <v>44.73</v>
      </c>
      <c r="W14" s="5" t="str">
        <f>"220.11"</f>
        <v>220.11</v>
      </c>
      <c r="X14" s="5"/>
      <c r="Y14" s="5"/>
      <c r="Z14" s="5"/>
      <c r="AA14" s="5"/>
      <c r="AB14" s="5"/>
      <c r="AC14" s="5"/>
      <c r="AD14" s="5" t="str">
        <f>"47.65"</f>
        <v>47.65</v>
      </c>
    </row>
    <row r="15" spans="1:30" ht="13.5" customHeight="1">
      <c r="A15" s="8">
        <v>13</v>
      </c>
      <c r="B15" s="8">
        <v>5105</v>
      </c>
      <c r="C15" s="9" t="s">
        <v>15</v>
      </c>
      <c r="D15" s="8" t="s">
        <v>16</v>
      </c>
      <c r="E15" s="8" t="str">
        <f>"35.52"</f>
        <v>35.52</v>
      </c>
      <c r="F15" s="8"/>
      <c r="G15" s="3">
        <v>38.08</v>
      </c>
      <c r="H15" s="10"/>
      <c r="I15" s="8">
        <v>3</v>
      </c>
      <c r="J15" s="10">
        <v>2017</v>
      </c>
      <c r="K15" s="5" t="str">
        <f>"35.52"</f>
        <v>35.52</v>
      </c>
      <c r="L15" s="5"/>
      <c r="M15" s="5" t="str">
        <f>"122.25"</f>
        <v>122.25</v>
      </c>
      <c r="N15" s="5"/>
      <c r="O15" s="5"/>
      <c r="P15" s="5"/>
      <c r="Q15" s="5"/>
      <c r="R15" s="5"/>
      <c r="S15" s="5"/>
      <c r="T15" s="5"/>
      <c r="U15" s="5"/>
      <c r="V15" s="5"/>
      <c r="W15" s="5" t="str">
        <f>"39.34"</f>
        <v>39.34</v>
      </c>
      <c r="X15" s="5"/>
      <c r="Y15" s="5"/>
      <c r="Z15" s="5"/>
      <c r="AA15" s="5"/>
      <c r="AB15" s="5"/>
      <c r="AC15" s="5" t="str">
        <f>"36.81"</f>
        <v>36.81</v>
      </c>
      <c r="AD15" s="5" t="str">
        <f>"45.58"</f>
        <v>45.58</v>
      </c>
    </row>
    <row r="16" spans="1:30" ht="13.5" customHeight="1">
      <c r="A16" s="8">
        <v>14</v>
      </c>
      <c r="B16" s="8">
        <v>6587</v>
      </c>
      <c r="C16" s="9" t="s">
        <v>30</v>
      </c>
      <c r="D16" s="8" t="s">
        <v>16</v>
      </c>
      <c r="E16" s="8" t="str">
        <f>"40.78"</f>
        <v>40.78</v>
      </c>
      <c r="F16" s="8"/>
      <c r="G16" s="3">
        <v>40.78</v>
      </c>
      <c r="H16" s="10"/>
      <c r="I16" s="8">
        <v>3</v>
      </c>
      <c r="J16" s="10">
        <v>2017</v>
      </c>
      <c r="K16" s="5" t="str">
        <f>"54.55"</f>
        <v>54.55</v>
      </c>
      <c r="L16" s="5"/>
      <c r="M16" s="5" t="str">
        <f>"37.61"</f>
        <v>37.61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 t="str">
        <f>"51.72"</f>
        <v>51.72</v>
      </c>
      <c r="AD16" s="5" t="str">
        <f>"43.94"</f>
        <v>43.94</v>
      </c>
    </row>
    <row r="17" spans="1:30" ht="13.5" customHeight="1">
      <c r="A17" s="8">
        <v>15</v>
      </c>
      <c r="B17" s="8">
        <v>4023</v>
      </c>
      <c r="C17" s="9" t="s">
        <v>36</v>
      </c>
      <c r="D17" s="8" t="s">
        <v>16</v>
      </c>
      <c r="E17" s="8" t="str">
        <f>"36.92"</f>
        <v>36.92</v>
      </c>
      <c r="F17" s="8"/>
      <c r="G17" s="3">
        <v>41.98</v>
      </c>
      <c r="H17" s="10"/>
      <c r="I17" s="8">
        <v>3</v>
      </c>
      <c r="J17" s="10">
        <v>2017</v>
      </c>
      <c r="K17" s="5" t="str">
        <f>"45.00"</f>
        <v>45.00</v>
      </c>
      <c r="L17" s="5" t="str">
        <f>"28.84"</f>
        <v>28.84</v>
      </c>
      <c r="M17" s="5" t="str">
        <f>"55.11"</f>
        <v>55.11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3.5" customHeight="1">
      <c r="A18" s="8">
        <v>16</v>
      </c>
      <c r="B18" s="8">
        <v>6269</v>
      </c>
      <c r="C18" s="9" t="s">
        <v>32</v>
      </c>
      <c r="D18" s="8" t="s">
        <v>16</v>
      </c>
      <c r="E18" s="8" t="str">
        <f>"42.74"</f>
        <v>42.74</v>
      </c>
      <c r="F18" s="8"/>
      <c r="G18" s="3">
        <v>42.74</v>
      </c>
      <c r="H18" s="10"/>
      <c r="I18" s="8">
        <v>3</v>
      </c>
      <c r="J18" s="10">
        <v>2017</v>
      </c>
      <c r="K18" s="5" t="str">
        <f>"68.86"</f>
        <v>68.86</v>
      </c>
      <c r="L18" s="5"/>
      <c r="M18" s="5" t="str">
        <f>"37.68"</f>
        <v>37.68</v>
      </c>
      <c r="N18" s="5"/>
      <c r="O18" s="5"/>
      <c r="P18" s="5"/>
      <c r="Q18" s="5" t="str">
        <f>"64.88"</f>
        <v>64.88</v>
      </c>
      <c r="R18" s="5" t="str">
        <f>"72.93"</f>
        <v>72.93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tr">
        <f>"47.79"</f>
        <v>47.79</v>
      </c>
    </row>
    <row r="19" spans="1:30" ht="13.5" customHeight="1">
      <c r="A19" s="8">
        <v>17</v>
      </c>
      <c r="B19" s="8">
        <v>4168</v>
      </c>
      <c r="C19" s="9" t="s">
        <v>56</v>
      </c>
      <c r="D19" s="8" t="s">
        <v>16</v>
      </c>
      <c r="E19" s="8" t="str">
        <f>"32.68"</f>
        <v>32.68</v>
      </c>
      <c r="F19" s="8"/>
      <c r="G19" s="3">
        <v>44.48</v>
      </c>
      <c r="H19" s="10"/>
      <c r="I19" s="8">
        <v>3</v>
      </c>
      <c r="J19" s="10">
        <v>2017</v>
      </c>
      <c r="K19" s="5" t="str">
        <f>"32.68"</f>
        <v>32.68</v>
      </c>
      <c r="L19" s="5" t="str">
        <f>"81.40"</f>
        <v>81.40</v>
      </c>
      <c r="M19" s="5" t="str">
        <f>"39.18"</f>
        <v>39.18</v>
      </c>
      <c r="N19" s="5"/>
      <c r="O19" s="5"/>
      <c r="P19" s="5"/>
      <c r="Q19" s="5"/>
      <c r="R19" s="5"/>
      <c r="S19" s="5"/>
      <c r="T19" s="5"/>
      <c r="U19" s="5"/>
      <c r="V19" s="5" t="str">
        <f>"61.14"</f>
        <v>61.14</v>
      </c>
      <c r="W19" s="5" t="str">
        <f>"49.78"</f>
        <v>49.78</v>
      </c>
      <c r="X19" s="5"/>
      <c r="Y19" s="5"/>
      <c r="Z19" s="5"/>
      <c r="AA19" s="5"/>
      <c r="AB19" s="5"/>
      <c r="AC19" s="5"/>
      <c r="AD19" s="5"/>
    </row>
    <row r="20" spans="1:30" ht="13.5" customHeight="1">
      <c r="A20" s="8">
        <v>18</v>
      </c>
      <c r="B20" s="8">
        <v>8308</v>
      </c>
      <c r="C20" s="9" t="s">
        <v>53</v>
      </c>
      <c r="D20" s="8" t="s">
        <v>16</v>
      </c>
      <c r="E20" s="8" t="str">
        <f>"46.26"</f>
        <v>46.26</v>
      </c>
      <c r="F20" s="8"/>
      <c r="G20" s="3">
        <v>46.26</v>
      </c>
      <c r="H20" s="10"/>
      <c r="I20" s="8">
        <v>3</v>
      </c>
      <c r="J20" s="10">
        <v>2017</v>
      </c>
      <c r="K20" s="5" t="str">
        <f>"52.43"</f>
        <v>52.43</v>
      </c>
      <c r="L20" s="5"/>
      <c r="M20" s="5" t="str">
        <f>"59.77"</f>
        <v>59.77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 t="str">
        <f>"52.43"</f>
        <v>52.43</v>
      </c>
      <c r="Y20" s="5"/>
      <c r="Z20" s="5"/>
      <c r="AA20" s="5"/>
      <c r="AB20" s="5"/>
      <c r="AC20" s="5" t="str">
        <f>"69.66"</f>
        <v>69.66</v>
      </c>
      <c r="AD20" s="5" t="str">
        <f>"40.09"</f>
        <v>40.09</v>
      </c>
    </row>
    <row r="21" spans="1:30" ht="13.5" customHeight="1">
      <c r="A21" s="8">
        <v>19</v>
      </c>
      <c r="B21" s="8">
        <v>8478</v>
      </c>
      <c r="C21" s="9" t="s">
        <v>191</v>
      </c>
      <c r="D21" s="8" t="s">
        <v>16</v>
      </c>
      <c r="E21" s="8" t="str">
        <f>"33.05"</f>
        <v>33.05</v>
      </c>
      <c r="F21" s="8"/>
      <c r="G21" s="3">
        <v>47.59</v>
      </c>
      <c r="H21" s="10" t="s">
        <v>18</v>
      </c>
      <c r="I21" s="8">
        <v>1</v>
      </c>
      <c r="J21" s="10">
        <v>2017</v>
      </c>
      <c r="K21" s="5" t="str">
        <f>"33.05"</f>
        <v>33.05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3.5" customHeight="1">
      <c r="A22" s="8">
        <v>20</v>
      </c>
      <c r="B22" s="8">
        <v>5421</v>
      </c>
      <c r="C22" s="9" t="s">
        <v>48</v>
      </c>
      <c r="D22" s="8" t="s">
        <v>16</v>
      </c>
      <c r="E22" s="8" t="str">
        <f>"50.12"</f>
        <v>50.12</v>
      </c>
      <c r="F22" s="8"/>
      <c r="G22" s="3">
        <v>50.12</v>
      </c>
      <c r="H22" s="10"/>
      <c r="I22" s="8">
        <v>3</v>
      </c>
      <c r="J22" s="10">
        <v>2017</v>
      </c>
      <c r="K22" s="5" t="str">
        <f>"71.20"</f>
        <v>71.20</v>
      </c>
      <c r="L22" s="5"/>
      <c r="M22" s="5" t="str">
        <f>"63.65"</f>
        <v>63.65</v>
      </c>
      <c r="N22" s="5"/>
      <c r="O22" s="5"/>
      <c r="P22" s="5"/>
      <c r="Q22" s="5"/>
      <c r="R22" s="5"/>
      <c r="S22" s="5"/>
      <c r="T22" s="5"/>
      <c r="U22" s="5"/>
      <c r="V22" s="5"/>
      <c r="W22" s="5" t="str">
        <f>"48.46"</f>
        <v>48.46</v>
      </c>
      <c r="X22" s="5"/>
      <c r="Y22" s="5"/>
      <c r="Z22" s="5"/>
      <c r="AA22" s="5"/>
      <c r="AB22" s="5"/>
      <c r="AC22" s="5"/>
      <c r="AD22" s="5" t="str">
        <f>"51.78"</f>
        <v>51.78</v>
      </c>
    </row>
    <row r="23" spans="1:30" ht="13.5" customHeight="1">
      <c r="A23" s="8">
        <v>21</v>
      </c>
      <c r="B23" s="8">
        <v>3162</v>
      </c>
      <c r="C23" s="9" t="s">
        <v>60</v>
      </c>
      <c r="D23" s="8" t="s">
        <v>22</v>
      </c>
      <c r="E23" s="8" t="str">
        <f>"43.76"</f>
        <v>43.76</v>
      </c>
      <c r="F23" s="8"/>
      <c r="G23" s="3">
        <v>50.56</v>
      </c>
      <c r="H23" s="10" t="s">
        <v>12</v>
      </c>
      <c r="I23" s="8">
        <v>2</v>
      </c>
      <c r="J23" s="10">
        <v>2017</v>
      </c>
      <c r="K23" s="5" t="str">
        <f>"52.41"</f>
        <v>52.41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 t="str">
        <f>"35.11"</f>
        <v>35.11</v>
      </c>
      <c r="AB23" s="5"/>
      <c r="AC23" s="5"/>
      <c r="AD23" s="5"/>
    </row>
    <row r="24" spans="1:30" ht="13.5" customHeight="1">
      <c r="A24" s="8">
        <v>22</v>
      </c>
      <c r="B24" s="8">
        <v>6680</v>
      </c>
      <c r="C24" s="9" t="s">
        <v>52</v>
      </c>
      <c r="D24" s="8" t="s">
        <v>16</v>
      </c>
      <c r="E24" s="8" t="str">
        <f>"56.35"</f>
        <v>56.35</v>
      </c>
      <c r="F24" s="8"/>
      <c r="G24" s="3">
        <v>56.35</v>
      </c>
      <c r="H24" s="10"/>
      <c r="I24" s="8">
        <v>3</v>
      </c>
      <c r="J24" s="10">
        <v>2017</v>
      </c>
      <c r="K24" s="5" t="str">
        <f>"74.73"</f>
        <v>74.73</v>
      </c>
      <c r="L24" s="5"/>
      <c r="M24" s="5" t="str">
        <f>"112.35"</f>
        <v>112.35</v>
      </c>
      <c r="N24" s="5"/>
      <c r="O24" s="5"/>
      <c r="P24" s="5"/>
      <c r="Q24" s="5"/>
      <c r="R24" s="5"/>
      <c r="S24" s="5"/>
      <c r="T24" s="5"/>
      <c r="U24" s="5"/>
      <c r="V24" s="5" t="str">
        <f>"79.99"</f>
        <v>79.99</v>
      </c>
      <c r="W24" s="5" t="str">
        <f>"80.86"</f>
        <v>80.86</v>
      </c>
      <c r="X24" s="5" t="str">
        <f>"69.02"</f>
        <v>69.02</v>
      </c>
      <c r="Y24" s="5" t="str">
        <f>"43.67"</f>
        <v>43.67</v>
      </c>
      <c r="Z24" s="5"/>
      <c r="AA24" s="5"/>
      <c r="AB24" s="5"/>
      <c r="AC24" s="5"/>
      <c r="AD24" s="5"/>
    </row>
    <row r="25" spans="1:30" ht="13.5" customHeight="1">
      <c r="A25" s="8">
        <v>23</v>
      </c>
      <c r="B25" s="8">
        <v>7816</v>
      </c>
      <c r="C25" s="9" t="s">
        <v>132</v>
      </c>
      <c r="D25" s="8" t="s">
        <v>16</v>
      </c>
      <c r="E25" s="8" t="str">
        <f>"56.67"</f>
        <v>56.67</v>
      </c>
      <c r="F25" s="8"/>
      <c r="G25" s="3">
        <v>56.67</v>
      </c>
      <c r="H25" s="10"/>
      <c r="I25" s="8">
        <v>3</v>
      </c>
      <c r="J25" s="10">
        <v>2017</v>
      </c>
      <c r="K25" s="5" t="str">
        <f>"66.57"</f>
        <v>66.57</v>
      </c>
      <c r="L25" s="5"/>
      <c r="M25" s="5" t="str">
        <f>"59.99"</f>
        <v>59.99</v>
      </c>
      <c r="N25" s="5"/>
      <c r="O25" s="5"/>
      <c r="P25" s="5"/>
      <c r="Q25" s="5"/>
      <c r="R25" s="5"/>
      <c r="S25" s="5"/>
      <c r="T25" s="5"/>
      <c r="U25" s="5"/>
      <c r="V25" s="5"/>
      <c r="W25" s="5" t="str">
        <f>"165.68"</f>
        <v>165.68</v>
      </c>
      <c r="X25" s="5"/>
      <c r="Y25" s="5"/>
      <c r="Z25" s="5"/>
      <c r="AA25" s="5"/>
      <c r="AB25" s="5"/>
      <c r="AC25" s="5"/>
      <c r="AD25" s="5" t="str">
        <f>"53.35"</f>
        <v>53.35</v>
      </c>
    </row>
    <row r="26" spans="1:30" ht="13.5" customHeight="1">
      <c r="A26" s="8">
        <v>24</v>
      </c>
      <c r="B26" s="8">
        <v>5388</v>
      </c>
      <c r="C26" s="9" t="s">
        <v>290</v>
      </c>
      <c r="D26" s="8" t="s">
        <v>291</v>
      </c>
      <c r="E26" s="8" t="str">
        <f>"39.36"</f>
        <v>39.36</v>
      </c>
      <c r="F26" s="8"/>
      <c r="G26" s="3">
        <v>56.68</v>
      </c>
      <c r="H26" s="10" t="s">
        <v>18</v>
      </c>
      <c r="I26" s="8">
        <v>1</v>
      </c>
      <c r="J26" s="10">
        <v>2017</v>
      </c>
      <c r="K26" s="5" t="str">
        <f>"39.36"</f>
        <v>39.36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3.5" customHeight="1">
      <c r="A27" s="8">
        <v>25</v>
      </c>
      <c r="B27" s="8">
        <v>5096</v>
      </c>
      <c r="C27" s="9" t="s">
        <v>1248</v>
      </c>
      <c r="D27" s="8" t="s">
        <v>24</v>
      </c>
      <c r="E27" s="8"/>
      <c r="F27" s="8"/>
      <c r="G27" s="3">
        <v>58.33</v>
      </c>
      <c r="H27" s="10" t="s">
        <v>18</v>
      </c>
      <c r="I27" s="8">
        <v>1</v>
      </c>
      <c r="J27" s="10">
        <v>2017</v>
      </c>
      <c r="K27" s="5">
        <v>40.51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3.5" customHeight="1">
      <c r="A28" s="8">
        <v>26</v>
      </c>
      <c r="B28" s="8">
        <v>10284</v>
      </c>
      <c r="C28" s="9" t="s">
        <v>125</v>
      </c>
      <c r="D28" s="8" t="s">
        <v>22</v>
      </c>
      <c r="E28" s="8" t="str">
        <f>"45.14"</f>
        <v>45.14</v>
      </c>
      <c r="F28" s="8"/>
      <c r="G28" s="3">
        <v>61.91</v>
      </c>
      <c r="H28" s="10" t="s">
        <v>12</v>
      </c>
      <c r="I28" s="8">
        <v>2</v>
      </c>
      <c r="J28" s="10">
        <v>2017</v>
      </c>
      <c r="K28" s="5" t="str">
        <f>"47.28"</f>
        <v>47.28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 t="str">
        <f>"42.99"</f>
        <v>42.99</v>
      </c>
      <c r="Y28" s="5"/>
      <c r="Z28" s="5"/>
      <c r="AA28" s="5"/>
      <c r="AB28" s="5"/>
      <c r="AC28" s="5"/>
      <c r="AD28" s="5"/>
    </row>
    <row r="29" spans="1:30" ht="13.5" customHeight="1">
      <c r="A29" s="8">
        <v>27</v>
      </c>
      <c r="B29" s="8">
        <v>3469</v>
      </c>
      <c r="C29" s="9" t="s">
        <v>41</v>
      </c>
      <c r="D29" s="8" t="s">
        <v>42</v>
      </c>
      <c r="E29" s="8" t="str">
        <f>"61.97"</f>
        <v>61.97</v>
      </c>
      <c r="F29" s="8"/>
      <c r="G29" s="3">
        <v>61.97</v>
      </c>
      <c r="H29" s="10"/>
      <c r="I29" s="8">
        <v>3</v>
      </c>
      <c r="J29" s="10">
        <v>2017</v>
      </c>
      <c r="K29" s="5" t="str">
        <f>"218.87"</f>
        <v>218.87</v>
      </c>
      <c r="L29" s="5"/>
      <c r="M29" s="5"/>
      <c r="N29" s="5"/>
      <c r="O29" s="5" t="str">
        <f>"56.16"</f>
        <v>56.16</v>
      </c>
      <c r="P29" s="5"/>
      <c r="Q29" s="5"/>
      <c r="R29" s="5"/>
      <c r="S29" s="5" t="str">
        <f>"67.78"</f>
        <v>67.78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13.5" customHeight="1">
      <c r="A30" s="8">
        <v>28</v>
      </c>
      <c r="B30" s="8">
        <v>5262</v>
      </c>
      <c r="C30" s="9" t="s">
        <v>384</v>
      </c>
      <c r="D30" s="8" t="s">
        <v>213</v>
      </c>
      <c r="E30" s="8" t="str">
        <f>"24.98"</f>
        <v>24.98</v>
      </c>
      <c r="F30" s="8"/>
      <c r="G30" s="3">
        <v>61.98</v>
      </c>
      <c r="H30" s="10"/>
      <c r="I30" s="8">
        <v>3</v>
      </c>
      <c r="J30" s="10">
        <v>2018</v>
      </c>
      <c r="K30" s="5" t="str">
        <f>"24.98"</f>
        <v>24.98</v>
      </c>
      <c r="L30" s="5"/>
      <c r="M30" s="5"/>
      <c r="N30" s="5"/>
      <c r="O30" s="5"/>
      <c r="P30" s="5"/>
      <c r="Q30" s="5"/>
      <c r="R30" s="5"/>
      <c r="S30" s="5" t="str">
        <f>"58.03"</f>
        <v>58.03</v>
      </c>
      <c r="T30" s="5"/>
      <c r="U30" s="5"/>
      <c r="V30" s="5"/>
      <c r="W30" s="5"/>
      <c r="X30" s="5" t="str">
        <f>"65.92"</f>
        <v>65.92</v>
      </c>
      <c r="Y30" s="5" t="str">
        <f>"84.72"</f>
        <v>84.72</v>
      </c>
      <c r="Z30" s="5"/>
      <c r="AA30" s="5"/>
      <c r="AB30" s="5"/>
      <c r="AC30" s="5"/>
      <c r="AD30" s="5"/>
    </row>
    <row r="31" spans="1:30" ht="13.5" customHeight="1">
      <c r="A31" s="8">
        <v>29</v>
      </c>
      <c r="B31" s="8">
        <v>10291</v>
      </c>
      <c r="C31" s="9" t="s">
        <v>124</v>
      </c>
      <c r="D31" s="8" t="s">
        <v>16</v>
      </c>
      <c r="E31" s="8" t="str">
        <f>"55.45"</f>
        <v>55.45</v>
      </c>
      <c r="F31" s="8"/>
      <c r="G31" s="3">
        <v>62.54</v>
      </c>
      <c r="H31" s="10"/>
      <c r="I31" s="8">
        <v>3</v>
      </c>
      <c r="J31" s="10">
        <v>2017</v>
      </c>
      <c r="K31" s="5" t="str">
        <f>"65.02"</f>
        <v>65.02</v>
      </c>
      <c r="L31" s="5"/>
      <c r="M31" s="5" t="str">
        <f>"79.21"</f>
        <v>79.21</v>
      </c>
      <c r="N31" s="5"/>
      <c r="O31" s="5"/>
      <c r="P31" s="5"/>
      <c r="Q31" s="5"/>
      <c r="R31" s="5"/>
      <c r="S31" s="5"/>
      <c r="T31" s="5"/>
      <c r="U31" s="5"/>
      <c r="V31" s="5" t="str">
        <f>"81.65"</f>
        <v>81.65</v>
      </c>
      <c r="W31" s="5"/>
      <c r="X31" s="5" t="str">
        <f>"45.87"</f>
        <v>45.87</v>
      </c>
      <c r="Y31" s="5"/>
      <c r="Z31" s="5"/>
      <c r="AA31" s="5"/>
      <c r="AB31" s="5"/>
      <c r="AC31" s="5"/>
      <c r="AD31" s="5"/>
    </row>
    <row r="32" spans="1:30" ht="13.5" customHeight="1">
      <c r="A32" s="8">
        <v>30</v>
      </c>
      <c r="B32" s="8">
        <v>3623</v>
      </c>
      <c r="C32" s="9" t="s">
        <v>39</v>
      </c>
      <c r="D32" s="8" t="s">
        <v>40</v>
      </c>
      <c r="E32" s="8" t="str">
        <f>"62.86"</f>
        <v>62.86</v>
      </c>
      <c r="F32" s="8"/>
      <c r="G32" s="3">
        <v>62.86</v>
      </c>
      <c r="H32" s="10"/>
      <c r="I32" s="8">
        <v>5</v>
      </c>
      <c r="J32" s="10">
        <v>2017</v>
      </c>
      <c r="K32" s="5"/>
      <c r="L32" s="5"/>
      <c r="M32" s="5"/>
      <c r="N32" s="5" t="str">
        <f>"67.11"</f>
        <v>67.11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 t="str">
        <f>"58.61"</f>
        <v>58.61</v>
      </c>
      <c r="AB32" s="5"/>
      <c r="AC32" s="5"/>
      <c r="AD32" s="5"/>
    </row>
    <row r="33" spans="1:30" ht="13.5" customHeight="1">
      <c r="A33" s="8">
        <v>31</v>
      </c>
      <c r="B33" s="8">
        <v>6296</v>
      </c>
      <c r="C33" s="9" t="s">
        <v>37</v>
      </c>
      <c r="D33" s="8" t="s">
        <v>16</v>
      </c>
      <c r="E33" s="8" t="str">
        <f>"63.48"</f>
        <v>63.48</v>
      </c>
      <c r="F33" s="8"/>
      <c r="G33" s="3">
        <v>63.48</v>
      </c>
      <c r="H33" s="10"/>
      <c r="I33" s="8">
        <v>3</v>
      </c>
      <c r="J33" s="10">
        <v>2017</v>
      </c>
      <c r="K33" s="5" t="str">
        <f>"115.70"</f>
        <v>115.70</v>
      </c>
      <c r="L33" s="5"/>
      <c r="M33" s="5" t="str">
        <f>"58.05"</f>
        <v>58.05</v>
      </c>
      <c r="N33" s="5"/>
      <c r="O33" s="5"/>
      <c r="P33" s="5"/>
      <c r="Q33" s="5"/>
      <c r="R33" s="5"/>
      <c r="S33" s="5"/>
      <c r="T33" s="5"/>
      <c r="U33" s="5"/>
      <c r="V33" s="5"/>
      <c r="W33" s="5" t="str">
        <f>"140.94"</f>
        <v>140.94</v>
      </c>
      <c r="X33" s="5"/>
      <c r="Y33" s="5"/>
      <c r="Z33" s="5"/>
      <c r="AA33" s="5" t="str">
        <f>"169.78"</f>
        <v>169.78</v>
      </c>
      <c r="AB33" s="5"/>
      <c r="AC33" s="5"/>
      <c r="AD33" s="5" t="str">
        <f>"68.90"</f>
        <v>68.90</v>
      </c>
    </row>
    <row r="34" spans="1:30" ht="13.5" customHeight="1">
      <c r="A34" s="8">
        <v>32</v>
      </c>
      <c r="B34" s="8">
        <v>2635</v>
      </c>
      <c r="C34" s="9" t="s">
        <v>72</v>
      </c>
      <c r="D34" s="8" t="s">
        <v>73</v>
      </c>
      <c r="E34" s="8" t="str">
        <f>"44.60"</f>
        <v>44.60</v>
      </c>
      <c r="F34" s="8"/>
      <c r="G34" s="3">
        <v>64.22</v>
      </c>
      <c r="H34" s="10" t="s">
        <v>18</v>
      </c>
      <c r="I34" s="8">
        <v>1</v>
      </c>
      <c r="J34" s="10">
        <v>2017</v>
      </c>
      <c r="K34" s="5" t="str">
        <f>"44.60"</f>
        <v>44.60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3.5" customHeight="1">
      <c r="A35" s="8">
        <v>33</v>
      </c>
      <c r="B35" s="8">
        <v>11093</v>
      </c>
      <c r="C35" s="9" t="s">
        <v>19</v>
      </c>
      <c r="D35" s="8" t="s">
        <v>16</v>
      </c>
      <c r="E35" s="8" t="str">
        <f>"64.54"</f>
        <v>64.54</v>
      </c>
      <c r="F35" s="8"/>
      <c r="G35" s="3">
        <v>64.540000000000006</v>
      </c>
      <c r="H35" s="10"/>
      <c r="I35" s="8">
        <v>3</v>
      </c>
      <c r="J35" s="10">
        <v>2017</v>
      </c>
      <c r="K35" s="5" t="str">
        <f>"89.78"</f>
        <v>89.78</v>
      </c>
      <c r="L35" s="5"/>
      <c r="M35" s="5" t="str">
        <f>"55.83"</f>
        <v>55.83</v>
      </c>
      <c r="N35" s="5"/>
      <c r="O35" s="5"/>
      <c r="P35" s="5"/>
      <c r="Q35" s="5"/>
      <c r="R35" s="5"/>
      <c r="S35" s="5"/>
      <c r="T35" s="5"/>
      <c r="U35" s="5"/>
      <c r="V35" s="5"/>
      <c r="W35" s="5" t="str">
        <f>"151.99"</f>
        <v>151.99</v>
      </c>
      <c r="X35" s="5"/>
      <c r="Y35" s="5"/>
      <c r="Z35" s="5"/>
      <c r="AA35" s="5"/>
      <c r="AB35" s="5"/>
      <c r="AC35" s="5"/>
      <c r="AD35" s="5" t="str">
        <f>"73.25"</f>
        <v>73.25</v>
      </c>
    </row>
    <row r="36" spans="1:30" ht="13.5" customHeight="1">
      <c r="A36" s="8">
        <v>34</v>
      </c>
      <c r="B36" s="8">
        <v>2557</v>
      </c>
      <c r="C36" s="9" t="s">
        <v>136</v>
      </c>
      <c r="D36" s="8" t="s">
        <v>42</v>
      </c>
      <c r="E36" s="8" t="str">
        <f>"60.39"</f>
        <v>60.39</v>
      </c>
      <c r="F36" s="8"/>
      <c r="G36" s="3">
        <v>66.41</v>
      </c>
      <c r="H36" s="10"/>
      <c r="I36" s="8">
        <v>3</v>
      </c>
      <c r="J36" s="10">
        <v>2017</v>
      </c>
      <c r="K36" s="5" t="str">
        <f>"60.63"</f>
        <v>60.63</v>
      </c>
      <c r="L36" s="5"/>
      <c r="M36" s="5"/>
      <c r="N36" s="5" t="str">
        <f>"60.14"</f>
        <v>60.14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 t="str">
        <f>"72.67"</f>
        <v>72.67</v>
      </c>
      <c r="Z36" s="5"/>
      <c r="AA36" s="5"/>
      <c r="AB36" s="5"/>
      <c r="AC36" s="5"/>
      <c r="AD36" s="5"/>
    </row>
    <row r="37" spans="1:30" ht="13.5" customHeight="1">
      <c r="A37" s="8">
        <v>35</v>
      </c>
      <c r="B37" s="8">
        <v>10682</v>
      </c>
      <c r="C37" s="9" t="s">
        <v>43</v>
      </c>
      <c r="D37" s="8" t="s">
        <v>44</v>
      </c>
      <c r="E37" s="8" t="str">
        <f>"49.44"</f>
        <v>49.44</v>
      </c>
      <c r="F37" s="8"/>
      <c r="G37" s="3">
        <v>67.16</v>
      </c>
      <c r="H37" s="10" t="s">
        <v>12</v>
      </c>
      <c r="I37" s="8">
        <v>2</v>
      </c>
      <c r="J37" s="10">
        <v>2017</v>
      </c>
      <c r="K37" s="5" t="str">
        <f>"52.24"</f>
        <v>52.24</v>
      </c>
      <c r="L37" s="5"/>
      <c r="M37" s="5"/>
      <c r="N37" s="5" t="str">
        <f>"46.64"</f>
        <v>46.64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3.5" customHeight="1">
      <c r="A38" s="8">
        <v>36</v>
      </c>
      <c r="B38" s="8">
        <v>5199</v>
      </c>
      <c r="C38" s="9" t="s">
        <v>111</v>
      </c>
      <c r="D38" s="8" t="s">
        <v>40</v>
      </c>
      <c r="E38" s="8" t="str">
        <f>"67.77"</f>
        <v>67.77</v>
      </c>
      <c r="F38" s="8"/>
      <c r="G38" s="3">
        <v>67.77</v>
      </c>
      <c r="H38" s="10" t="s">
        <v>12</v>
      </c>
      <c r="I38" s="8">
        <v>4</v>
      </c>
      <c r="J38" s="10">
        <v>2017</v>
      </c>
      <c r="K38" s="5"/>
      <c r="L38" s="5"/>
      <c r="M38" s="5"/>
      <c r="N38" s="5" t="str">
        <f>"47.06"</f>
        <v>47.06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3.5" customHeight="1">
      <c r="A39" s="8">
        <v>37</v>
      </c>
      <c r="B39" s="8">
        <v>2154</v>
      </c>
      <c r="C39" s="9" t="s">
        <v>47</v>
      </c>
      <c r="D39" s="8" t="s">
        <v>16</v>
      </c>
      <c r="E39" s="8" t="str">
        <f>"37.98"</f>
        <v>37.98</v>
      </c>
      <c r="F39" s="8"/>
      <c r="G39" s="3">
        <v>68.2</v>
      </c>
      <c r="H39" s="10" t="s">
        <v>12</v>
      </c>
      <c r="I39" s="8">
        <v>2</v>
      </c>
      <c r="J39" s="10">
        <v>2017</v>
      </c>
      <c r="K39" s="5" t="str">
        <f>"37.98"</f>
        <v>37.98</v>
      </c>
      <c r="L39" s="5"/>
      <c r="M39" s="5" t="str">
        <f>"47.36"</f>
        <v>47.36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3.5" customHeight="1">
      <c r="A40" s="8">
        <v>38</v>
      </c>
      <c r="B40" s="8">
        <v>3368</v>
      </c>
      <c r="C40" s="9" t="s">
        <v>1245</v>
      </c>
      <c r="D40" s="8" t="s">
        <v>318</v>
      </c>
      <c r="E40" s="8"/>
      <c r="F40" s="8"/>
      <c r="G40" s="3">
        <v>68.569999999999993</v>
      </c>
      <c r="H40" s="10" t="s">
        <v>18</v>
      </c>
      <c r="I40" s="8">
        <v>1</v>
      </c>
      <c r="J40" s="10">
        <v>2017</v>
      </c>
      <c r="K40" s="5">
        <v>47.62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13.5" customHeight="1">
      <c r="A41" s="8">
        <v>39</v>
      </c>
      <c r="B41" s="8">
        <v>10669</v>
      </c>
      <c r="C41" s="9" t="s">
        <v>93</v>
      </c>
      <c r="D41" s="8" t="s">
        <v>22</v>
      </c>
      <c r="E41" s="8" t="str">
        <f>"47.85"</f>
        <v>47.85</v>
      </c>
      <c r="F41" s="8"/>
      <c r="G41" s="3">
        <v>68.900000000000006</v>
      </c>
      <c r="H41" s="10" t="s">
        <v>18</v>
      </c>
      <c r="I41" s="8">
        <v>1</v>
      </c>
      <c r="J41" s="10">
        <v>2017</v>
      </c>
      <c r="K41" s="5" t="str">
        <f>"47.85"</f>
        <v>47.85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3.5" customHeight="1">
      <c r="A42" s="8">
        <v>40</v>
      </c>
      <c r="B42" s="8">
        <v>7820</v>
      </c>
      <c r="C42" s="9" t="s">
        <v>1244</v>
      </c>
      <c r="D42" s="8" t="s">
        <v>22</v>
      </c>
      <c r="E42" s="8"/>
      <c r="F42" s="8"/>
      <c r="G42" s="3">
        <v>68.11</v>
      </c>
      <c r="H42" s="10" t="s">
        <v>18</v>
      </c>
      <c r="I42" s="8">
        <v>1</v>
      </c>
      <c r="J42" s="10">
        <v>2017</v>
      </c>
      <c r="K42" s="5">
        <v>47.99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3.5" customHeight="1">
      <c r="A43" s="8">
        <v>41</v>
      </c>
      <c r="B43" s="8">
        <v>9392</v>
      </c>
      <c r="C43" s="9" t="s">
        <v>68</v>
      </c>
      <c r="D43" s="8" t="s">
        <v>55</v>
      </c>
      <c r="E43" s="8" t="str">
        <f>"52.82"</f>
        <v>52.82</v>
      </c>
      <c r="F43" s="8"/>
      <c r="G43" s="3">
        <v>70.13</v>
      </c>
      <c r="H43" s="10" t="s">
        <v>12</v>
      </c>
      <c r="I43" s="8">
        <v>2</v>
      </c>
      <c r="J43" s="10">
        <v>2018</v>
      </c>
      <c r="K43" s="5" t="str">
        <f>"56.93"</f>
        <v>56.93</v>
      </c>
      <c r="L43" s="5"/>
      <c r="M43" s="5"/>
      <c r="N43" s="5" t="str">
        <f>"48.70"</f>
        <v>48.70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3.5" customHeight="1">
      <c r="A44" s="8">
        <v>42</v>
      </c>
      <c r="B44" s="8">
        <v>9957</v>
      </c>
      <c r="C44" s="9" t="s">
        <v>92</v>
      </c>
      <c r="D44" s="8" t="s">
        <v>29</v>
      </c>
      <c r="E44" s="8" t="str">
        <f>"70.67"</f>
        <v>70.67</v>
      </c>
      <c r="F44" s="8"/>
      <c r="G44" s="3">
        <v>70.67</v>
      </c>
      <c r="H44" s="10"/>
      <c r="I44" s="8">
        <v>3</v>
      </c>
      <c r="J44" s="10">
        <v>2017</v>
      </c>
      <c r="K44" s="5" t="str">
        <f>"112.14"</f>
        <v>112.14</v>
      </c>
      <c r="L44" s="5"/>
      <c r="M44" s="5"/>
      <c r="N44" s="5" t="str">
        <f>"74.29"</f>
        <v>74.29</v>
      </c>
      <c r="O44" s="5"/>
      <c r="P44" s="5"/>
      <c r="Q44" s="5" t="str">
        <f>"67.04"</f>
        <v>67.04</v>
      </c>
      <c r="R44" s="5"/>
      <c r="S44" s="5"/>
      <c r="T44" s="5"/>
      <c r="U44" s="5" t="str">
        <f>"145.98"</f>
        <v>145.98</v>
      </c>
      <c r="V44" s="5"/>
      <c r="W44" s="5"/>
      <c r="X44" s="5"/>
      <c r="Y44" s="5"/>
      <c r="Z44" s="5"/>
      <c r="AA44" s="5"/>
      <c r="AB44" s="5"/>
      <c r="AC44" s="5"/>
      <c r="AD44" s="5"/>
    </row>
    <row r="45" spans="1:30" ht="13.5" customHeight="1">
      <c r="A45" s="8">
        <v>43</v>
      </c>
      <c r="B45" s="8">
        <v>8372</v>
      </c>
      <c r="C45" s="9" t="s">
        <v>388</v>
      </c>
      <c r="D45" s="8" t="s">
        <v>208</v>
      </c>
      <c r="E45" s="8" t="str">
        <f>"49.60"</f>
        <v>49.60</v>
      </c>
      <c r="F45" s="8"/>
      <c r="G45" s="3">
        <v>71.42</v>
      </c>
      <c r="H45" s="10" t="s">
        <v>18</v>
      </c>
      <c r="I45" s="8">
        <v>1</v>
      </c>
      <c r="J45" s="10">
        <v>2017</v>
      </c>
      <c r="K45" s="5" t="str">
        <f>"49.60"</f>
        <v>49.60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3.5" customHeight="1">
      <c r="A46" s="8">
        <v>44</v>
      </c>
      <c r="B46" s="8">
        <v>3523</v>
      </c>
      <c r="C46" s="9" t="s">
        <v>127</v>
      </c>
      <c r="D46" s="8" t="s">
        <v>128</v>
      </c>
      <c r="E46" s="8" t="str">
        <f>"71.91"</f>
        <v>71.91</v>
      </c>
      <c r="F46" s="8"/>
      <c r="G46" s="3">
        <v>71.91</v>
      </c>
      <c r="H46" s="10"/>
      <c r="I46" s="8">
        <v>3</v>
      </c>
      <c r="J46" s="10">
        <v>2018</v>
      </c>
      <c r="K46" s="5" t="str">
        <f>"86.48"</f>
        <v>86.48</v>
      </c>
      <c r="L46" s="5"/>
      <c r="M46" s="5"/>
      <c r="N46" s="5"/>
      <c r="O46" s="5" t="str">
        <f>"83.03"</f>
        <v>83.03</v>
      </c>
      <c r="P46" s="5"/>
      <c r="Q46" s="5"/>
      <c r="R46" s="5"/>
      <c r="S46" s="5" t="str">
        <f>"60.79"</f>
        <v>60.79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3.5" customHeight="1">
      <c r="A47" s="8">
        <v>45</v>
      </c>
      <c r="B47" s="8">
        <v>7834</v>
      </c>
      <c r="C47" s="9" t="s">
        <v>64</v>
      </c>
      <c r="D47" s="8" t="s">
        <v>16</v>
      </c>
      <c r="E47" s="8" t="str">
        <f>"76.70"</f>
        <v>76.70</v>
      </c>
      <c r="F47" s="8"/>
      <c r="G47" s="3">
        <v>76.7</v>
      </c>
      <c r="H47" s="10"/>
      <c r="I47" s="8">
        <v>3</v>
      </c>
      <c r="J47" s="10">
        <v>2017</v>
      </c>
      <c r="K47" s="5" t="str">
        <f>"142.23"</f>
        <v>142.23</v>
      </c>
      <c r="L47" s="5"/>
      <c r="M47" s="5" t="str">
        <f>"89.54"</f>
        <v>89.54</v>
      </c>
      <c r="N47" s="5"/>
      <c r="O47" s="5"/>
      <c r="P47" s="5"/>
      <c r="Q47" s="5" t="str">
        <f>"95.72"</f>
        <v>95.72</v>
      </c>
      <c r="R47" s="5" t="str">
        <f>"125.01"</f>
        <v>125.01</v>
      </c>
      <c r="S47" s="5"/>
      <c r="T47" s="5"/>
      <c r="U47" s="5"/>
      <c r="V47" s="5"/>
      <c r="W47" s="5"/>
      <c r="X47" s="5" t="str">
        <f>"80.08"</f>
        <v>80.08</v>
      </c>
      <c r="Y47" s="5"/>
      <c r="Z47" s="5"/>
      <c r="AA47" s="5"/>
      <c r="AB47" s="5"/>
      <c r="AC47" s="5"/>
      <c r="AD47" s="5" t="str">
        <f>"73.32"</f>
        <v>73.32</v>
      </c>
    </row>
    <row r="48" spans="1:30" ht="13.5" customHeight="1">
      <c r="A48" s="8">
        <v>46</v>
      </c>
      <c r="B48" s="8">
        <v>10313</v>
      </c>
      <c r="C48" s="9" t="s">
        <v>253</v>
      </c>
      <c r="D48" s="8" t="s">
        <v>184</v>
      </c>
      <c r="E48" s="8" t="str">
        <f>"53.32"</f>
        <v>53.32</v>
      </c>
      <c r="F48" s="8"/>
      <c r="G48" s="3">
        <v>76.78</v>
      </c>
      <c r="H48" s="10" t="s">
        <v>18</v>
      </c>
      <c r="I48" s="8">
        <v>1</v>
      </c>
      <c r="J48" s="10">
        <v>2017</v>
      </c>
      <c r="K48" s="5" t="str">
        <f>"53.32"</f>
        <v>53.32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3.5" customHeight="1">
      <c r="A49" s="8">
        <v>47</v>
      </c>
      <c r="B49" s="8">
        <v>6861</v>
      </c>
      <c r="C49" s="9" t="s">
        <v>49</v>
      </c>
      <c r="D49" s="8" t="s">
        <v>16</v>
      </c>
      <c r="E49" s="8" t="str">
        <f>"78.93"</f>
        <v>78.93</v>
      </c>
      <c r="F49" s="8"/>
      <c r="G49" s="3">
        <v>78.930000000000007</v>
      </c>
      <c r="H49" s="10"/>
      <c r="I49" s="8">
        <v>3</v>
      </c>
      <c r="J49" s="10">
        <v>2017</v>
      </c>
      <c r="K49" s="5" t="str">
        <f>"129.49"</f>
        <v>129.49</v>
      </c>
      <c r="L49" s="5"/>
      <c r="M49" s="5"/>
      <c r="N49" s="5"/>
      <c r="O49" s="5"/>
      <c r="P49" s="5"/>
      <c r="Q49" s="5" t="str">
        <f>"73.42"</f>
        <v>73.42</v>
      </c>
      <c r="R49" s="5"/>
      <c r="S49" s="5"/>
      <c r="T49" s="5"/>
      <c r="U49" s="5" t="str">
        <f>"84.44"</f>
        <v>84.44</v>
      </c>
      <c r="V49" s="5"/>
      <c r="W49" s="5"/>
      <c r="X49" s="5"/>
      <c r="Y49" s="5"/>
      <c r="Z49" s="5"/>
      <c r="AA49" s="5"/>
      <c r="AB49" s="5"/>
      <c r="AC49" s="5"/>
      <c r="AD49" s="5" t="str">
        <f>"90.50"</f>
        <v>90.50</v>
      </c>
    </row>
    <row r="50" spans="1:30" ht="13.5" customHeight="1">
      <c r="A50" s="8">
        <v>48</v>
      </c>
      <c r="B50" s="8">
        <v>1226</v>
      </c>
      <c r="C50" s="9" t="s">
        <v>210</v>
      </c>
      <c r="D50" s="8" t="s">
        <v>121</v>
      </c>
      <c r="E50" s="8" t="str">
        <f>"60.67"</f>
        <v>60.67</v>
      </c>
      <c r="F50" s="8"/>
      <c r="G50" s="3">
        <v>79.209999999999994</v>
      </c>
      <c r="H50" s="10"/>
      <c r="I50" s="8">
        <v>3</v>
      </c>
      <c r="J50" s="10">
        <v>2017</v>
      </c>
      <c r="K50" s="5" t="str">
        <f>"60.67"</f>
        <v>60.67</v>
      </c>
      <c r="L50" s="5"/>
      <c r="M50" s="5"/>
      <c r="N50" s="5" t="str">
        <f>"90.43"</f>
        <v>90.43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 t="str">
        <f>"67.98"</f>
        <v>67.98</v>
      </c>
      <c r="AB50" s="5"/>
      <c r="AC50" s="5"/>
      <c r="AD50" s="5"/>
    </row>
    <row r="51" spans="1:30" ht="13.5" customHeight="1">
      <c r="A51" s="8">
        <v>49</v>
      </c>
      <c r="B51" s="8">
        <v>7835</v>
      </c>
      <c r="C51" s="9" t="s">
        <v>95</v>
      </c>
      <c r="D51" s="8" t="s">
        <v>76</v>
      </c>
      <c r="E51" s="8" t="str">
        <f>"55.72"</f>
        <v>55.72</v>
      </c>
      <c r="F51" s="8"/>
      <c r="G51" s="3">
        <v>80.239999999999995</v>
      </c>
      <c r="H51" s="10" t="s">
        <v>18</v>
      </c>
      <c r="I51" s="8">
        <v>1</v>
      </c>
      <c r="J51" s="10">
        <v>2017</v>
      </c>
      <c r="K51" s="5" t="str">
        <f>"55.72"</f>
        <v>55.72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3.5" customHeight="1">
      <c r="A52" s="8">
        <v>50</v>
      </c>
      <c r="B52" s="8">
        <v>2541</v>
      </c>
      <c r="C52" s="9" t="s">
        <v>89</v>
      </c>
      <c r="D52" s="8" t="s">
        <v>22</v>
      </c>
      <c r="E52" s="8" t="str">
        <f>"48.84"</f>
        <v>48.84</v>
      </c>
      <c r="F52" s="8"/>
      <c r="G52" s="3">
        <v>81.319999999999993</v>
      </c>
      <c r="H52" s="10" t="s">
        <v>12</v>
      </c>
      <c r="I52" s="8">
        <v>2</v>
      </c>
      <c r="J52" s="10">
        <v>2017</v>
      </c>
      <c r="K52" s="5" t="str">
        <f>"48.84"</f>
        <v>48.84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 t="str">
        <f>"56.47"</f>
        <v>56.47</v>
      </c>
      <c r="AB52" s="5"/>
      <c r="AC52" s="5"/>
      <c r="AD52" s="5"/>
    </row>
    <row r="53" spans="1:30" ht="13.5" customHeight="1">
      <c r="A53" s="8">
        <v>51</v>
      </c>
      <c r="B53" s="8">
        <v>6555</v>
      </c>
      <c r="C53" s="9" t="s">
        <v>57</v>
      </c>
      <c r="D53" s="8" t="s">
        <v>58</v>
      </c>
      <c r="E53" s="8" t="str">
        <f>"80.08"</f>
        <v>80.08</v>
      </c>
      <c r="F53" s="8"/>
      <c r="G53" s="3">
        <v>81.540000000000006</v>
      </c>
      <c r="H53" s="10"/>
      <c r="I53" s="8">
        <v>3</v>
      </c>
      <c r="J53" s="10">
        <v>2017</v>
      </c>
      <c r="K53" s="5" t="str">
        <f>"85.02"</f>
        <v>85.02</v>
      </c>
      <c r="L53" s="5"/>
      <c r="M53" s="5"/>
      <c r="N53" s="5" t="str">
        <f>"87.94"</f>
        <v>87.94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 t="str">
        <f>"75.13"</f>
        <v>75.13</v>
      </c>
      <c r="Z53" s="5"/>
      <c r="AA53" s="5"/>
      <c r="AB53" s="5"/>
      <c r="AC53" s="5"/>
      <c r="AD53" s="5"/>
    </row>
    <row r="54" spans="1:30" ht="13.5" customHeight="1">
      <c r="A54" s="8">
        <v>52</v>
      </c>
      <c r="B54" s="8">
        <v>5726</v>
      </c>
      <c r="C54" s="9" t="s">
        <v>159</v>
      </c>
      <c r="D54" s="8" t="s">
        <v>29</v>
      </c>
      <c r="E54" s="8" t="str">
        <f>"82.11"</f>
        <v>82.11</v>
      </c>
      <c r="F54" s="8"/>
      <c r="G54" s="3">
        <v>82.11</v>
      </c>
      <c r="H54" s="10"/>
      <c r="I54" s="8">
        <v>3</v>
      </c>
      <c r="J54" s="10">
        <v>2017</v>
      </c>
      <c r="K54" s="5" t="str">
        <f>"121.83"</f>
        <v>121.83</v>
      </c>
      <c r="L54" s="5"/>
      <c r="M54" s="5"/>
      <c r="N54" s="5"/>
      <c r="O54" s="5"/>
      <c r="P54" s="5"/>
      <c r="Q54" s="5" t="str">
        <f>"85.83"</f>
        <v>85.83</v>
      </c>
      <c r="R54" s="5"/>
      <c r="S54" s="5"/>
      <c r="T54" s="5"/>
      <c r="U54" s="5" t="str">
        <f>"162.56"</f>
        <v>162.56</v>
      </c>
      <c r="V54" s="5"/>
      <c r="W54" s="5"/>
      <c r="X54" s="5"/>
      <c r="Y54" s="5"/>
      <c r="Z54" s="5"/>
      <c r="AA54" s="5"/>
      <c r="AB54" s="5"/>
      <c r="AC54" s="5"/>
      <c r="AD54" s="5" t="str">
        <f>"78.38"</f>
        <v>78.38</v>
      </c>
    </row>
    <row r="55" spans="1:30" ht="13.5" customHeight="1">
      <c r="A55" s="8">
        <v>53</v>
      </c>
      <c r="B55" s="8">
        <v>5739</v>
      </c>
      <c r="C55" s="9" t="s">
        <v>77</v>
      </c>
      <c r="D55" s="8" t="s">
        <v>29</v>
      </c>
      <c r="E55" s="8" t="str">
        <f>"32.42"</f>
        <v>32.42</v>
      </c>
      <c r="F55" s="8"/>
      <c r="G55" s="3">
        <v>82.99</v>
      </c>
      <c r="H55" s="10"/>
      <c r="I55" s="8">
        <v>3</v>
      </c>
      <c r="J55" s="10">
        <v>2017</v>
      </c>
      <c r="K55" s="5" t="str">
        <f>"32.42"</f>
        <v>32.42</v>
      </c>
      <c r="L55" s="5"/>
      <c r="M55" s="5"/>
      <c r="N55" s="5"/>
      <c r="O55" s="5"/>
      <c r="P55" s="5"/>
      <c r="Q55" s="5" t="str">
        <f>"88.35"</f>
        <v>88.35</v>
      </c>
      <c r="R55" s="5" t="str">
        <f>"80.57"</f>
        <v>80.57</v>
      </c>
      <c r="S55" s="5"/>
      <c r="T55" s="5"/>
      <c r="U55" s="5" t="str">
        <f>"85.40"</f>
        <v>85.40</v>
      </c>
      <c r="V55" s="5"/>
      <c r="W55" s="5"/>
      <c r="X55" s="5"/>
      <c r="Y55" s="5"/>
      <c r="Z55" s="5"/>
      <c r="AA55" s="5"/>
      <c r="AB55" s="5"/>
      <c r="AC55" s="5"/>
      <c r="AD55" s="5"/>
    </row>
    <row r="56" spans="1:30" ht="13.5" customHeight="1">
      <c r="A56" s="8">
        <v>54</v>
      </c>
      <c r="B56" s="8">
        <v>4292</v>
      </c>
      <c r="C56" s="9" t="s">
        <v>99</v>
      </c>
      <c r="D56" s="8" t="s">
        <v>73</v>
      </c>
      <c r="E56" s="8" t="str">
        <f>"72.58"</f>
        <v>72.58</v>
      </c>
      <c r="F56" s="8"/>
      <c r="G56" s="3">
        <v>83.78</v>
      </c>
      <c r="H56" s="10" t="s">
        <v>12</v>
      </c>
      <c r="I56" s="8">
        <v>2</v>
      </c>
      <c r="J56" s="10">
        <v>2017</v>
      </c>
      <c r="K56" s="5" t="str">
        <f>"86.97"</f>
        <v>86.97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 t="str">
        <f>"58.18"</f>
        <v>58.18</v>
      </c>
      <c r="Y56" s="5"/>
      <c r="Z56" s="5"/>
      <c r="AA56" s="5"/>
      <c r="AB56" s="5"/>
      <c r="AC56" s="5"/>
      <c r="AD56" s="5"/>
    </row>
    <row r="57" spans="1:30" ht="13.5" customHeight="1">
      <c r="A57" s="8">
        <v>55</v>
      </c>
      <c r="B57" s="8">
        <v>10262</v>
      </c>
      <c r="C57" s="9" t="s">
        <v>65</v>
      </c>
      <c r="D57" s="8" t="s">
        <v>22</v>
      </c>
      <c r="E57" s="8" t="str">
        <f>"84.16"</f>
        <v>84.16</v>
      </c>
      <c r="F57" s="8"/>
      <c r="G57" s="3">
        <v>83.92</v>
      </c>
      <c r="H57" s="10" t="s">
        <v>12</v>
      </c>
      <c r="I57" s="8">
        <v>2</v>
      </c>
      <c r="J57" s="10">
        <v>2017</v>
      </c>
      <c r="K57" s="5" t="str">
        <f>"110.03"</f>
        <v>110.03</v>
      </c>
      <c r="L57" s="5"/>
      <c r="M57" s="5"/>
      <c r="N57" s="5"/>
      <c r="O57" s="5" t="str">
        <f>"58.28"</f>
        <v>58.28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3.5" customHeight="1">
      <c r="A58" s="8">
        <v>56</v>
      </c>
      <c r="B58" s="8">
        <v>1230</v>
      </c>
      <c r="C58" s="9" t="s">
        <v>187</v>
      </c>
      <c r="D58" s="8" t="s">
        <v>188</v>
      </c>
      <c r="E58" s="8" t="str">
        <f>"83.98"</f>
        <v>83.98</v>
      </c>
      <c r="F58" s="8"/>
      <c r="G58" s="3">
        <v>83.99</v>
      </c>
      <c r="H58" s="10"/>
      <c r="I58" s="8">
        <v>3</v>
      </c>
      <c r="J58" s="10">
        <v>2018</v>
      </c>
      <c r="K58" s="5" t="str">
        <f>"94.58"</f>
        <v>94.58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 t="str">
        <f>"73.37"</f>
        <v>73.37</v>
      </c>
      <c r="Y58" s="5"/>
      <c r="Z58" s="5"/>
      <c r="AA58" s="5" t="str">
        <f>"94.60"</f>
        <v>94.60</v>
      </c>
      <c r="AB58" s="5"/>
      <c r="AC58" s="5"/>
      <c r="AD58" s="5"/>
    </row>
    <row r="59" spans="1:30" ht="13.5" customHeight="1">
      <c r="A59" s="8">
        <v>57</v>
      </c>
      <c r="B59" s="8">
        <v>9384</v>
      </c>
      <c r="C59" s="9" t="s">
        <v>122</v>
      </c>
      <c r="D59" s="8" t="s">
        <v>121</v>
      </c>
      <c r="E59" s="8" t="str">
        <f>"58.28"</f>
        <v>58.28</v>
      </c>
      <c r="F59" s="8"/>
      <c r="G59" s="3">
        <v>84.59</v>
      </c>
      <c r="H59" s="10"/>
      <c r="I59" s="8">
        <v>3</v>
      </c>
      <c r="J59" s="10">
        <v>2017</v>
      </c>
      <c r="K59" s="5" t="str">
        <f>"58.28"</f>
        <v>58.28</v>
      </c>
      <c r="L59" s="5"/>
      <c r="M59" s="5"/>
      <c r="N59" s="5" t="str">
        <f>"100.09"</f>
        <v>100.09</v>
      </c>
      <c r="O59" s="5"/>
      <c r="P59" s="5"/>
      <c r="Q59" s="5"/>
      <c r="R59" s="5"/>
      <c r="S59" s="5" t="str">
        <f>"97.74"</f>
        <v>97.74</v>
      </c>
      <c r="T59" s="5"/>
      <c r="U59" s="5"/>
      <c r="V59" s="5"/>
      <c r="W59" s="5"/>
      <c r="X59" s="5" t="str">
        <f>"71.97"</f>
        <v>71.97</v>
      </c>
      <c r="Y59" s="5" t="str">
        <f>"97.20"</f>
        <v>97.20</v>
      </c>
      <c r="Z59" s="5"/>
      <c r="AA59" s="5"/>
      <c r="AB59" s="5"/>
      <c r="AC59" s="5"/>
      <c r="AD59" s="5"/>
    </row>
    <row r="60" spans="1:30" ht="13.5" customHeight="1">
      <c r="A60" s="8">
        <v>58</v>
      </c>
      <c r="B60" s="8">
        <v>10040</v>
      </c>
      <c r="C60" s="9" t="s">
        <v>91</v>
      </c>
      <c r="D60" s="8" t="s">
        <v>22</v>
      </c>
      <c r="E60" s="8" t="str">
        <f>"81.23"</f>
        <v>81.23</v>
      </c>
      <c r="F60" s="8"/>
      <c r="G60" s="3">
        <v>85.86</v>
      </c>
      <c r="H60" s="10"/>
      <c r="I60" s="8">
        <v>3</v>
      </c>
      <c r="J60" s="10">
        <v>2017</v>
      </c>
      <c r="K60" s="5" t="str">
        <f>"85.94"</f>
        <v>85.94</v>
      </c>
      <c r="L60" s="5"/>
      <c r="M60" s="5"/>
      <c r="N60" s="5" t="str">
        <f>"95.19"</f>
        <v>95.19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 t="str">
        <f>"76.52"</f>
        <v>76.52</v>
      </c>
      <c r="AB60" s="5"/>
      <c r="AC60" s="5"/>
      <c r="AD60" s="5"/>
    </row>
    <row r="61" spans="1:30" ht="13.5" customHeight="1">
      <c r="A61" s="8">
        <v>59</v>
      </c>
      <c r="B61" s="8">
        <v>1768</v>
      </c>
      <c r="C61" s="9" t="s">
        <v>139</v>
      </c>
      <c r="D61" s="8" t="s">
        <v>79</v>
      </c>
      <c r="E61" s="8" t="str">
        <f>"63.13"</f>
        <v>63.13</v>
      </c>
      <c r="F61" s="8"/>
      <c r="G61" s="3">
        <v>86.07</v>
      </c>
      <c r="H61" s="10"/>
      <c r="I61" s="8">
        <v>3</v>
      </c>
      <c r="J61" s="10">
        <v>2017</v>
      </c>
      <c r="K61" s="5" t="str">
        <f>"63.13"</f>
        <v>63.13</v>
      </c>
      <c r="L61" s="5"/>
      <c r="M61" s="5"/>
      <c r="N61" s="5" t="str">
        <f>"131.80"</f>
        <v>131.80</v>
      </c>
      <c r="O61" s="5"/>
      <c r="P61" s="5"/>
      <c r="Q61" s="5"/>
      <c r="R61" s="5"/>
      <c r="S61" s="5"/>
      <c r="T61" s="5" t="str">
        <f>"65.72"</f>
        <v>65.72</v>
      </c>
      <c r="U61" s="5"/>
      <c r="V61" s="5"/>
      <c r="W61" s="5"/>
      <c r="X61" s="5" t="str">
        <f>"106.41"</f>
        <v>106.41</v>
      </c>
      <c r="Y61" s="5"/>
      <c r="Z61" s="5"/>
      <c r="AA61" s="5"/>
      <c r="AB61" s="5"/>
      <c r="AC61" s="5"/>
      <c r="AD61" s="5"/>
    </row>
    <row r="62" spans="1:30" ht="13.5" customHeight="1">
      <c r="A62" s="8">
        <v>60</v>
      </c>
      <c r="B62" s="8">
        <v>2615</v>
      </c>
      <c r="C62" s="9" t="s">
        <v>45</v>
      </c>
      <c r="D62" s="8" t="s">
        <v>46</v>
      </c>
      <c r="E62" s="8" t="str">
        <f>"61.56"</f>
        <v>61.56</v>
      </c>
      <c r="F62" s="8"/>
      <c r="G62" s="3">
        <v>87.02</v>
      </c>
      <c r="H62" s="10" t="s">
        <v>12</v>
      </c>
      <c r="I62" s="8">
        <v>2</v>
      </c>
      <c r="J62" s="10">
        <v>2017</v>
      </c>
      <c r="K62" s="5" t="str">
        <f>"62.68"</f>
        <v>62.68</v>
      </c>
      <c r="L62" s="5"/>
      <c r="M62" s="5"/>
      <c r="N62" s="5" t="str">
        <f>"60.43"</f>
        <v>60.43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3.5" customHeight="1">
      <c r="A63" s="8">
        <v>61</v>
      </c>
      <c r="B63" s="8">
        <v>3900</v>
      </c>
      <c r="C63" s="9" t="s">
        <v>254</v>
      </c>
      <c r="D63" s="8" t="s">
        <v>83</v>
      </c>
      <c r="E63" s="8" t="str">
        <f>"55.19"</f>
        <v>55.19</v>
      </c>
      <c r="F63" s="8"/>
      <c r="G63" s="3">
        <v>88.19</v>
      </c>
      <c r="H63" s="10" t="s">
        <v>12</v>
      </c>
      <c r="I63" s="8">
        <v>2</v>
      </c>
      <c r="J63" s="10">
        <v>2017</v>
      </c>
      <c r="K63" s="5" t="str">
        <f>"55.19"</f>
        <v>55.19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 t="str">
        <f>"61.24"</f>
        <v>61.24</v>
      </c>
      <c r="AB63" s="5"/>
      <c r="AC63" s="5"/>
      <c r="AD63" s="5"/>
    </row>
    <row r="64" spans="1:30" ht="13.5" customHeight="1">
      <c r="A64" s="8">
        <v>62</v>
      </c>
      <c r="B64" s="8">
        <v>3479</v>
      </c>
      <c r="C64" s="9" t="s">
        <v>84</v>
      </c>
      <c r="D64" s="8" t="s">
        <v>85</v>
      </c>
      <c r="E64" s="8" t="str">
        <f>"61.99"</f>
        <v>61.99</v>
      </c>
      <c r="F64" s="8"/>
      <c r="G64" s="3">
        <v>89.27</v>
      </c>
      <c r="H64" s="10" t="s">
        <v>18</v>
      </c>
      <c r="I64" s="8">
        <v>1</v>
      </c>
      <c r="J64" s="10">
        <v>2017</v>
      </c>
      <c r="K64" s="5" t="str">
        <f>"61.99"</f>
        <v>61.99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3.5" customHeight="1">
      <c r="A65" s="8">
        <v>63</v>
      </c>
      <c r="B65" s="8">
        <v>4341</v>
      </c>
      <c r="C65" s="9" t="s">
        <v>133</v>
      </c>
      <c r="D65" s="8" t="s">
        <v>134</v>
      </c>
      <c r="E65" s="8" t="str">
        <f>"66.64"</f>
        <v>66.64</v>
      </c>
      <c r="F65" s="8"/>
      <c r="G65" s="3">
        <v>90.95</v>
      </c>
      <c r="H65" s="10"/>
      <c r="I65" s="8">
        <v>3</v>
      </c>
      <c r="J65" s="10">
        <v>2018</v>
      </c>
      <c r="K65" s="5" t="str">
        <f>"66.64"</f>
        <v>66.64</v>
      </c>
      <c r="L65" s="5"/>
      <c r="M65" s="5"/>
      <c r="N65" s="5" t="str">
        <f>"100.09"</f>
        <v>100.09</v>
      </c>
      <c r="O65" s="5"/>
      <c r="P65" s="5"/>
      <c r="Q65" s="5"/>
      <c r="R65" s="5"/>
      <c r="S65" s="5" t="str">
        <f>"84.58"</f>
        <v>84.58</v>
      </c>
      <c r="T65" s="5"/>
      <c r="U65" s="5"/>
      <c r="V65" s="5"/>
      <c r="W65" s="5"/>
      <c r="X65" s="5"/>
      <c r="Y65" s="5" t="str">
        <f>"121.10"</f>
        <v>121.10</v>
      </c>
      <c r="Z65" s="5"/>
      <c r="AA65" s="5" t="str">
        <f>"97.31"</f>
        <v>97.31</v>
      </c>
      <c r="AB65" s="5"/>
      <c r="AC65" s="5"/>
      <c r="AD65" s="5"/>
    </row>
    <row r="66" spans="1:30" ht="13.5" customHeight="1">
      <c r="A66" s="8">
        <v>64</v>
      </c>
      <c r="B66" s="8">
        <v>10507</v>
      </c>
      <c r="C66" s="9" t="s">
        <v>115</v>
      </c>
      <c r="D66" s="8" t="s">
        <v>29</v>
      </c>
      <c r="E66" s="8" t="str">
        <f>"64.98"</f>
        <v>64.98</v>
      </c>
      <c r="F66" s="8"/>
      <c r="G66" s="3">
        <v>92.98</v>
      </c>
      <c r="H66" s="10" t="s">
        <v>18</v>
      </c>
      <c r="I66" s="8">
        <v>1</v>
      </c>
      <c r="J66" s="10">
        <v>2017</v>
      </c>
      <c r="K66" s="5" t="str">
        <f>"64.98"</f>
        <v>64.98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3.5" customHeight="1">
      <c r="A67" s="8">
        <v>65</v>
      </c>
      <c r="B67" s="8">
        <v>9685</v>
      </c>
      <c r="C67" s="9" t="s">
        <v>215</v>
      </c>
      <c r="D67" s="8" t="s">
        <v>76</v>
      </c>
      <c r="E67" s="8" t="str">
        <f>"68.26"</f>
        <v>68.26</v>
      </c>
      <c r="F67" s="8"/>
      <c r="G67" s="3">
        <v>93.14</v>
      </c>
      <c r="H67" s="10"/>
      <c r="I67" s="8">
        <v>3</v>
      </c>
      <c r="J67" s="10">
        <v>2017</v>
      </c>
      <c r="K67" s="5" t="str">
        <f>"68.26"</f>
        <v>68.26</v>
      </c>
      <c r="L67" s="5"/>
      <c r="M67" s="5"/>
      <c r="N67" s="5" t="str">
        <f>"130.59"</f>
        <v>130.59</v>
      </c>
      <c r="O67" s="5"/>
      <c r="P67" s="5"/>
      <c r="Q67" s="5"/>
      <c r="R67" s="5"/>
      <c r="S67" s="5"/>
      <c r="T67" s="5"/>
      <c r="U67" s="5"/>
      <c r="V67" s="5"/>
      <c r="W67" s="5"/>
      <c r="X67" s="5" t="str">
        <f>"98.74"</f>
        <v>98.74</v>
      </c>
      <c r="Y67" s="5"/>
      <c r="Z67" s="5"/>
      <c r="AA67" s="5" t="str">
        <f>"87.53"</f>
        <v>87.53</v>
      </c>
      <c r="AB67" s="5"/>
      <c r="AC67" s="5"/>
      <c r="AD67" s="5"/>
    </row>
    <row r="68" spans="1:30" ht="13.5" customHeight="1">
      <c r="A68" s="8">
        <v>66</v>
      </c>
      <c r="B68" s="8">
        <v>8490</v>
      </c>
      <c r="C68" s="9" t="s">
        <v>276</v>
      </c>
      <c r="D68" s="8" t="s">
        <v>16</v>
      </c>
      <c r="E68" s="8" t="str">
        <f>"79.96"</f>
        <v>79.96</v>
      </c>
      <c r="F68" s="8"/>
      <c r="G68" s="3">
        <v>93.96</v>
      </c>
      <c r="H68" s="10" t="s">
        <v>1243</v>
      </c>
      <c r="I68" s="8">
        <v>1</v>
      </c>
      <c r="J68" s="10">
        <v>2017</v>
      </c>
      <c r="K68" s="5" t="str">
        <f>"79.96"</f>
        <v>79.96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3.5" customHeight="1">
      <c r="A69" s="8">
        <v>67</v>
      </c>
      <c r="B69" s="8">
        <v>1174</v>
      </c>
      <c r="C69" s="9" t="s">
        <v>90</v>
      </c>
      <c r="D69" s="8" t="s">
        <v>55</v>
      </c>
      <c r="E69" s="8" t="str">
        <f>"94.83"</f>
        <v>94.83</v>
      </c>
      <c r="F69" s="8"/>
      <c r="G69" s="3">
        <v>94.83</v>
      </c>
      <c r="H69" s="10"/>
      <c r="I69" s="8">
        <v>3</v>
      </c>
      <c r="J69" s="10">
        <v>2018</v>
      </c>
      <c r="K69" s="5" t="str">
        <f>"99.22"</f>
        <v>99.22</v>
      </c>
      <c r="L69" s="5"/>
      <c r="M69" s="5"/>
      <c r="N69" s="5" t="str">
        <f>"159.95"</f>
        <v>159.95</v>
      </c>
      <c r="O69" s="5"/>
      <c r="P69" s="5"/>
      <c r="Q69" s="5"/>
      <c r="R69" s="5"/>
      <c r="S69" s="5" t="str">
        <f>"94.61"</f>
        <v>94.61</v>
      </c>
      <c r="T69" s="5"/>
      <c r="U69" s="5"/>
      <c r="V69" s="5"/>
      <c r="W69" s="5"/>
      <c r="X69" s="5"/>
      <c r="Y69" s="5"/>
      <c r="Z69" s="5" t="str">
        <f>"95.04"</f>
        <v>95.04</v>
      </c>
      <c r="AA69" s="5"/>
      <c r="AB69" s="5"/>
      <c r="AC69" s="5"/>
      <c r="AD69" s="5"/>
    </row>
    <row r="70" spans="1:30" ht="13.5" customHeight="1">
      <c r="A70" s="8">
        <v>68</v>
      </c>
      <c r="B70" s="8">
        <v>6289</v>
      </c>
      <c r="C70" s="9" t="s">
        <v>54</v>
      </c>
      <c r="D70" s="8" t="s">
        <v>55</v>
      </c>
      <c r="E70" s="8" t="str">
        <f>"85.57"</f>
        <v>85.57</v>
      </c>
      <c r="F70" s="8"/>
      <c r="G70" s="3">
        <v>94.84</v>
      </c>
      <c r="H70" s="10"/>
      <c r="I70" s="8">
        <v>3</v>
      </c>
      <c r="J70" s="10">
        <v>2018</v>
      </c>
      <c r="K70" s="5" t="str">
        <f>"87.74"</f>
        <v>87.74</v>
      </c>
      <c r="L70" s="5"/>
      <c r="M70" s="5"/>
      <c r="N70" s="5" t="str">
        <f>"106.28"</f>
        <v>106.28</v>
      </c>
      <c r="O70" s="5"/>
      <c r="P70" s="5"/>
      <c r="Q70" s="5"/>
      <c r="R70" s="5"/>
      <c r="S70" s="5"/>
      <c r="T70" s="5"/>
      <c r="U70" s="5"/>
      <c r="V70" s="5"/>
      <c r="W70" s="5"/>
      <c r="X70" s="5" t="str">
        <f>"83.40"</f>
        <v>83.40</v>
      </c>
      <c r="Y70" s="5"/>
      <c r="Z70" s="5"/>
      <c r="AA70" s="5"/>
      <c r="AB70" s="5"/>
      <c r="AC70" s="5"/>
      <c r="AD70" s="5"/>
    </row>
    <row r="71" spans="1:30" ht="13.5" customHeight="1">
      <c r="A71" s="8">
        <v>69</v>
      </c>
      <c r="B71" s="8">
        <v>4030</v>
      </c>
      <c r="C71" s="9" t="s">
        <v>142</v>
      </c>
      <c r="D71" s="8" t="s">
        <v>76</v>
      </c>
      <c r="E71" s="8" t="str">
        <f>"67.04"</f>
        <v>67.04</v>
      </c>
      <c r="F71" s="8"/>
      <c r="G71" s="3">
        <v>95.04</v>
      </c>
      <c r="H71" s="10" t="s">
        <v>18</v>
      </c>
      <c r="I71" s="8">
        <v>1</v>
      </c>
      <c r="J71" s="10">
        <v>2017</v>
      </c>
      <c r="K71" s="5" t="str">
        <f>"67.04"</f>
        <v>67.04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3.5" customHeight="1">
      <c r="A72" s="8">
        <v>70</v>
      </c>
      <c r="B72" s="8">
        <v>6288</v>
      </c>
      <c r="C72" s="9" t="s">
        <v>97</v>
      </c>
      <c r="D72" s="8" t="s">
        <v>22</v>
      </c>
      <c r="E72" s="8" t="str">
        <f>"67.38"</f>
        <v>67.38</v>
      </c>
      <c r="F72" s="8"/>
      <c r="G72" s="3">
        <v>95.38</v>
      </c>
      <c r="H72" s="10" t="s">
        <v>18</v>
      </c>
      <c r="I72" s="8">
        <v>1</v>
      </c>
      <c r="J72" s="10">
        <v>2017</v>
      </c>
      <c r="K72" s="5" t="str">
        <f>"67.38"</f>
        <v>67.38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3.5" customHeight="1">
      <c r="A73" s="8">
        <v>71</v>
      </c>
      <c r="B73" s="8">
        <v>9961</v>
      </c>
      <c r="C73" s="9" t="s">
        <v>140</v>
      </c>
      <c r="D73" s="8" t="s">
        <v>29</v>
      </c>
      <c r="E73" s="8" t="str">
        <f>"93.22"</f>
        <v>93.22</v>
      </c>
      <c r="F73" s="8"/>
      <c r="G73" s="3">
        <v>95.7</v>
      </c>
      <c r="H73" s="10"/>
      <c r="I73" s="8">
        <v>3</v>
      </c>
      <c r="J73" s="10">
        <v>2017</v>
      </c>
      <c r="K73" s="5" t="str">
        <f>"122.73"</f>
        <v>122.73</v>
      </c>
      <c r="L73" s="5"/>
      <c r="M73" s="5"/>
      <c r="N73" s="5"/>
      <c r="O73" s="5"/>
      <c r="P73" s="5"/>
      <c r="Q73" s="5" t="str">
        <f>"63.71"</f>
        <v>63.71</v>
      </c>
      <c r="R73" s="5" t="str">
        <f>"127.68"</f>
        <v>127.68</v>
      </c>
      <c r="S73" s="5"/>
      <c r="T73" s="5"/>
      <c r="U73" s="5" t="str">
        <f>"170.54"</f>
        <v>170.54</v>
      </c>
      <c r="V73" s="5"/>
      <c r="W73" s="5"/>
      <c r="X73" s="5"/>
      <c r="Y73" s="5"/>
      <c r="Z73" s="5"/>
      <c r="AA73" s="5"/>
      <c r="AB73" s="5"/>
      <c r="AC73" s="5"/>
      <c r="AD73" s="5"/>
    </row>
    <row r="74" spans="1:30" ht="13.5" customHeight="1">
      <c r="A74" s="8">
        <v>72</v>
      </c>
      <c r="B74" s="8">
        <v>3405</v>
      </c>
      <c r="C74" s="9" t="s">
        <v>168</v>
      </c>
      <c r="D74" s="8" t="s">
        <v>169</v>
      </c>
      <c r="E74" s="8" t="str">
        <f>"89.41"</f>
        <v>89.41</v>
      </c>
      <c r="F74" s="8"/>
      <c r="G74" s="3">
        <v>96.83</v>
      </c>
      <c r="H74" s="10"/>
      <c r="I74" s="8">
        <v>3</v>
      </c>
      <c r="J74" s="10">
        <v>2017</v>
      </c>
      <c r="K74" s="5" t="str">
        <f>"89.41"</f>
        <v>89.41</v>
      </c>
      <c r="L74" s="5"/>
      <c r="M74" s="5"/>
      <c r="N74" s="5" t="str">
        <f>"111.90"</f>
        <v>111.90</v>
      </c>
      <c r="O74" s="5"/>
      <c r="P74" s="5"/>
      <c r="Q74" s="5"/>
      <c r="R74" s="5"/>
      <c r="S74" s="5" t="str">
        <f>"99.85"</f>
        <v>99.85</v>
      </c>
      <c r="T74" s="5"/>
      <c r="U74" s="5"/>
      <c r="V74" s="5"/>
      <c r="W74" s="5"/>
      <c r="X74" s="5" t="str">
        <f>"93.80"</f>
        <v>93.80</v>
      </c>
      <c r="Y74" s="5"/>
      <c r="Z74" s="5"/>
      <c r="AA74" s="5"/>
      <c r="AB74" s="5"/>
      <c r="AC74" s="5"/>
      <c r="AD74" s="5"/>
    </row>
    <row r="75" spans="1:30" ht="13.5" customHeight="1">
      <c r="A75" s="8">
        <v>73</v>
      </c>
      <c r="B75" s="8">
        <v>3351</v>
      </c>
      <c r="C75" s="9" t="s">
        <v>109</v>
      </c>
      <c r="D75" s="8" t="s">
        <v>110</v>
      </c>
      <c r="E75" s="8" t="str">
        <f>"82.22"</f>
        <v>82.22</v>
      </c>
      <c r="F75" s="8"/>
      <c r="G75" s="3">
        <v>97.32</v>
      </c>
      <c r="H75" s="10" t="s">
        <v>12</v>
      </c>
      <c r="I75" s="8">
        <v>2</v>
      </c>
      <c r="J75" s="10">
        <v>2017</v>
      </c>
      <c r="K75" s="5" t="str">
        <f>"95.12"</f>
        <v>95.12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 t="str">
        <f>"69.32"</f>
        <v>69.32</v>
      </c>
      <c r="Y75" s="5"/>
      <c r="Z75" s="5"/>
      <c r="AA75" s="5"/>
      <c r="AB75" s="5"/>
      <c r="AC75" s="5"/>
      <c r="AD75" s="5"/>
    </row>
    <row r="76" spans="1:30" ht="13.5" customHeight="1">
      <c r="A76" s="8">
        <v>74</v>
      </c>
      <c r="B76" s="8">
        <v>6863</v>
      </c>
      <c r="C76" s="9" t="s">
        <v>185</v>
      </c>
      <c r="D76" s="8" t="s">
        <v>16</v>
      </c>
      <c r="E76" s="8" t="str">
        <f>"99.03"</f>
        <v>99.03</v>
      </c>
      <c r="F76" s="8"/>
      <c r="G76" s="3">
        <v>99.08</v>
      </c>
      <c r="H76" s="10"/>
      <c r="I76" s="8">
        <v>3</v>
      </c>
      <c r="J76" s="10">
        <v>2017</v>
      </c>
      <c r="K76" s="5" t="str">
        <f>"113.46"</f>
        <v>113.46</v>
      </c>
      <c r="L76" s="5"/>
      <c r="M76" s="5" t="str">
        <f>"124.69"</f>
        <v>124.69</v>
      </c>
      <c r="N76" s="5" t="str">
        <f>"141.11"</f>
        <v>141.11</v>
      </c>
      <c r="O76" s="5"/>
      <c r="P76" s="5"/>
      <c r="Q76" s="5"/>
      <c r="R76" s="5"/>
      <c r="S76" s="5"/>
      <c r="T76" s="5"/>
      <c r="U76" s="5"/>
      <c r="V76" s="5"/>
      <c r="W76" s="5" t="str">
        <f>"113.57"</f>
        <v>113.57</v>
      </c>
      <c r="X76" s="5"/>
      <c r="Y76" s="5"/>
      <c r="Z76" s="5"/>
      <c r="AA76" s="5" t="str">
        <f>"167.06"</f>
        <v>167.06</v>
      </c>
      <c r="AB76" s="5"/>
      <c r="AC76" s="5"/>
      <c r="AD76" s="5" t="str">
        <f>"84.59"</f>
        <v>84.59</v>
      </c>
    </row>
    <row r="77" spans="1:30" ht="13.5" customHeight="1">
      <c r="A77" s="8">
        <v>75</v>
      </c>
      <c r="B77" s="8">
        <v>8362</v>
      </c>
      <c r="C77" s="9" t="s">
        <v>78</v>
      </c>
      <c r="D77" s="8" t="s">
        <v>29</v>
      </c>
      <c r="E77" s="8" t="str">
        <f>"99.43"</f>
        <v>99.43</v>
      </c>
      <c r="F77" s="8"/>
      <c r="G77" s="3">
        <v>99.43</v>
      </c>
      <c r="H77" s="10"/>
      <c r="I77" s="8">
        <v>3</v>
      </c>
      <c r="J77" s="10">
        <v>2017</v>
      </c>
      <c r="K77" s="5" t="str">
        <f>"173.02"</f>
        <v>173.02</v>
      </c>
      <c r="L77" s="5"/>
      <c r="M77" s="5"/>
      <c r="N77" s="5" t="str">
        <f>"75.14"</f>
        <v>75.14</v>
      </c>
      <c r="O77" s="5"/>
      <c r="P77" s="5"/>
      <c r="Q77" s="5" t="str">
        <f>"340.18"</f>
        <v>340.18</v>
      </c>
      <c r="R77" s="5" t="str">
        <f>"123.71"</f>
        <v>123.71</v>
      </c>
      <c r="S77" s="5"/>
      <c r="T77" s="5"/>
      <c r="U77" s="5" t="str">
        <f>"139.60"</f>
        <v>139.60</v>
      </c>
      <c r="V77" s="5"/>
      <c r="W77" s="5"/>
      <c r="X77" s="5"/>
      <c r="Y77" s="5"/>
      <c r="Z77" s="5"/>
      <c r="AA77" s="5"/>
      <c r="AB77" s="5"/>
      <c r="AC77" s="5"/>
      <c r="AD77" s="5"/>
    </row>
    <row r="78" spans="1:30" ht="13.5" customHeight="1">
      <c r="A78" s="8">
        <v>76</v>
      </c>
      <c r="B78" s="8">
        <v>7632</v>
      </c>
      <c r="C78" s="9" t="s">
        <v>1217</v>
      </c>
      <c r="D78" s="8" t="s">
        <v>34</v>
      </c>
      <c r="E78" s="8" t="str">
        <f>"71.82"</f>
        <v>71.82</v>
      </c>
      <c r="F78" s="8"/>
      <c r="G78" s="3">
        <v>99.82</v>
      </c>
      <c r="H78" s="10" t="s">
        <v>18</v>
      </c>
      <c r="I78" s="8">
        <v>1</v>
      </c>
      <c r="J78" s="10">
        <v>2017</v>
      </c>
      <c r="K78" s="5" t="str">
        <f>"71.82"</f>
        <v>71.82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3.5" customHeight="1">
      <c r="A79" s="8">
        <v>77</v>
      </c>
      <c r="B79" s="8">
        <v>1858</v>
      </c>
      <c r="C79" s="9" t="s">
        <v>80</v>
      </c>
      <c r="D79" s="8" t="s">
        <v>81</v>
      </c>
      <c r="E79" s="8" t="str">
        <f>"95.34"</f>
        <v>95.34</v>
      </c>
      <c r="F79" s="8"/>
      <c r="G79" s="3">
        <v>100.9</v>
      </c>
      <c r="H79" s="10"/>
      <c r="I79" s="8">
        <v>3</v>
      </c>
      <c r="J79" s="10">
        <v>2017</v>
      </c>
      <c r="K79" s="5" t="str">
        <f>"102.41"</f>
        <v>102.41</v>
      </c>
      <c r="L79" s="5"/>
      <c r="M79" s="5"/>
      <c r="N79" s="5" t="str">
        <f>"113.53"</f>
        <v>113.53</v>
      </c>
      <c r="O79" s="5"/>
      <c r="P79" s="5"/>
      <c r="Q79" s="5"/>
      <c r="R79" s="5"/>
      <c r="S79" s="5"/>
      <c r="T79" s="5"/>
      <c r="U79" s="5"/>
      <c r="V79" s="5"/>
      <c r="W79" s="5"/>
      <c r="X79" s="5" t="str">
        <f>"88.27"</f>
        <v>88.27</v>
      </c>
      <c r="Y79" s="5"/>
      <c r="Z79" s="5"/>
      <c r="AA79" s="5"/>
      <c r="AB79" s="5"/>
      <c r="AC79" s="5"/>
      <c r="AD79" s="5"/>
    </row>
    <row r="80" spans="1:30" ht="13.5" customHeight="1">
      <c r="A80" s="8">
        <v>78</v>
      </c>
      <c r="B80" s="8">
        <v>2636</v>
      </c>
      <c r="C80" s="9" t="s">
        <v>259</v>
      </c>
      <c r="D80" s="8" t="s">
        <v>121</v>
      </c>
      <c r="E80" s="8" t="str">
        <f>"87.61"</f>
        <v>87.61</v>
      </c>
      <c r="F80" s="8"/>
      <c r="G80" s="3">
        <v>101.51</v>
      </c>
      <c r="H80" s="10"/>
      <c r="I80" s="8">
        <v>3</v>
      </c>
      <c r="J80" s="10">
        <v>2017</v>
      </c>
      <c r="K80" s="5" t="str">
        <f>"87.61"</f>
        <v>87.61</v>
      </c>
      <c r="L80" s="5"/>
      <c r="M80" s="5"/>
      <c r="N80" s="5" t="str">
        <f>"137.13"</f>
        <v>137.13</v>
      </c>
      <c r="O80" s="5"/>
      <c r="P80" s="5"/>
      <c r="Q80" s="5"/>
      <c r="R80" s="5"/>
      <c r="S80" s="5" t="str">
        <f>"99.41"</f>
        <v>99.41</v>
      </c>
      <c r="T80" s="5"/>
      <c r="U80" s="5"/>
      <c r="V80" s="5"/>
      <c r="W80" s="5"/>
      <c r="X80" s="5" t="str">
        <f>"103.60"</f>
        <v>103.60</v>
      </c>
      <c r="Y80" s="5"/>
      <c r="Z80" s="5"/>
      <c r="AA80" s="5"/>
      <c r="AB80" s="5"/>
      <c r="AC80" s="5"/>
      <c r="AD80" s="5"/>
    </row>
    <row r="81" spans="1:30" ht="13.5" customHeight="1">
      <c r="A81" s="8">
        <v>79</v>
      </c>
      <c r="B81" s="8">
        <v>2038</v>
      </c>
      <c r="C81" s="9" t="s">
        <v>242</v>
      </c>
      <c r="D81" s="8" t="s">
        <v>110</v>
      </c>
      <c r="E81" s="8" t="str">
        <f>"98.23"</f>
        <v>98.23</v>
      </c>
      <c r="F81" s="8"/>
      <c r="G81" s="3">
        <v>101.99</v>
      </c>
      <c r="H81" s="10"/>
      <c r="I81" s="8">
        <v>3</v>
      </c>
      <c r="J81" s="10">
        <v>2017</v>
      </c>
      <c r="K81" s="5" t="str">
        <f>"111.74"</f>
        <v>111.74</v>
      </c>
      <c r="L81" s="5"/>
      <c r="M81" s="5"/>
      <c r="N81" s="5"/>
      <c r="O81" s="5" t="str">
        <f>"119.26"</f>
        <v>119.26</v>
      </c>
      <c r="P81" s="5"/>
      <c r="Q81" s="5"/>
      <c r="R81" s="5"/>
      <c r="S81" s="5" t="str">
        <f>"84.72"</f>
        <v>84.72</v>
      </c>
      <c r="T81" s="5"/>
      <c r="U81" s="5"/>
      <c r="V81" s="5"/>
      <c r="W81" s="5"/>
      <c r="X81" s="5" t="str">
        <f>"123.00"</f>
        <v>123.00</v>
      </c>
      <c r="Y81" s="5"/>
      <c r="Z81" s="5"/>
      <c r="AA81" s="5" t="str">
        <f>"215.38"</f>
        <v>215.38</v>
      </c>
      <c r="AB81" s="5"/>
      <c r="AC81" s="5"/>
      <c r="AD81" s="5"/>
    </row>
    <row r="82" spans="1:30" ht="13.5" customHeight="1">
      <c r="A82" s="8">
        <v>80</v>
      </c>
      <c r="B82" s="8">
        <v>6307</v>
      </c>
      <c r="C82" s="9" t="s">
        <v>106</v>
      </c>
      <c r="D82" s="8" t="s">
        <v>16</v>
      </c>
      <c r="E82" s="8" t="str">
        <f>"85.58"</f>
        <v>85.58</v>
      </c>
      <c r="F82" s="8"/>
      <c r="G82" s="3">
        <v>102.24</v>
      </c>
      <c r="H82" s="10"/>
      <c r="I82" s="8">
        <v>3</v>
      </c>
      <c r="J82" s="10">
        <v>2017</v>
      </c>
      <c r="K82" s="5" t="str">
        <f>"91.29"</f>
        <v>91.29</v>
      </c>
      <c r="L82" s="5"/>
      <c r="M82" s="5" t="str">
        <f>"79.86"</f>
        <v>79.86</v>
      </c>
      <c r="N82" s="5"/>
      <c r="O82" s="5"/>
      <c r="P82" s="5"/>
      <c r="Q82" s="5"/>
      <c r="R82" s="5"/>
      <c r="S82" s="5"/>
      <c r="T82" s="5"/>
      <c r="U82" s="5"/>
      <c r="V82" s="5"/>
      <c r="W82" s="5" t="str">
        <f>"124.62"</f>
        <v>124.62</v>
      </c>
      <c r="X82" s="5"/>
      <c r="Y82" s="5"/>
      <c r="Z82" s="5"/>
      <c r="AA82" s="5"/>
      <c r="AB82" s="5"/>
      <c r="AC82" s="5"/>
      <c r="AD82" s="5"/>
    </row>
    <row r="83" spans="1:30" ht="13.5" customHeight="1">
      <c r="A83" s="8">
        <v>81</v>
      </c>
      <c r="B83" s="8">
        <v>5455</v>
      </c>
      <c r="C83" s="9" t="s">
        <v>66</v>
      </c>
      <c r="D83" s="8" t="s">
        <v>67</v>
      </c>
      <c r="E83" s="8" t="str">
        <f>"103.80"</f>
        <v>103.80</v>
      </c>
      <c r="F83" s="8"/>
      <c r="G83" s="3">
        <v>104.2</v>
      </c>
      <c r="H83" s="10"/>
      <c r="I83" s="8">
        <v>3</v>
      </c>
      <c r="J83" s="10">
        <v>2017</v>
      </c>
      <c r="K83" s="5" t="str">
        <f>"106.06"</f>
        <v>106.06</v>
      </c>
      <c r="L83" s="5"/>
      <c r="M83" s="5"/>
      <c r="N83" s="5" t="str">
        <f>"153.63"</f>
        <v>153.63</v>
      </c>
      <c r="O83" s="5"/>
      <c r="P83" s="5"/>
      <c r="Q83" s="5"/>
      <c r="R83" s="5"/>
      <c r="S83" s="5" t="str">
        <f>"113.23"</f>
        <v>113.23</v>
      </c>
      <c r="T83" s="5"/>
      <c r="U83" s="5"/>
      <c r="V83" s="5"/>
      <c r="W83" s="5"/>
      <c r="X83" s="5" t="str">
        <f>"101.54"</f>
        <v>101.54</v>
      </c>
      <c r="Y83" s="5" t="str">
        <f>"106.86"</f>
        <v>106.86</v>
      </c>
      <c r="Z83" s="5"/>
      <c r="AA83" s="5"/>
      <c r="AB83" s="5"/>
      <c r="AC83" s="5"/>
      <c r="AD83" s="5"/>
    </row>
    <row r="84" spans="1:30" ht="13.5" customHeight="1">
      <c r="A84" s="8">
        <v>82</v>
      </c>
      <c r="B84" s="8">
        <v>4218</v>
      </c>
      <c r="C84" s="9" t="s">
        <v>268</v>
      </c>
      <c r="D84" s="8" t="s">
        <v>22</v>
      </c>
      <c r="E84" s="8" t="str">
        <f>"76.33"</f>
        <v>76.33</v>
      </c>
      <c r="F84" s="8"/>
      <c r="G84" s="3">
        <v>104.33</v>
      </c>
      <c r="H84" s="10" t="s">
        <v>18</v>
      </c>
      <c r="I84" s="8">
        <v>1</v>
      </c>
      <c r="J84" s="10">
        <v>2017</v>
      </c>
      <c r="K84" s="5" t="str">
        <f>"76.33"</f>
        <v>76.33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13.5" customHeight="1">
      <c r="A85" s="8">
        <v>83</v>
      </c>
      <c r="B85" s="8">
        <v>8494</v>
      </c>
      <c r="C85" s="9" t="s">
        <v>153</v>
      </c>
      <c r="D85" s="8" t="s">
        <v>16</v>
      </c>
      <c r="E85" s="8" t="str">
        <f>"82.51"</f>
        <v>82.51</v>
      </c>
      <c r="F85" s="8"/>
      <c r="G85" s="3">
        <v>106.65</v>
      </c>
      <c r="H85" s="10"/>
      <c r="I85" s="8">
        <v>3</v>
      </c>
      <c r="J85" s="10">
        <v>2017</v>
      </c>
      <c r="K85" s="5" t="str">
        <f>"94.57"</f>
        <v>94.57</v>
      </c>
      <c r="L85" s="5"/>
      <c r="M85" s="5" t="str">
        <f>"142.84"</f>
        <v>142.84</v>
      </c>
      <c r="N85" s="5" t="str">
        <f>"70.45"</f>
        <v>70.45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13.5" customHeight="1">
      <c r="A86" s="8">
        <v>84</v>
      </c>
      <c r="B86" s="8">
        <v>1817</v>
      </c>
      <c r="C86" s="9" t="s">
        <v>336</v>
      </c>
      <c r="D86" s="8" t="s">
        <v>22</v>
      </c>
      <c r="E86" s="8" t="str">
        <f>"93.57"</f>
        <v>93.57</v>
      </c>
      <c r="F86" s="8"/>
      <c r="G86" s="3">
        <v>107.57</v>
      </c>
      <c r="H86" s="10" t="s">
        <v>1242</v>
      </c>
      <c r="I86" s="8">
        <v>1</v>
      </c>
      <c r="J86" s="10">
        <v>2017</v>
      </c>
      <c r="K86" s="5" t="str">
        <f>"93.57"</f>
        <v>93.57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13.5" customHeight="1">
      <c r="A87" s="8">
        <v>85</v>
      </c>
      <c r="B87" s="8">
        <v>7844</v>
      </c>
      <c r="C87" s="9" t="s">
        <v>28</v>
      </c>
      <c r="D87" s="8" t="s">
        <v>29</v>
      </c>
      <c r="E87" s="8" t="str">
        <f>"49.41"</f>
        <v>49.41</v>
      </c>
      <c r="F87" s="8"/>
      <c r="G87" s="3">
        <v>107.66</v>
      </c>
      <c r="H87" s="10" t="s">
        <v>12</v>
      </c>
      <c r="I87" s="8">
        <v>2</v>
      </c>
      <c r="J87" s="10">
        <v>2017</v>
      </c>
      <c r="K87" s="5" t="str">
        <f>"49.41"</f>
        <v>49.41</v>
      </c>
      <c r="L87" s="5"/>
      <c r="M87" s="5"/>
      <c r="N87" s="5"/>
      <c r="O87" s="5"/>
      <c r="P87" s="5"/>
      <c r="Q87" s="5"/>
      <c r="R87" s="5"/>
      <c r="S87" s="5"/>
      <c r="T87" s="5"/>
      <c r="U87" s="5" t="str">
        <f>"79.66"</f>
        <v>79.66</v>
      </c>
      <c r="V87" s="5"/>
      <c r="W87" s="5"/>
      <c r="X87" s="5"/>
      <c r="Y87" s="5"/>
      <c r="Z87" s="5"/>
      <c r="AA87" s="5"/>
      <c r="AB87" s="5"/>
      <c r="AC87" s="5"/>
      <c r="AD87" s="5"/>
    </row>
    <row r="88" spans="1:30" ht="13.5" customHeight="1">
      <c r="A88" s="8">
        <v>86</v>
      </c>
      <c r="B88" s="8">
        <v>1312</v>
      </c>
      <c r="C88" s="9" t="s">
        <v>107</v>
      </c>
      <c r="D88" s="8" t="s">
        <v>108</v>
      </c>
      <c r="E88" s="8" t="str">
        <f>"88.99"</f>
        <v>88.99</v>
      </c>
      <c r="F88" s="8"/>
      <c r="G88" s="3">
        <v>108.4</v>
      </c>
      <c r="H88" s="10" t="s">
        <v>12</v>
      </c>
      <c r="I88" s="8">
        <v>2</v>
      </c>
      <c r="J88" s="10">
        <v>2017</v>
      </c>
      <c r="K88" s="5" t="str">
        <f>"97.57"</f>
        <v>97.57</v>
      </c>
      <c r="L88" s="5"/>
      <c r="M88" s="5"/>
      <c r="N88" s="5" t="str">
        <f>"80.40"</f>
        <v>80.40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13.5" customHeight="1">
      <c r="A89" s="8">
        <v>87</v>
      </c>
      <c r="B89" s="8">
        <v>6967</v>
      </c>
      <c r="C89" s="9" t="s">
        <v>162</v>
      </c>
      <c r="D89" s="8" t="s">
        <v>27</v>
      </c>
      <c r="E89" s="8" t="str">
        <f>"83.10"</f>
        <v>83.10</v>
      </c>
      <c r="F89" s="8"/>
      <c r="G89" s="3">
        <v>109.85</v>
      </c>
      <c r="H89" s="10" t="s">
        <v>12</v>
      </c>
      <c r="I89" s="8">
        <v>2</v>
      </c>
      <c r="J89" s="10">
        <v>2017</v>
      </c>
      <c r="K89" s="5" t="str">
        <f>"84.34"</f>
        <v>84.34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 t="str">
        <f>"81.85"</f>
        <v>81.85</v>
      </c>
      <c r="Y89" s="5"/>
      <c r="Z89" s="5"/>
      <c r="AA89" s="5"/>
      <c r="AB89" s="5"/>
      <c r="AC89" s="5"/>
      <c r="AD89" s="5"/>
    </row>
    <row r="90" spans="1:30" ht="13.5" customHeight="1">
      <c r="A90" s="8">
        <v>88</v>
      </c>
      <c r="B90" s="8">
        <v>5257</v>
      </c>
      <c r="C90" s="9" t="s">
        <v>101</v>
      </c>
      <c r="D90" s="8" t="s">
        <v>102</v>
      </c>
      <c r="E90" s="8" t="str">
        <f>"97.86"</f>
        <v>97.86</v>
      </c>
      <c r="F90" s="8"/>
      <c r="G90" s="3">
        <v>110.07</v>
      </c>
      <c r="H90" s="10"/>
      <c r="I90" s="8">
        <v>3</v>
      </c>
      <c r="J90" s="10">
        <v>2017</v>
      </c>
      <c r="K90" s="5" t="str">
        <f>"97.86"</f>
        <v>97.86</v>
      </c>
      <c r="L90" s="5"/>
      <c r="M90" s="5"/>
      <c r="N90" s="5"/>
      <c r="O90" s="5"/>
      <c r="P90" s="5"/>
      <c r="Q90" s="5"/>
      <c r="R90" s="5"/>
      <c r="S90" s="5" t="str">
        <f>"120.87"</f>
        <v>120.87</v>
      </c>
      <c r="T90" s="5"/>
      <c r="U90" s="5"/>
      <c r="V90" s="5"/>
      <c r="W90" s="5"/>
      <c r="X90" s="5" t="str">
        <f>"112.31"</f>
        <v>112.31</v>
      </c>
      <c r="Y90" s="5" t="str">
        <f>"248.63"</f>
        <v>248.63</v>
      </c>
      <c r="Z90" s="5"/>
      <c r="AA90" s="5" t="str">
        <f>"107.82"</f>
        <v>107.82</v>
      </c>
      <c r="AB90" s="5"/>
      <c r="AC90" s="5"/>
      <c r="AD90" s="5"/>
    </row>
    <row r="91" spans="1:30" ht="13.5" customHeight="1">
      <c r="A91" s="8">
        <v>89</v>
      </c>
      <c r="B91" s="8">
        <v>10130</v>
      </c>
      <c r="C91" s="9" t="s">
        <v>244</v>
      </c>
      <c r="D91" s="8" t="s">
        <v>16</v>
      </c>
      <c r="E91" s="8" t="str">
        <f>"94.80"</f>
        <v>94.80</v>
      </c>
      <c r="F91" s="8"/>
      <c r="G91" s="3">
        <v>110.11</v>
      </c>
      <c r="H91" s="10"/>
      <c r="I91" s="8">
        <v>3</v>
      </c>
      <c r="J91" s="10">
        <v>2017</v>
      </c>
      <c r="K91" s="5" t="str">
        <f>"103.65"</f>
        <v>103.65</v>
      </c>
      <c r="L91" s="5"/>
      <c r="M91" s="5" t="str">
        <f>"176.05"</f>
        <v>176.05</v>
      </c>
      <c r="N91" s="5"/>
      <c r="O91" s="5"/>
      <c r="P91" s="5"/>
      <c r="Q91" s="5"/>
      <c r="R91" s="5"/>
      <c r="S91" s="5"/>
      <c r="T91" s="5"/>
      <c r="U91" s="5"/>
      <c r="V91" s="5"/>
      <c r="W91" s="5" t="str">
        <f>"195.37"</f>
        <v>195.37</v>
      </c>
      <c r="X91" s="5" t="str">
        <f>"134.28"</f>
        <v>134.28</v>
      </c>
      <c r="Y91" s="5"/>
      <c r="Z91" s="5"/>
      <c r="AA91" s="5"/>
      <c r="AB91" s="5"/>
      <c r="AC91" s="5"/>
      <c r="AD91" s="5" t="str">
        <f>"85.94"</f>
        <v>85.94</v>
      </c>
    </row>
    <row r="92" spans="1:30" ht="13.5" customHeight="1">
      <c r="A92" s="8">
        <v>90</v>
      </c>
      <c r="B92" s="8">
        <v>1938</v>
      </c>
      <c r="C92" s="9" t="s">
        <v>82</v>
      </c>
      <c r="D92" s="8" t="s">
        <v>83</v>
      </c>
      <c r="E92" s="8" t="str">
        <f>"95.22"</f>
        <v>95.22</v>
      </c>
      <c r="F92" s="8"/>
      <c r="G92" s="3">
        <v>110.54</v>
      </c>
      <c r="H92" s="10" t="s">
        <v>12</v>
      </c>
      <c r="I92" s="8">
        <v>2</v>
      </c>
      <c r="J92" s="10">
        <v>2017</v>
      </c>
      <c r="K92" s="5" t="str">
        <f>"107.89"</f>
        <v>107.89</v>
      </c>
      <c r="L92" s="5"/>
      <c r="M92" s="5"/>
      <c r="N92" s="5" t="str">
        <f>"82.54"</f>
        <v>82.54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3.5" customHeight="1">
      <c r="A93" s="8">
        <v>91</v>
      </c>
      <c r="B93" s="8">
        <v>6595</v>
      </c>
      <c r="C93" s="9" t="s">
        <v>201</v>
      </c>
      <c r="D93" s="8" t="s">
        <v>51</v>
      </c>
      <c r="E93" s="8" t="str">
        <f>"111.41"</f>
        <v>111.41</v>
      </c>
      <c r="F93" s="8"/>
      <c r="G93" s="3">
        <v>111.41</v>
      </c>
      <c r="H93" s="10"/>
      <c r="I93" s="8">
        <v>3</v>
      </c>
      <c r="J93" s="10">
        <v>2017</v>
      </c>
      <c r="K93" s="5" t="str">
        <f>"173.45"</f>
        <v>173.45</v>
      </c>
      <c r="L93" s="5"/>
      <c r="M93" s="5"/>
      <c r="N93" s="5"/>
      <c r="O93" s="5"/>
      <c r="P93" s="5"/>
      <c r="Q93" s="5"/>
      <c r="R93" s="5"/>
      <c r="S93" s="5" t="str">
        <f>"106.68"</f>
        <v>106.68</v>
      </c>
      <c r="T93" s="5"/>
      <c r="U93" s="5"/>
      <c r="V93" s="5"/>
      <c r="W93" s="5"/>
      <c r="X93" s="5" t="str">
        <f>"116.14"</f>
        <v>116.14</v>
      </c>
      <c r="Y93" s="5"/>
      <c r="Z93" s="5"/>
      <c r="AA93" s="5" t="str">
        <f>"332.79"</f>
        <v>332.79</v>
      </c>
      <c r="AB93" s="5"/>
      <c r="AC93" s="5"/>
      <c r="AD93" s="5"/>
    </row>
    <row r="94" spans="1:30" ht="13.5" customHeight="1">
      <c r="A94" s="8">
        <v>92</v>
      </c>
      <c r="B94" s="8">
        <v>4139</v>
      </c>
      <c r="C94" s="9" t="s">
        <v>239</v>
      </c>
      <c r="D94" s="8" t="s">
        <v>14</v>
      </c>
      <c r="E94" s="8" t="str">
        <f>"83.66"</f>
        <v>83.66</v>
      </c>
      <c r="F94" s="8"/>
      <c r="G94" s="3">
        <v>111.66</v>
      </c>
      <c r="H94" s="10" t="s">
        <v>18</v>
      </c>
      <c r="I94" s="8">
        <v>1</v>
      </c>
      <c r="J94" s="10">
        <v>2017</v>
      </c>
      <c r="K94" s="5" t="str">
        <f>"83.66"</f>
        <v>83.66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13.5" customHeight="1">
      <c r="A95" s="8">
        <v>93</v>
      </c>
      <c r="B95" s="8">
        <v>2147</v>
      </c>
      <c r="C95" s="9" t="s">
        <v>1176</v>
      </c>
      <c r="D95" s="8" t="s">
        <v>108</v>
      </c>
      <c r="E95" s="8" t="str">
        <f>"63.38"</f>
        <v>63.38</v>
      </c>
      <c r="F95" s="8"/>
      <c r="G95" s="3">
        <v>112.42</v>
      </c>
      <c r="H95" s="10" t="s">
        <v>12</v>
      </c>
      <c r="I95" s="8">
        <v>2</v>
      </c>
      <c r="J95" s="10">
        <v>2017</v>
      </c>
      <c r="K95" s="5" t="str">
        <f>"63.38"</f>
        <v>63.38</v>
      </c>
      <c r="L95" s="5"/>
      <c r="M95" s="5"/>
      <c r="N95" s="5"/>
      <c r="O95" s="5" t="str">
        <f>"84.42"</f>
        <v>84.42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3.5" customHeight="1">
      <c r="A96" s="8">
        <v>94</v>
      </c>
      <c r="B96" s="8">
        <v>5759</v>
      </c>
      <c r="C96" s="9" t="s">
        <v>273</v>
      </c>
      <c r="D96" s="8" t="s">
        <v>274</v>
      </c>
      <c r="E96" s="8" t="str">
        <f>"98.63"</f>
        <v>98.63</v>
      </c>
      <c r="F96" s="8"/>
      <c r="G96" s="3">
        <v>112.63</v>
      </c>
      <c r="H96" s="10" t="s">
        <v>1241</v>
      </c>
      <c r="I96" s="8">
        <v>1</v>
      </c>
      <c r="J96" s="10">
        <v>2017</v>
      </c>
      <c r="K96" s="5" t="str">
        <f>"98.63"</f>
        <v>98.63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13.5" customHeight="1">
      <c r="A97" s="8">
        <v>95</v>
      </c>
      <c r="B97" s="8">
        <v>9967</v>
      </c>
      <c r="C97" s="9" t="s">
        <v>249</v>
      </c>
      <c r="D97" s="8" t="s">
        <v>17</v>
      </c>
      <c r="E97" s="8" t="str">
        <f>"105.74"</f>
        <v>105.74</v>
      </c>
      <c r="F97" s="8"/>
      <c r="G97" s="3">
        <v>112.64</v>
      </c>
      <c r="H97" s="10"/>
      <c r="I97" s="8">
        <v>3</v>
      </c>
      <c r="J97" s="10">
        <v>2017</v>
      </c>
      <c r="K97" s="5" t="str">
        <f>"116.65"</f>
        <v>116.65</v>
      </c>
      <c r="L97" s="5"/>
      <c r="M97" s="5"/>
      <c r="N97" s="5" t="str">
        <f>"130.45"</f>
        <v>130.45</v>
      </c>
      <c r="O97" s="5"/>
      <c r="P97" s="5"/>
      <c r="Q97" s="5"/>
      <c r="R97" s="5"/>
      <c r="S97" s="5"/>
      <c r="T97" s="5"/>
      <c r="U97" s="5"/>
      <c r="V97" s="5"/>
      <c r="W97" s="5"/>
      <c r="X97" s="5" t="str">
        <f>"94.83"</f>
        <v>94.83</v>
      </c>
      <c r="Y97" s="5"/>
      <c r="Z97" s="5"/>
      <c r="AA97" s="5"/>
      <c r="AB97" s="5"/>
      <c r="AC97" s="5"/>
      <c r="AD97" s="5"/>
    </row>
    <row r="98" spans="1:30" ht="13.5" customHeight="1">
      <c r="A98" s="8">
        <v>96</v>
      </c>
      <c r="B98" s="8">
        <v>842</v>
      </c>
      <c r="C98" s="9" t="s">
        <v>767</v>
      </c>
      <c r="D98" s="8" t="s">
        <v>213</v>
      </c>
      <c r="E98" s="8" t="str">
        <f>"88.98"</f>
        <v>88.98</v>
      </c>
      <c r="F98" s="8"/>
      <c r="G98" s="3">
        <v>112.84</v>
      </c>
      <c r="H98" s="10"/>
      <c r="I98" s="8">
        <v>3</v>
      </c>
      <c r="J98" s="10">
        <v>2018</v>
      </c>
      <c r="K98" s="5" t="str">
        <f>"88.98"</f>
        <v>88.98</v>
      </c>
      <c r="L98" s="5"/>
      <c r="M98" s="5"/>
      <c r="N98" s="5"/>
      <c r="O98" s="5"/>
      <c r="P98" s="5"/>
      <c r="Q98" s="5"/>
      <c r="R98" s="5"/>
      <c r="S98" s="5" t="str">
        <f>"97.59"</f>
        <v>97.59</v>
      </c>
      <c r="T98" s="5"/>
      <c r="U98" s="5"/>
      <c r="V98" s="5"/>
      <c r="W98" s="5"/>
      <c r="X98" s="5" t="str">
        <f>"128.09"</f>
        <v>128.09</v>
      </c>
      <c r="Y98" s="5"/>
      <c r="Z98" s="5"/>
      <c r="AA98" s="5"/>
      <c r="AB98" s="5"/>
      <c r="AC98" s="5"/>
      <c r="AD98" s="5"/>
    </row>
    <row r="99" spans="1:30" ht="13.5" customHeight="1">
      <c r="A99" s="8">
        <v>97</v>
      </c>
      <c r="B99" s="8">
        <v>11053</v>
      </c>
      <c r="C99" s="9" t="s">
        <v>137</v>
      </c>
      <c r="D99" s="8" t="s">
        <v>55</v>
      </c>
      <c r="E99" s="8" t="str">
        <f>"77.77"</f>
        <v>77.77</v>
      </c>
      <c r="F99" s="8"/>
      <c r="G99" s="3">
        <v>113.31</v>
      </c>
      <c r="H99" s="10" t="s">
        <v>12</v>
      </c>
      <c r="I99" s="8">
        <v>2</v>
      </c>
      <c r="J99" s="10">
        <v>2018</v>
      </c>
      <c r="K99" s="5" t="str">
        <f>"77.77"</f>
        <v>77.77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 t="str">
        <f>"85.31"</f>
        <v>85.31</v>
      </c>
      <c r="AB99" s="5"/>
      <c r="AC99" s="5"/>
      <c r="AD99" s="5"/>
    </row>
    <row r="100" spans="1:30" ht="13.5" customHeight="1">
      <c r="A100" s="8">
        <v>98</v>
      </c>
      <c r="B100" s="8">
        <v>7815</v>
      </c>
      <c r="C100" s="9" t="s">
        <v>147</v>
      </c>
      <c r="D100" s="8" t="s">
        <v>29</v>
      </c>
      <c r="E100" s="8" t="str">
        <f>"113.97"</f>
        <v>113.97</v>
      </c>
      <c r="F100" s="8"/>
      <c r="G100" s="3">
        <v>113.97</v>
      </c>
      <c r="H100" s="10"/>
      <c r="I100" s="8">
        <v>3</v>
      </c>
      <c r="J100" s="10">
        <v>2017</v>
      </c>
      <c r="K100" s="5" t="str">
        <f>"125.72"</f>
        <v>125.72</v>
      </c>
      <c r="L100" s="5"/>
      <c r="M100" s="5"/>
      <c r="N100" s="5"/>
      <c r="O100" s="5"/>
      <c r="P100" s="5"/>
      <c r="Q100" s="5" t="str">
        <f>"109.11"</f>
        <v>109.11</v>
      </c>
      <c r="R100" s="5"/>
      <c r="S100" s="5"/>
      <c r="T100" s="5"/>
      <c r="U100" s="5" t="str">
        <f>"184.24"</f>
        <v>184.24</v>
      </c>
      <c r="V100" s="5"/>
      <c r="W100" s="5"/>
      <c r="X100" s="5"/>
      <c r="Y100" s="5"/>
      <c r="Z100" s="5"/>
      <c r="AA100" s="5" t="str">
        <f>"118.83"</f>
        <v>118.83</v>
      </c>
      <c r="AB100" s="5"/>
      <c r="AC100" s="5"/>
      <c r="AD100" s="5" t="str">
        <f>"119.96"</f>
        <v>119.96</v>
      </c>
    </row>
    <row r="101" spans="1:30" ht="13.5" customHeight="1">
      <c r="A101" s="8">
        <v>99</v>
      </c>
      <c r="B101" s="8">
        <v>8310</v>
      </c>
      <c r="C101" s="9" t="s">
        <v>154</v>
      </c>
      <c r="D101" s="8" t="s">
        <v>155</v>
      </c>
      <c r="E101" s="8" t="str">
        <f>"71.95"</f>
        <v>71.95</v>
      </c>
      <c r="F101" s="8"/>
      <c r="G101" s="3">
        <v>114.24</v>
      </c>
      <c r="H101" s="10" t="s">
        <v>12</v>
      </c>
      <c r="I101" s="8">
        <v>2</v>
      </c>
      <c r="J101" s="10">
        <v>2018</v>
      </c>
      <c r="K101" s="5" t="str">
        <f>"71.95"</f>
        <v>71.95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 t="str">
        <f>"86.24"</f>
        <v>86.24</v>
      </c>
      <c r="AA101" s="5"/>
      <c r="AB101" s="5"/>
      <c r="AC101" s="5"/>
      <c r="AD101" s="5"/>
    </row>
    <row r="102" spans="1:30" ht="13.5" customHeight="1">
      <c r="A102" s="8">
        <v>100</v>
      </c>
      <c r="B102" s="8">
        <v>3112</v>
      </c>
      <c r="C102" s="9" t="s">
        <v>123</v>
      </c>
      <c r="D102" s="8" t="s">
        <v>40</v>
      </c>
      <c r="E102" s="8" t="str">
        <f>"94.65"</f>
        <v>94.65</v>
      </c>
      <c r="F102" s="8"/>
      <c r="G102" s="3">
        <v>114.83</v>
      </c>
      <c r="H102" s="10"/>
      <c r="I102" s="8">
        <v>3</v>
      </c>
      <c r="J102" s="10">
        <v>2017</v>
      </c>
      <c r="K102" s="5" t="str">
        <f>"95.26"</f>
        <v>95.26</v>
      </c>
      <c r="L102" s="5"/>
      <c r="M102" s="5"/>
      <c r="N102" s="5"/>
      <c r="O102" s="5" t="str">
        <f>"94.04"</f>
        <v>94.04</v>
      </c>
      <c r="P102" s="5"/>
      <c r="Q102" s="5"/>
      <c r="R102" s="5"/>
      <c r="S102" s="5"/>
      <c r="T102" s="5"/>
      <c r="U102" s="5"/>
      <c r="V102" s="5"/>
      <c r="W102" s="5"/>
      <c r="X102" s="5" t="str">
        <f>"135.61"</f>
        <v>135.61</v>
      </c>
      <c r="Y102" s="5"/>
      <c r="Z102" s="5"/>
      <c r="AA102" s="5"/>
      <c r="AB102" s="5"/>
      <c r="AC102" s="5"/>
      <c r="AD102" s="5"/>
    </row>
    <row r="103" spans="1:30" ht="13.5" customHeight="1">
      <c r="A103" s="8">
        <v>101</v>
      </c>
      <c r="B103" s="8">
        <v>7626</v>
      </c>
      <c r="C103" s="9" t="s">
        <v>69</v>
      </c>
      <c r="D103" s="8" t="s">
        <v>62</v>
      </c>
      <c r="E103" s="8" t="str">
        <f>"45.51"</f>
        <v>45.51</v>
      </c>
      <c r="F103" s="8"/>
      <c r="G103" s="3">
        <v>115.01</v>
      </c>
      <c r="H103" s="10" t="s">
        <v>12</v>
      </c>
      <c r="I103" s="8">
        <v>2</v>
      </c>
      <c r="J103" s="10">
        <v>2017</v>
      </c>
      <c r="K103" s="5" t="str">
        <f>"45.51"</f>
        <v>45.51</v>
      </c>
      <c r="L103" s="5"/>
      <c r="M103" s="5"/>
      <c r="N103" s="5" t="str">
        <f>"87.01"</f>
        <v>87.01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13.5" customHeight="1">
      <c r="A104" s="8">
        <v>102</v>
      </c>
      <c r="B104" s="8">
        <v>5313</v>
      </c>
      <c r="C104" s="9" t="s">
        <v>1208</v>
      </c>
      <c r="D104" s="8" t="s">
        <v>105</v>
      </c>
      <c r="E104" s="8" t="str">
        <f>"87.69"</f>
        <v>87.69</v>
      </c>
      <c r="F104" s="8"/>
      <c r="G104" s="3">
        <v>115.69</v>
      </c>
      <c r="H104" s="10" t="s">
        <v>18</v>
      </c>
      <c r="I104" s="8">
        <v>1</v>
      </c>
      <c r="J104" s="10">
        <v>2017</v>
      </c>
      <c r="K104" s="5" t="str">
        <f>"87.69"</f>
        <v>87.69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3.5" customHeight="1">
      <c r="A105" s="8">
        <v>103</v>
      </c>
      <c r="B105" s="8">
        <v>5238</v>
      </c>
      <c r="C105" s="9" t="s">
        <v>100</v>
      </c>
      <c r="D105" s="8" t="s">
        <v>29</v>
      </c>
      <c r="E105" s="8" t="str">
        <f>"115.82"</f>
        <v>115.82</v>
      </c>
      <c r="F105" s="8"/>
      <c r="G105" s="3">
        <v>115.82</v>
      </c>
      <c r="H105" s="10"/>
      <c r="I105" s="8">
        <v>3</v>
      </c>
      <c r="J105" s="10">
        <v>2017</v>
      </c>
      <c r="K105" s="5" t="str">
        <f>"144.88"</f>
        <v>144.88</v>
      </c>
      <c r="L105" s="5"/>
      <c r="M105" s="5"/>
      <c r="N105" s="5"/>
      <c r="O105" s="5"/>
      <c r="P105" s="5"/>
      <c r="Q105" s="5" t="str">
        <f>"122.06"</f>
        <v>122.06</v>
      </c>
      <c r="R105" s="5"/>
      <c r="S105" s="5"/>
      <c r="T105" s="5"/>
      <c r="U105" s="5" t="str">
        <f>"240.68"</f>
        <v>240.68</v>
      </c>
      <c r="V105" s="5"/>
      <c r="W105" s="5"/>
      <c r="X105" s="5" t="str">
        <f>"109.58"</f>
        <v>109.58</v>
      </c>
      <c r="Y105" s="5"/>
      <c r="Z105" s="5"/>
      <c r="AA105" s="5"/>
      <c r="AB105" s="5"/>
      <c r="AC105" s="5"/>
      <c r="AD105" s="5"/>
    </row>
    <row r="106" spans="1:30" ht="13.5" customHeight="1">
      <c r="A106" s="8">
        <v>104</v>
      </c>
      <c r="B106" s="8">
        <v>5414</v>
      </c>
      <c r="C106" s="9" t="s">
        <v>362</v>
      </c>
      <c r="D106" s="8" t="s">
        <v>363</v>
      </c>
      <c r="E106" s="8" t="str">
        <f>"88.15"</f>
        <v>88.15</v>
      </c>
      <c r="F106" s="8"/>
      <c r="G106" s="3">
        <v>116.15</v>
      </c>
      <c r="H106" s="10" t="s">
        <v>18</v>
      </c>
      <c r="I106" s="8">
        <v>1</v>
      </c>
      <c r="J106" s="10">
        <v>2017</v>
      </c>
      <c r="K106" s="5" t="str">
        <f>"88.15"</f>
        <v>88.15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3.5" customHeight="1">
      <c r="A107" s="8">
        <v>105</v>
      </c>
      <c r="B107" s="8">
        <v>7460</v>
      </c>
      <c r="C107" s="9" t="s">
        <v>548</v>
      </c>
      <c r="D107" s="8" t="s">
        <v>549</v>
      </c>
      <c r="E107" s="8" t="str">
        <f>"71.58"</f>
        <v>71.58</v>
      </c>
      <c r="F107" s="8"/>
      <c r="G107" s="3">
        <v>117.4</v>
      </c>
      <c r="H107" s="10" t="s">
        <v>12</v>
      </c>
      <c r="I107" s="8">
        <v>2</v>
      </c>
      <c r="J107" s="10">
        <v>2018</v>
      </c>
      <c r="K107" s="5" t="str">
        <f>"71.58"</f>
        <v>71.58</v>
      </c>
      <c r="L107" s="5"/>
      <c r="M107" s="5"/>
      <c r="N107" s="5"/>
      <c r="O107" s="5" t="str">
        <f>"89.40"</f>
        <v>89.40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3.5" customHeight="1">
      <c r="A108" s="8">
        <v>106</v>
      </c>
      <c r="B108" s="8">
        <v>3370</v>
      </c>
      <c r="C108" s="9" t="s">
        <v>733</v>
      </c>
      <c r="D108" s="8" t="s">
        <v>195</v>
      </c>
      <c r="E108" s="8" t="str">
        <f>"91.17"</f>
        <v>91.17</v>
      </c>
      <c r="F108" s="8"/>
      <c r="G108" s="3">
        <v>119.17</v>
      </c>
      <c r="H108" s="10" t="s">
        <v>18</v>
      </c>
      <c r="I108" s="8">
        <v>1</v>
      </c>
      <c r="J108" s="10">
        <v>2017</v>
      </c>
      <c r="K108" s="5" t="str">
        <f>"91.17"</f>
        <v>91.17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3.5" customHeight="1">
      <c r="A109" s="8">
        <v>107</v>
      </c>
      <c r="B109" s="8">
        <v>1879</v>
      </c>
      <c r="C109" s="9" t="s">
        <v>176</v>
      </c>
      <c r="D109" s="8" t="s">
        <v>177</v>
      </c>
      <c r="E109" s="8" t="str">
        <f>"93.64"</f>
        <v>93.64</v>
      </c>
      <c r="F109" s="8"/>
      <c r="G109" s="3">
        <v>119.22</v>
      </c>
      <c r="H109" s="10"/>
      <c r="I109" s="8">
        <v>3</v>
      </c>
      <c r="J109" s="10">
        <v>2017</v>
      </c>
      <c r="K109" s="5" t="str">
        <f>"93.64"</f>
        <v>93.64</v>
      </c>
      <c r="L109" s="5"/>
      <c r="M109" s="5"/>
      <c r="N109" s="5" t="str">
        <f>"144.38"</f>
        <v>144.38</v>
      </c>
      <c r="O109" s="5"/>
      <c r="P109" s="5"/>
      <c r="Q109" s="5"/>
      <c r="R109" s="5"/>
      <c r="S109" s="5" t="str">
        <f>"119.56"</f>
        <v>119.56</v>
      </c>
      <c r="T109" s="5"/>
      <c r="U109" s="5"/>
      <c r="V109" s="5"/>
      <c r="W109" s="5"/>
      <c r="X109" s="5" t="str">
        <f>"118.87"</f>
        <v>118.87</v>
      </c>
      <c r="Y109" s="5" t="str">
        <f>"146.85"</f>
        <v>146.85</v>
      </c>
      <c r="Z109" s="5"/>
      <c r="AA109" s="5"/>
      <c r="AB109" s="5"/>
      <c r="AC109" s="5"/>
      <c r="AD109" s="5"/>
    </row>
    <row r="110" spans="1:30" ht="13.5" customHeight="1">
      <c r="A110" s="8">
        <v>108</v>
      </c>
      <c r="B110" s="8">
        <v>1740</v>
      </c>
      <c r="C110" s="9" t="s">
        <v>182</v>
      </c>
      <c r="D110" s="8" t="s">
        <v>85</v>
      </c>
      <c r="E110" s="8" t="str">
        <f>"86.14"</f>
        <v>86.14</v>
      </c>
      <c r="F110" s="8"/>
      <c r="G110" s="3">
        <v>119.26</v>
      </c>
      <c r="H110" s="10"/>
      <c r="I110" s="8">
        <v>3</v>
      </c>
      <c r="J110" s="10">
        <v>2017</v>
      </c>
      <c r="K110" s="5" t="str">
        <f>"86.14"</f>
        <v>86.14</v>
      </c>
      <c r="L110" s="5"/>
      <c r="M110" s="5"/>
      <c r="N110" s="5"/>
      <c r="O110" s="5"/>
      <c r="P110" s="5"/>
      <c r="Q110" s="5"/>
      <c r="R110" s="5"/>
      <c r="S110" s="5" t="str">
        <f>"123.48"</f>
        <v>123.48</v>
      </c>
      <c r="T110" s="5"/>
      <c r="U110" s="5"/>
      <c r="V110" s="5"/>
      <c r="W110" s="5"/>
      <c r="X110" s="5"/>
      <c r="Y110" s="5" t="str">
        <f>"115.04"</f>
        <v>115.04</v>
      </c>
      <c r="Z110" s="5"/>
      <c r="AA110" s="5"/>
      <c r="AB110" s="5"/>
      <c r="AC110" s="5"/>
      <c r="AD110" s="5"/>
    </row>
    <row r="111" spans="1:30" ht="13.5" customHeight="1">
      <c r="A111" s="8">
        <v>109</v>
      </c>
      <c r="B111" s="8">
        <v>10355</v>
      </c>
      <c r="C111" s="9" t="s">
        <v>158</v>
      </c>
      <c r="D111" s="8" t="s">
        <v>44</v>
      </c>
      <c r="E111" s="8" t="str">
        <f>"90.15"</f>
        <v>90.15</v>
      </c>
      <c r="F111" s="8"/>
      <c r="G111" s="3">
        <v>119.63</v>
      </c>
      <c r="H111" s="10" t="s">
        <v>12</v>
      </c>
      <c r="I111" s="8">
        <v>2</v>
      </c>
      <c r="J111" s="10">
        <v>2017</v>
      </c>
      <c r="K111" s="5" t="str">
        <f>"90.15"</f>
        <v>90.15</v>
      </c>
      <c r="L111" s="5"/>
      <c r="M111" s="5"/>
      <c r="N111" s="5"/>
      <c r="O111" s="5"/>
      <c r="P111" s="5"/>
      <c r="Q111" s="5"/>
      <c r="R111" s="5"/>
      <c r="S111" s="5" t="str">
        <f>"91.63"</f>
        <v>91.63</v>
      </c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3.5" customHeight="1">
      <c r="A112" s="8">
        <v>110</v>
      </c>
      <c r="B112" s="8">
        <v>10950</v>
      </c>
      <c r="C112" s="9" t="s">
        <v>144</v>
      </c>
      <c r="D112" s="8" t="s">
        <v>145</v>
      </c>
      <c r="E112" s="8" t="str">
        <f>"92.20"</f>
        <v>92.20</v>
      </c>
      <c r="F112" s="8"/>
      <c r="G112" s="3">
        <v>119.7</v>
      </c>
      <c r="H112" s="10" t="s">
        <v>12</v>
      </c>
      <c r="I112" s="8">
        <v>2</v>
      </c>
      <c r="J112" s="10">
        <v>2018</v>
      </c>
      <c r="K112" s="5" t="str">
        <f>"92.69"</f>
        <v>92.69</v>
      </c>
      <c r="L112" s="5"/>
      <c r="M112" s="5"/>
      <c r="N112" s="5"/>
      <c r="O112" s="5"/>
      <c r="P112" s="5"/>
      <c r="Q112" s="5"/>
      <c r="R112" s="5"/>
      <c r="S112" s="5" t="str">
        <f>"91.70"</f>
        <v>91.70</v>
      </c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3.5" customHeight="1">
      <c r="A113" s="8">
        <v>111</v>
      </c>
      <c r="B113" s="8">
        <v>10504</v>
      </c>
      <c r="C113" s="9" t="s">
        <v>225</v>
      </c>
      <c r="D113" s="8" t="s">
        <v>16</v>
      </c>
      <c r="E113" s="8" t="str">
        <f>"120.25"</f>
        <v>120.25</v>
      </c>
      <c r="F113" s="8"/>
      <c r="G113" s="3">
        <v>120.25</v>
      </c>
      <c r="H113" s="10"/>
      <c r="I113" s="8">
        <v>3</v>
      </c>
      <c r="J113" s="10">
        <v>2017</v>
      </c>
      <c r="K113" s="5" t="str">
        <f>"198.90"</f>
        <v>198.90</v>
      </c>
      <c r="L113" s="5"/>
      <c r="M113" s="5" t="str">
        <f>"175.41"</f>
        <v>175.41</v>
      </c>
      <c r="N113" s="5" t="str">
        <f>"129.45"</f>
        <v>129.45</v>
      </c>
      <c r="O113" s="5"/>
      <c r="P113" s="5"/>
      <c r="Q113" s="5"/>
      <c r="R113" s="5"/>
      <c r="S113" s="5"/>
      <c r="T113" s="5"/>
      <c r="U113" s="5"/>
      <c r="V113" s="5"/>
      <c r="W113" s="5" t="str">
        <f>"133.21"</f>
        <v>133.21</v>
      </c>
      <c r="X113" s="5"/>
      <c r="Y113" s="5"/>
      <c r="Z113" s="5"/>
      <c r="AA113" s="5" t="str">
        <f>"139.62"</f>
        <v>139.62</v>
      </c>
      <c r="AB113" s="5"/>
      <c r="AC113" s="5"/>
      <c r="AD113" s="5" t="str">
        <f>"111.04"</f>
        <v>111.04</v>
      </c>
    </row>
    <row r="114" spans="1:30" ht="13.5" customHeight="1">
      <c r="A114" s="8">
        <v>112</v>
      </c>
      <c r="B114" s="8">
        <v>412</v>
      </c>
      <c r="C114" s="9" t="s">
        <v>149</v>
      </c>
      <c r="D114" s="8" t="s">
        <v>150</v>
      </c>
      <c r="E114" s="8" t="str">
        <f>"99.24"</f>
        <v>99.24</v>
      </c>
      <c r="F114" s="8"/>
      <c r="G114" s="3">
        <v>120.6</v>
      </c>
      <c r="H114" s="10"/>
      <c r="I114" s="8">
        <v>3</v>
      </c>
      <c r="J114" s="10">
        <v>2017</v>
      </c>
      <c r="K114" s="5" t="str">
        <f>"103.06"</f>
        <v>103.06</v>
      </c>
      <c r="L114" s="5"/>
      <c r="M114" s="5"/>
      <c r="N114" s="5"/>
      <c r="O114" s="5"/>
      <c r="P114" s="5"/>
      <c r="Q114" s="5"/>
      <c r="R114" s="5"/>
      <c r="S114" s="5" t="str">
        <f>"95.41"</f>
        <v>95.41</v>
      </c>
      <c r="T114" s="5"/>
      <c r="U114" s="5"/>
      <c r="V114" s="5"/>
      <c r="W114" s="5"/>
      <c r="X114" s="5" t="str">
        <f>"145.78"</f>
        <v>145.78</v>
      </c>
      <c r="Y114" s="5"/>
      <c r="Z114" s="5"/>
      <c r="AA114" s="5"/>
      <c r="AB114" s="5"/>
      <c r="AC114" s="5"/>
      <c r="AD114" s="5"/>
    </row>
    <row r="115" spans="1:30" ht="13.5" customHeight="1">
      <c r="A115" s="8">
        <v>113</v>
      </c>
      <c r="B115" s="8">
        <v>1983</v>
      </c>
      <c r="C115" s="9" t="s">
        <v>116</v>
      </c>
      <c r="D115" s="8" t="s">
        <v>117</v>
      </c>
      <c r="E115" s="8" t="str">
        <f>"121.55"</f>
        <v>121.55</v>
      </c>
      <c r="F115" s="8"/>
      <c r="G115" s="3">
        <v>121.55</v>
      </c>
      <c r="H115" s="10"/>
      <c r="I115" s="8">
        <v>3</v>
      </c>
      <c r="J115" s="10">
        <v>2017</v>
      </c>
      <c r="K115" s="5" t="str">
        <f>"184.96"</f>
        <v>184.96</v>
      </c>
      <c r="L115" s="5"/>
      <c r="M115" s="5"/>
      <c r="N115" s="5" t="str">
        <f>"149.64"</f>
        <v>149.64</v>
      </c>
      <c r="O115" s="5"/>
      <c r="P115" s="5"/>
      <c r="Q115" s="5"/>
      <c r="R115" s="5"/>
      <c r="S115" s="5" t="str">
        <f>"93.45"</f>
        <v>93.45</v>
      </c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3.5" customHeight="1">
      <c r="A116" s="8">
        <v>114</v>
      </c>
      <c r="B116" s="8">
        <v>8336</v>
      </c>
      <c r="C116" s="9" t="s">
        <v>297</v>
      </c>
      <c r="D116" s="8" t="s">
        <v>29</v>
      </c>
      <c r="E116" s="8" t="str">
        <f>"121.55"</f>
        <v>121.55</v>
      </c>
      <c r="F116" s="8"/>
      <c r="G116" s="3">
        <v>121.55</v>
      </c>
      <c r="H116" s="10"/>
      <c r="I116" s="8">
        <v>3</v>
      </c>
      <c r="J116" s="10">
        <v>2017</v>
      </c>
      <c r="K116" s="5" t="str">
        <f>"247.39"</f>
        <v>247.39</v>
      </c>
      <c r="L116" s="5"/>
      <c r="M116" s="5"/>
      <c r="N116" s="5"/>
      <c r="O116" s="5"/>
      <c r="P116" s="5"/>
      <c r="Q116" s="5" t="str">
        <f>"99.76"</f>
        <v>99.76</v>
      </c>
      <c r="R116" s="5" t="str">
        <f>"143.33"</f>
        <v>143.33</v>
      </c>
      <c r="S116" s="5"/>
      <c r="T116" s="5"/>
      <c r="U116" s="5" t="str">
        <f>"184.24"</f>
        <v>184.24</v>
      </c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>
      <c r="A117" s="8">
        <v>115</v>
      </c>
      <c r="B117" s="8">
        <v>7883</v>
      </c>
      <c r="C117" s="9" t="s">
        <v>74</v>
      </c>
      <c r="D117" s="8" t="s">
        <v>22</v>
      </c>
      <c r="E117" s="8" t="str">
        <f>"122.38"</f>
        <v>122.38</v>
      </c>
      <c r="F117" s="8"/>
      <c r="G117" s="3">
        <v>122.38</v>
      </c>
      <c r="H117" s="10"/>
      <c r="I117" s="8">
        <v>3</v>
      </c>
      <c r="J117" s="10">
        <v>2017</v>
      </c>
      <c r="K117" s="5" t="str">
        <f>"168.48"</f>
        <v>168.48</v>
      </c>
      <c r="L117" s="5"/>
      <c r="M117" s="5"/>
      <c r="N117" s="5" t="str">
        <f>"131.45"</f>
        <v>131.45</v>
      </c>
      <c r="O117" s="5"/>
      <c r="P117" s="5"/>
      <c r="Q117" s="5"/>
      <c r="R117" s="5"/>
      <c r="S117" s="5" t="str">
        <f>"113.30"</f>
        <v>113.30</v>
      </c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13.5" customHeight="1">
      <c r="A118" s="8">
        <v>116</v>
      </c>
      <c r="B118" s="8">
        <v>3678</v>
      </c>
      <c r="C118" s="9" t="s">
        <v>381</v>
      </c>
      <c r="D118" s="8" t="s">
        <v>27</v>
      </c>
      <c r="E118" s="8" t="str">
        <f>"105.15"</f>
        <v>105.15</v>
      </c>
      <c r="F118" s="8"/>
      <c r="G118" s="3">
        <v>122.91</v>
      </c>
      <c r="H118" s="10"/>
      <c r="I118" s="8">
        <v>3</v>
      </c>
      <c r="J118" s="10">
        <v>2017</v>
      </c>
      <c r="K118" s="5" t="str">
        <f>"105.15"</f>
        <v>105.15</v>
      </c>
      <c r="L118" s="5"/>
      <c r="M118" s="5"/>
      <c r="N118" s="5"/>
      <c r="O118" s="5" t="str">
        <f>"127.68"</f>
        <v>127.68</v>
      </c>
      <c r="P118" s="5"/>
      <c r="Q118" s="5"/>
      <c r="R118" s="5"/>
      <c r="S118" s="5"/>
      <c r="T118" s="5" t="str">
        <f>"118.14"</f>
        <v>118.14</v>
      </c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3.5" customHeight="1">
      <c r="A119" s="8">
        <v>117</v>
      </c>
      <c r="B119" s="8">
        <v>7585</v>
      </c>
      <c r="C119" s="9" t="s">
        <v>576</v>
      </c>
      <c r="D119" s="8" t="s">
        <v>577</v>
      </c>
      <c r="E119" s="8" t="str">
        <f>"114.90"</f>
        <v>114.90</v>
      </c>
      <c r="F119" s="8"/>
      <c r="G119" s="3">
        <v>123.3</v>
      </c>
      <c r="H119" s="10" t="s">
        <v>1241</v>
      </c>
      <c r="I119" s="8">
        <v>2</v>
      </c>
      <c r="J119" s="10">
        <v>2018</v>
      </c>
      <c r="K119" s="5" t="str">
        <f>"120.49"</f>
        <v>120.49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 t="str">
        <f>"109.30"</f>
        <v>109.30</v>
      </c>
      <c r="AB119" s="5"/>
      <c r="AC119" s="5"/>
      <c r="AD119" s="5"/>
    </row>
    <row r="120" spans="1:30" ht="13.5" customHeight="1">
      <c r="A120" s="8">
        <v>118</v>
      </c>
      <c r="B120" s="8">
        <v>2243</v>
      </c>
      <c r="C120" s="9" t="s">
        <v>285</v>
      </c>
      <c r="D120" s="8" t="s">
        <v>16</v>
      </c>
      <c r="E120" s="8" t="str">
        <f>"123.81"</f>
        <v>123.81</v>
      </c>
      <c r="F120" s="8"/>
      <c r="G120" s="3">
        <v>123.81</v>
      </c>
      <c r="H120" s="10"/>
      <c r="I120" s="8">
        <v>3</v>
      </c>
      <c r="J120" s="10">
        <v>2017</v>
      </c>
      <c r="K120" s="5" t="str">
        <f>"148.48"</f>
        <v>148.48</v>
      </c>
      <c r="L120" s="5"/>
      <c r="M120" s="5" t="str">
        <f>"120.82"</f>
        <v>120.82</v>
      </c>
      <c r="N120" s="5"/>
      <c r="O120" s="5"/>
      <c r="P120" s="5"/>
      <c r="Q120" s="5"/>
      <c r="R120" s="5"/>
      <c r="S120" s="5"/>
      <c r="T120" s="5"/>
      <c r="U120" s="5"/>
      <c r="V120" s="5"/>
      <c r="W120" s="5" t="str">
        <f>"126.79"</f>
        <v>126.79</v>
      </c>
      <c r="X120" s="5"/>
      <c r="Y120" s="5"/>
      <c r="Z120" s="5"/>
      <c r="AA120" s="5"/>
      <c r="AB120" s="5"/>
      <c r="AC120" s="5"/>
      <c r="AD120" s="5" t="str">
        <f>"287.96"</f>
        <v>287.96</v>
      </c>
    </row>
    <row r="121" spans="1:30" ht="13.5" customHeight="1">
      <c r="A121" s="8">
        <v>119</v>
      </c>
      <c r="B121" s="8">
        <v>6871</v>
      </c>
      <c r="C121" s="9" t="s">
        <v>374</v>
      </c>
      <c r="D121" s="8" t="s">
        <v>51</v>
      </c>
      <c r="E121" s="8" t="str">
        <f>"96.62"</f>
        <v>96.62</v>
      </c>
      <c r="F121" s="8"/>
      <c r="G121" s="3">
        <v>124.62</v>
      </c>
      <c r="H121" s="10" t="s">
        <v>18</v>
      </c>
      <c r="I121" s="8">
        <v>1</v>
      </c>
      <c r="J121" s="10">
        <v>2017</v>
      </c>
      <c r="K121" s="5" t="str">
        <f>"96.62"</f>
        <v>96.62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3.5" customHeight="1">
      <c r="A122" s="8">
        <v>120</v>
      </c>
      <c r="B122" s="8">
        <v>10812</v>
      </c>
      <c r="C122" s="9" t="s">
        <v>216</v>
      </c>
      <c r="D122" s="8" t="s">
        <v>29</v>
      </c>
      <c r="E122" s="8" t="str">
        <f>"124.96"</f>
        <v>124.96</v>
      </c>
      <c r="F122" s="8"/>
      <c r="G122" s="3">
        <v>124.96</v>
      </c>
      <c r="H122" s="10"/>
      <c r="I122" s="8">
        <v>3</v>
      </c>
      <c r="J122" s="10">
        <v>2017</v>
      </c>
      <c r="K122" s="5" t="str">
        <f>"185.27"</f>
        <v>185.27</v>
      </c>
      <c r="L122" s="5"/>
      <c r="M122" s="5"/>
      <c r="N122" s="5"/>
      <c r="O122" s="5"/>
      <c r="P122" s="5"/>
      <c r="Q122" s="5" t="str">
        <f>"140.04"</f>
        <v>140.04</v>
      </c>
      <c r="R122" s="5" t="str">
        <f>"160.06"</f>
        <v>160.06</v>
      </c>
      <c r="S122" s="5"/>
      <c r="T122" s="5"/>
      <c r="U122" s="5" t="str">
        <f>"207.52"</f>
        <v>207.52</v>
      </c>
      <c r="V122" s="5"/>
      <c r="W122" s="5"/>
      <c r="X122" s="5" t="str">
        <f>"109.87"</f>
        <v>109.87</v>
      </c>
      <c r="Y122" s="5"/>
      <c r="Z122" s="5"/>
      <c r="AA122" s="5"/>
      <c r="AB122" s="5"/>
      <c r="AC122" s="5"/>
      <c r="AD122" s="5"/>
    </row>
    <row r="123" spans="1:30" ht="13.5" customHeight="1">
      <c r="A123" s="8">
        <v>121</v>
      </c>
      <c r="B123" s="8">
        <v>7217</v>
      </c>
      <c r="C123" s="9" t="s">
        <v>126</v>
      </c>
      <c r="D123" s="8" t="s">
        <v>117</v>
      </c>
      <c r="E123" s="8" t="str">
        <f>"97.35"</f>
        <v>97.35</v>
      </c>
      <c r="F123" s="8"/>
      <c r="G123" s="3">
        <v>125.35</v>
      </c>
      <c r="H123" s="10" t="s">
        <v>18</v>
      </c>
      <c r="I123" s="8">
        <v>1</v>
      </c>
      <c r="J123" s="10">
        <v>2017</v>
      </c>
      <c r="K123" s="5" t="str">
        <f>"97.35"</f>
        <v>97.35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13.5" customHeight="1">
      <c r="A124" s="8">
        <v>122</v>
      </c>
      <c r="B124" s="8">
        <v>6313</v>
      </c>
      <c r="C124" s="9" t="s">
        <v>212</v>
      </c>
      <c r="D124" s="8" t="s">
        <v>213</v>
      </c>
      <c r="E124" s="8" t="str">
        <f>"99.38"</f>
        <v>99.38</v>
      </c>
      <c r="F124" s="8"/>
      <c r="G124" s="3">
        <v>126.26</v>
      </c>
      <c r="H124" s="10"/>
      <c r="I124" s="8">
        <v>3</v>
      </c>
      <c r="J124" s="10">
        <v>2018</v>
      </c>
      <c r="K124" s="5" t="str">
        <f>"99.38"</f>
        <v>99.38</v>
      </c>
      <c r="L124" s="5"/>
      <c r="M124" s="5"/>
      <c r="N124" s="5" t="str">
        <f>"134.79"</f>
        <v>134.79</v>
      </c>
      <c r="O124" s="5"/>
      <c r="P124" s="5"/>
      <c r="Q124" s="5"/>
      <c r="R124" s="5"/>
      <c r="S124" s="5" t="str">
        <f>"138.32"</f>
        <v>138.32</v>
      </c>
      <c r="T124" s="5"/>
      <c r="U124" s="5"/>
      <c r="V124" s="5"/>
      <c r="W124" s="5"/>
      <c r="X124" s="5" t="str">
        <f>"126.76"</f>
        <v>126.76</v>
      </c>
      <c r="Y124" s="5" t="str">
        <f>"125.76"</f>
        <v>125.76</v>
      </c>
      <c r="Z124" s="5"/>
      <c r="AA124" s="5"/>
      <c r="AB124" s="5"/>
      <c r="AC124" s="5"/>
      <c r="AD124" s="5"/>
    </row>
    <row r="125" spans="1:30" ht="13.5" customHeight="1">
      <c r="A125" s="8">
        <v>123</v>
      </c>
      <c r="B125" s="8">
        <v>2519</v>
      </c>
      <c r="C125" s="9" t="s">
        <v>265</v>
      </c>
      <c r="D125" s="8" t="s">
        <v>117</v>
      </c>
      <c r="E125" s="8" t="str">
        <f>"81.35"</f>
        <v>81.35</v>
      </c>
      <c r="F125" s="8"/>
      <c r="G125" s="3">
        <v>126.56</v>
      </c>
      <c r="H125" s="10" t="s">
        <v>12</v>
      </c>
      <c r="I125" s="8">
        <v>2</v>
      </c>
      <c r="J125" s="10">
        <v>2017</v>
      </c>
      <c r="K125" s="5" t="str">
        <f>"81.35"</f>
        <v>81.35</v>
      </c>
      <c r="L125" s="5"/>
      <c r="M125" s="5"/>
      <c r="N125" s="5"/>
      <c r="O125" s="5" t="str">
        <f>"98.56"</f>
        <v>98.56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3.5" customHeight="1">
      <c r="A126" s="8">
        <v>124</v>
      </c>
      <c r="B126" s="8">
        <v>4124</v>
      </c>
      <c r="C126" s="9" t="s">
        <v>650</v>
      </c>
      <c r="D126" s="8" t="s">
        <v>14</v>
      </c>
      <c r="E126" s="8" t="str">
        <f>"99.75"</f>
        <v>99.75</v>
      </c>
      <c r="F126" s="8"/>
      <c r="G126" s="3">
        <v>127.75</v>
      </c>
      <c r="H126" s="10" t="s">
        <v>18</v>
      </c>
      <c r="I126" s="8">
        <v>1</v>
      </c>
      <c r="J126" s="10">
        <v>2017</v>
      </c>
      <c r="K126" s="5" t="str">
        <f>"99.75"</f>
        <v>99.75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3.5" customHeight="1">
      <c r="A127" s="8">
        <v>125</v>
      </c>
      <c r="B127" s="8">
        <v>7851</v>
      </c>
      <c r="C127" s="9" t="s">
        <v>98</v>
      </c>
      <c r="D127" s="8" t="s">
        <v>16</v>
      </c>
      <c r="E127" s="8" t="str">
        <f>"128.36"</f>
        <v>128.36</v>
      </c>
      <c r="F127" s="8"/>
      <c r="G127" s="3">
        <v>128.36000000000001</v>
      </c>
      <c r="H127" s="10"/>
      <c r="I127" s="8">
        <v>3</v>
      </c>
      <c r="J127" s="10">
        <v>2017</v>
      </c>
      <c r="K127" s="5" t="str">
        <f>"158.35"</f>
        <v>158.35</v>
      </c>
      <c r="L127" s="5"/>
      <c r="M127" s="5"/>
      <c r="N127" s="5"/>
      <c r="O127" s="5"/>
      <c r="P127" s="5"/>
      <c r="Q127" s="5" t="str">
        <f>"127.82"</f>
        <v>127.82</v>
      </c>
      <c r="R127" s="5" t="str">
        <f>"128.90"</f>
        <v>128.90</v>
      </c>
      <c r="S127" s="5"/>
      <c r="T127" s="5"/>
      <c r="U127" s="5" t="str">
        <f>"139.92"</f>
        <v>139.92</v>
      </c>
      <c r="V127" s="5"/>
      <c r="W127" s="5"/>
      <c r="X127" s="5"/>
      <c r="Y127" s="5"/>
      <c r="Z127" s="5"/>
      <c r="AA127" s="5"/>
      <c r="AB127" s="5"/>
      <c r="AC127" s="5"/>
      <c r="AD127" s="5" t="str">
        <f>"163.81"</f>
        <v>163.81</v>
      </c>
    </row>
    <row r="128" spans="1:30" ht="13.5" customHeight="1">
      <c r="A128" s="8">
        <v>126</v>
      </c>
      <c r="B128" s="8">
        <v>10209</v>
      </c>
      <c r="C128" s="9" t="s">
        <v>220</v>
      </c>
      <c r="D128" s="8" t="s">
        <v>16</v>
      </c>
      <c r="E128" s="8" t="str">
        <f>"124.92"</f>
        <v>124.92</v>
      </c>
      <c r="F128" s="8"/>
      <c r="G128" s="3">
        <v>129.4</v>
      </c>
      <c r="H128" s="10"/>
      <c r="I128" s="8">
        <v>3</v>
      </c>
      <c r="J128" s="10">
        <v>2017</v>
      </c>
      <c r="K128" s="5" t="str">
        <f>"129.81"</f>
        <v>129.81</v>
      </c>
      <c r="L128" s="5"/>
      <c r="M128" s="5" t="str">
        <f>"193.99"</f>
        <v>193.99</v>
      </c>
      <c r="N128" s="5"/>
      <c r="O128" s="5"/>
      <c r="P128" s="5"/>
      <c r="Q128" s="5"/>
      <c r="R128" s="5"/>
      <c r="S128" s="5"/>
      <c r="T128" s="5"/>
      <c r="U128" s="5"/>
      <c r="V128" s="5"/>
      <c r="W128" s="5" t="str">
        <f>"138.77"</f>
        <v>138.77</v>
      </c>
      <c r="X128" s="5"/>
      <c r="Y128" s="5"/>
      <c r="Z128" s="5"/>
      <c r="AA128" s="5"/>
      <c r="AB128" s="5"/>
      <c r="AC128" s="5"/>
      <c r="AD128" s="5" t="str">
        <f>"120.03"</f>
        <v>120.03</v>
      </c>
    </row>
    <row r="129" spans="1:30" ht="13.5" customHeight="1">
      <c r="A129" s="8">
        <v>127</v>
      </c>
      <c r="B129" s="8">
        <v>1764</v>
      </c>
      <c r="C129" s="9" t="s">
        <v>293</v>
      </c>
      <c r="D129" s="8" t="s">
        <v>294</v>
      </c>
      <c r="E129" s="8" t="str">
        <f>"101.48"</f>
        <v>101.48</v>
      </c>
      <c r="F129" s="8"/>
      <c r="G129" s="3">
        <v>129.47999999999999</v>
      </c>
      <c r="H129" s="10" t="s">
        <v>18</v>
      </c>
      <c r="I129" s="8">
        <v>1</v>
      </c>
      <c r="J129" s="10">
        <v>2017</v>
      </c>
      <c r="K129" s="5" t="str">
        <f>"101.48"</f>
        <v>101.48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3.5" customHeight="1">
      <c r="A130" s="8">
        <v>128</v>
      </c>
      <c r="B130" s="8">
        <v>4108</v>
      </c>
      <c r="C130" s="9" t="s">
        <v>112</v>
      </c>
      <c r="D130" s="8" t="s">
        <v>22</v>
      </c>
      <c r="E130" s="8" t="str">
        <f>"108.82"</f>
        <v>108.82</v>
      </c>
      <c r="F130" s="8"/>
      <c r="G130" s="3">
        <v>129.72</v>
      </c>
      <c r="H130" s="10"/>
      <c r="I130" s="8">
        <v>3</v>
      </c>
      <c r="J130" s="10">
        <v>2017</v>
      </c>
      <c r="K130" s="5" t="str">
        <f>"126.77"</f>
        <v>126.77</v>
      </c>
      <c r="L130" s="5"/>
      <c r="M130" s="5"/>
      <c r="N130" s="5"/>
      <c r="O130" s="5" t="str">
        <f>"90.86"</f>
        <v>90.86</v>
      </c>
      <c r="P130" s="5"/>
      <c r="Q130" s="5"/>
      <c r="R130" s="5"/>
      <c r="S130" s="5"/>
      <c r="T130" s="5"/>
      <c r="U130" s="5"/>
      <c r="V130" s="5"/>
      <c r="W130" s="5"/>
      <c r="X130" s="5" t="str">
        <f>"168.57"</f>
        <v>168.57</v>
      </c>
      <c r="Y130" s="5"/>
      <c r="Z130" s="5"/>
      <c r="AA130" s="5"/>
      <c r="AB130" s="5"/>
      <c r="AC130" s="5"/>
      <c r="AD130" s="5"/>
    </row>
    <row r="131" spans="1:30" ht="13.5" customHeight="1">
      <c r="A131" s="8">
        <v>129</v>
      </c>
      <c r="B131" s="8">
        <v>7891</v>
      </c>
      <c r="C131" s="9" t="s">
        <v>61</v>
      </c>
      <c r="D131" s="8" t="s">
        <v>62</v>
      </c>
      <c r="E131" s="8" t="str">
        <f>"129.92"</f>
        <v>129.92</v>
      </c>
      <c r="F131" s="8"/>
      <c r="G131" s="3">
        <v>129.91999999999999</v>
      </c>
      <c r="H131" s="10"/>
      <c r="I131" s="8">
        <v>3</v>
      </c>
      <c r="J131" s="10">
        <v>2017</v>
      </c>
      <c r="K131" s="5" t="str">
        <f>"148.74"</f>
        <v>148.74</v>
      </c>
      <c r="L131" s="5"/>
      <c r="M131" s="5"/>
      <c r="N131" s="5" t="str">
        <f>"142.96"</f>
        <v>142.96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 t="str">
        <f>"116.88"</f>
        <v>116.88</v>
      </c>
      <c r="Z131" s="5"/>
      <c r="AA131" s="5"/>
      <c r="AB131" s="5"/>
      <c r="AC131" s="5"/>
      <c r="AD131" s="5"/>
    </row>
    <row r="132" spans="1:30" ht="13.5" customHeight="1">
      <c r="A132" s="8">
        <v>130</v>
      </c>
      <c r="B132" s="8">
        <v>10537</v>
      </c>
      <c r="C132" s="9" t="s">
        <v>299</v>
      </c>
      <c r="D132" s="8" t="s">
        <v>16</v>
      </c>
      <c r="E132" s="8" t="str">
        <f>"118.47"</f>
        <v>118.47</v>
      </c>
      <c r="F132" s="8"/>
      <c r="G132" s="3">
        <v>130.06</v>
      </c>
      <c r="H132" s="10"/>
      <c r="I132" s="8">
        <v>3</v>
      </c>
      <c r="J132" s="10">
        <v>2017</v>
      </c>
      <c r="K132" s="5" t="str">
        <f>"118.47"</f>
        <v>118.47</v>
      </c>
      <c r="L132" s="5"/>
      <c r="M132" s="5" t="str">
        <f>"131.79"</f>
        <v>131.79</v>
      </c>
      <c r="N132" s="5"/>
      <c r="O132" s="5"/>
      <c r="P132" s="5"/>
      <c r="Q132" s="5"/>
      <c r="R132" s="5"/>
      <c r="S132" s="5"/>
      <c r="T132" s="5"/>
      <c r="U132" s="5"/>
      <c r="V132" s="5"/>
      <c r="W132" s="5" t="str">
        <f>"128.33"</f>
        <v>128.33</v>
      </c>
      <c r="X132" s="5"/>
      <c r="Y132" s="5"/>
      <c r="Z132" s="5"/>
      <c r="AA132" s="5"/>
      <c r="AB132" s="5"/>
      <c r="AC132" s="5"/>
      <c r="AD132" s="5"/>
    </row>
    <row r="133" spans="1:30" ht="13.5" customHeight="1">
      <c r="A133" s="8">
        <v>131</v>
      </c>
      <c r="B133" s="8">
        <v>778</v>
      </c>
      <c r="C133" s="9" t="s">
        <v>704</v>
      </c>
      <c r="D133" s="8" t="s">
        <v>705</v>
      </c>
      <c r="E133" s="8" t="str">
        <f>"109.14"</f>
        <v>109.14</v>
      </c>
      <c r="F133" s="8"/>
      <c r="G133" s="3">
        <v>130.08000000000001</v>
      </c>
      <c r="H133" s="10" t="s">
        <v>12</v>
      </c>
      <c r="I133" s="8">
        <v>2</v>
      </c>
      <c r="J133" s="10">
        <v>2017</v>
      </c>
      <c r="K133" s="5" t="str">
        <f>"116.20"</f>
        <v>116.20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 t="str">
        <f>"102.08"</f>
        <v>102.08</v>
      </c>
      <c r="AA133" s="5"/>
      <c r="AB133" s="5"/>
      <c r="AC133" s="5"/>
      <c r="AD133" s="5"/>
    </row>
    <row r="134" spans="1:30" ht="13.5" customHeight="1">
      <c r="A134" s="8">
        <v>132</v>
      </c>
      <c r="B134" s="8">
        <v>4196</v>
      </c>
      <c r="C134" s="9" t="s">
        <v>193</v>
      </c>
      <c r="D134" s="8" t="s">
        <v>16</v>
      </c>
      <c r="E134" s="8" t="str">
        <f>"130.12"</f>
        <v>130.12</v>
      </c>
      <c r="F134" s="8"/>
      <c r="G134" s="3">
        <v>130.12</v>
      </c>
      <c r="H134" s="10"/>
      <c r="I134" s="8">
        <v>3</v>
      </c>
      <c r="J134" s="10">
        <v>2017</v>
      </c>
      <c r="K134" s="5" t="str">
        <f>"188.67"</f>
        <v>188.67</v>
      </c>
      <c r="L134" s="5"/>
      <c r="M134" s="5"/>
      <c r="N134" s="5"/>
      <c r="O134" s="5"/>
      <c r="P134" s="5"/>
      <c r="Q134" s="5" t="str">
        <f>"126.38"</f>
        <v>126.38</v>
      </c>
      <c r="R134" s="5"/>
      <c r="S134" s="5"/>
      <c r="T134" s="5"/>
      <c r="U134" s="5" t="str">
        <f>"133.86"</f>
        <v>133.86</v>
      </c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3.5" customHeight="1">
      <c r="A135" s="8">
        <v>133</v>
      </c>
      <c r="B135" s="8">
        <v>3703</v>
      </c>
      <c r="C135" s="9" t="s">
        <v>199</v>
      </c>
      <c r="D135" s="8" t="s">
        <v>11</v>
      </c>
      <c r="E135" s="8" t="str">
        <f>"95.37"</f>
        <v>95.37</v>
      </c>
      <c r="F135" s="8"/>
      <c r="G135" s="3">
        <v>130.18</v>
      </c>
      <c r="H135" s="10" t="s">
        <v>12</v>
      </c>
      <c r="I135" s="8">
        <v>2</v>
      </c>
      <c r="J135" s="10">
        <v>2018</v>
      </c>
      <c r="K135" s="5" t="str">
        <f>"95.37"</f>
        <v>95.37</v>
      </c>
      <c r="L135" s="5"/>
      <c r="M135" s="5"/>
      <c r="N135" s="5"/>
      <c r="O135" s="5"/>
      <c r="P135" s="5"/>
      <c r="Q135" s="5"/>
      <c r="R135" s="5"/>
      <c r="S135" s="5" t="str">
        <f>"102.18"</f>
        <v>102.18</v>
      </c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3.5" customHeight="1">
      <c r="A136" s="8">
        <v>134</v>
      </c>
      <c r="B136" s="8">
        <v>3630</v>
      </c>
      <c r="C136" s="9" t="s">
        <v>35</v>
      </c>
      <c r="D136" s="8" t="s">
        <v>22</v>
      </c>
      <c r="E136" s="8" t="str">
        <f>"124.36"</f>
        <v>124.36</v>
      </c>
      <c r="F136" s="8"/>
      <c r="G136" s="3">
        <v>130.51</v>
      </c>
      <c r="H136" s="10" t="s">
        <v>12</v>
      </c>
      <c r="I136" s="8">
        <v>2</v>
      </c>
      <c r="J136" s="10">
        <v>2017</v>
      </c>
      <c r="K136" s="5" t="str">
        <f>"146.21"</f>
        <v>146.21</v>
      </c>
      <c r="L136" s="5"/>
      <c r="M136" s="5"/>
      <c r="N136" s="5" t="str">
        <f>"102.51"</f>
        <v>102.51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3.5" customHeight="1">
      <c r="A137" s="8">
        <v>135</v>
      </c>
      <c r="B137" s="8">
        <v>5722</v>
      </c>
      <c r="C137" s="9" t="s">
        <v>298</v>
      </c>
      <c r="D137" s="8" t="s">
        <v>16</v>
      </c>
      <c r="E137" s="8" t="str">
        <f>"131.92"</f>
        <v>131.92</v>
      </c>
      <c r="F137" s="8"/>
      <c r="G137" s="3">
        <v>131.91999999999999</v>
      </c>
      <c r="H137" s="10"/>
      <c r="I137" s="8">
        <v>3</v>
      </c>
      <c r="J137" s="10">
        <v>2017</v>
      </c>
      <c r="K137" s="5" t="str">
        <f>"171.65"</f>
        <v>171.65</v>
      </c>
      <c r="L137" s="5"/>
      <c r="M137" s="5"/>
      <c r="N137" s="5"/>
      <c r="O137" s="5"/>
      <c r="P137" s="5"/>
      <c r="Q137" s="5"/>
      <c r="R137" s="5" t="str">
        <f>"502.38"</f>
        <v>502.38</v>
      </c>
      <c r="S137" s="5"/>
      <c r="T137" s="5"/>
      <c r="U137" s="5"/>
      <c r="V137" s="5"/>
      <c r="W137" s="5"/>
      <c r="X137" s="5" t="str">
        <f>"138.93"</f>
        <v>138.93</v>
      </c>
      <c r="Y137" s="5"/>
      <c r="Z137" s="5"/>
      <c r="AA137" s="5"/>
      <c r="AB137" s="5" t="str">
        <f>"124.90"</f>
        <v>124.90</v>
      </c>
      <c r="AC137" s="5"/>
      <c r="AD137" s="5"/>
    </row>
    <row r="138" spans="1:30" ht="13.5" customHeight="1">
      <c r="A138" s="8">
        <v>136</v>
      </c>
      <c r="B138" s="8">
        <v>11081</v>
      </c>
      <c r="C138" s="9" t="s">
        <v>186</v>
      </c>
      <c r="D138" s="8" t="s">
        <v>119</v>
      </c>
      <c r="E138" s="8" t="str">
        <f>"80.33"</f>
        <v>80.33</v>
      </c>
      <c r="F138" s="8"/>
      <c r="G138" s="3">
        <v>132</v>
      </c>
      <c r="H138" s="10" t="s">
        <v>12</v>
      </c>
      <c r="I138" s="8">
        <v>2</v>
      </c>
      <c r="J138" s="10">
        <v>2017</v>
      </c>
      <c r="K138" s="5" t="str">
        <f>"80.33"</f>
        <v>80.33</v>
      </c>
      <c r="L138" s="5"/>
      <c r="M138" s="5"/>
      <c r="N138" s="5" t="str">
        <f>"104.00"</f>
        <v>104.00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13.5" customHeight="1">
      <c r="A139" s="8">
        <v>137</v>
      </c>
      <c r="B139" s="8">
        <v>3954</v>
      </c>
      <c r="C139" s="9" t="s">
        <v>278</v>
      </c>
      <c r="D139" s="8" t="s">
        <v>26</v>
      </c>
      <c r="E139" s="8" t="str">
        <f>"89.37"</f>
        <v>89.37</v>
      </c>
      <c r="F139" s="8"/>
      <c r="G139" s="3">
        <v>132.02000000000001</v>
      </c>
      <c r="H139" s="10"/>
      <c r="I139" s="8">
        <v>3</v>
      </c>
      <c r="J139" s="10">
        <v>2018</v>
      </c>
      <c r="K139" s="5" t="str">
        <f>"89.37"</f>
        <v>89.37</v>
      </c>
      <c r="L139" s="5"/>
      <c r="M139" s="5"/>
      <c r="N139" s="5"/>
      <c r="O139" s="5" t="str">
        <f>"128.21"</f>
        <v>128.21</v>
      </c>
      <c r="P139" s="5"/>
      <c r="Q139" s="5"/>
      <c r="R139" s="5"/>
      <c r="S139" s="5"/>
      <c r="T139" s="5" t="str">
        <f>"135.83"</f>
        <v>135.83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13.5" customHeight="1">
      <c r="A140" s="8">
        <v>138</v>
      </c>
      <c r="B140" s="8">
        <v>11359</v>
      </c>
      <c r="C140" s="9" t="s">
        <v>351</v>
      </c>
      <c r="D140" s="8" t="s">
        <v>352</v>
      </c>
      <c r="E140" s="8" t="str">
        <f>"133.15"</f>
        <v>133.15</v>
      </c>
      <c r="F140" s="8"/>
      <c r="G140" s="3">
        <v>133.15</v>
      </c>
      <c r="H140" s="10" t="s">
        <v>12</v>
      </c>
      <c r="I140" s="8">
        <v>4</v>
      </c>
      <c r="J140" s="10">
        <v>2017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 t="str">
        <f>"105.15"</f>
        <v>105.15</v>
      </c>
      <c r="Y140" s="5"/>
      <c r="Z140" s="5"/>
      <c r="AA140" s="5"/>
      <c r="AB140" s="5"/>
      <c r="AC140" s="5"/>
      <c r="AD140" s="5"/>
    </row>
    <row r="141" spans="1:30" ht="13.5" customHeight="1">
      <c r="A141" s="8">
        <v>139</v>
      </c>
      <c r="B141" s="8">
        <v>10107</v>
      </c>
      <c r="C141" s="9" t="s">
        <v>70</v>
      </c>
      <c r="D141" s="8" t="s">
        <v>71</v>
      </c>
      <c r="E141" s="8" t="str">
        <f>"134.99"</f>
        <v>134.99</v>
      </c>
      <c r="F141" s="8"/>
      <c r="G141" s="3">
        <v>134.99</v>
      </c>
      <c r="H141" s="10" t="s">
        <v>12</v>
      </c>
      <c r="I141" s="8">
        <v>4</v>
      </c>
      <c r="J141" s="10">
        <v>2017</v>
      </c>
      <c r="K141" s="5"/>
      <c r="L141" s="5"/>
      <c r="M141" s="5"/>
      <c r="N141" s="5" t="str">
        <f>"106.99"</f>
        <v>106.99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13.5" customHeight="1">
      <c r="A142" s="8">
        <v>140</v>
      </c>
      <c r="B142" s="8">
        <v>2847</v>
      </c>
      <c r="C142" s="9" t="s">
        <v>174</v>
      </c>
      <c r="D142" s="8" t="s">
        <v>105</v>
      </c>
      <c r="E142" s="8" t="str">
        <f>"95.95"</f>
        <v>95.95</v>
      </c>
      <c r="F142" s="8"/>
      <c r="G142" s="3">
        <v>135.55000000000001</v>
      </c>
      <c r="H142" s="10"/>
      <c r="I142" s="8">
        <v>3</v>
      </c>
      <c r="J142" s="10">
        <v>2017</v>
      </c>
      <c r="K142" s="5" t="str">
        <f>"105.14"</f>
        <v>105.14</v>
      </c>
      <c r="L142" s="5"/>
      <c r="M142" s="5"/>
      <c r="N142" s="5" t="str">
        <f>"184.34"</f>
        <v>184.34</v>
      </c>
      <c r="O142" s="5"/>
      <c r="P142" s="5"/>
      <c r="Q142" s="5"/>
      <c r="R142" s="5"/>
      <c r="S142" s="5" t="str">
        <f>"86.76"</f>
        <v>86.76</v>
      </c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13.5" customHeight="1">
      <c r="A143" s="8">
        <v>141</v>
      </c>
      <c r="B143" s="8">
        <v>10342</v>
      </c>
      <c r="C143" s="9" t="s">
        <v>321</v>
      </c>
      <c r="D143" s="8" t="s">
        <v>16</v>
      </c>
      <c r="E143" s="8" t="str">
        <f>"127.14"</f>
        <v>127.14</v>
      </c>
      <c r="F143" s="8"/>
      <c r="G143" s="3">
        <v>135.66999999999999</v>
      </c>
      <c r="H143" s="10"/>
      <c r="I143" s="8">
        <v>3</v>
      </c>
      <c r="J143" s="10">
        <v>2017</v>
      </c>
      <c r="K143" s="5" t="str">
        <f>"147.79"</f>
        <v>147.79</v>
      </c>
      <c r="L143" s="5"/>
      <c r="M143" s="5" t="str">
        <f>"215.08"</f>
        <v>215.08</v>
      </c>
      <c r="N143" s="5"/>
      <c r="O143" s="5"/>
      <c r="P143" s="5"/>
      <c r="Q143" s="5"/>
      <c r="R143" s="5"/>
      <c r="S143" s="5"/>
      <c r="T143" s="5"/>
      <c r="U143" s="5"/>
      <c r="V143" s="5"/>
      <c r="W143" s="5" t="str">
        <f>"180.22"</f>
        <v>180.22</v>
      </c>
      <c r="X143" s="5" t="str">
        <f>"106.48"</f>
        <v>106.48</v>
      </c>
      <c r="Y143" s="5"/>
      <c r="Z143" s="5"/>
      <c r="AA143" s="5" t="str">
        <f>"164.85"</f>
        <v>164.85</v>
      </c>
      <c r="AB143" s="5"/>
      <c r="AC143" s="5"/>
      <c r="AD143" s="5"/>
    </row>
    <row r="144" spans="1:30" ht="13.5" customHeight="1">
      <c r="A144" s="8">
        <v>142</v>
      </c>
      <c r="B144" s="8">
        <v>5247</v>
      </c>
      <c r="C144" s="9" t="s">
        <v>148</v>
      </c>
      <c r="D144" s="8" t="s">
        <v>44</v>
      </c>
      <c r="E144" s="8" t="str">
        <f>"93.79"</f>
        <v>93.79</v>
      </c>
      <c r="F144" s="8"/>
      <c r="G144" s="3">
        <v>136.65</v>
      </c>
      <c r="H144" s="10" t="s">
        <v>12</v>
      </c>
      <c r="I144" s="8">
        <v>2</v>
      </c>
      <c r="J144" s="10">
        <v>2017</v>
      </c>
      <c r="K144" s="5" t="str">
        <f>"93.79"</f>
        <v>93.79</v>
      </c>
      <c r="L144" s="5"/>
      <c r="M144" s="5"/>
      <c r="N144" s="5"/>
      <c r="O144" s="5"/>
      <c r="P144" s="5"/>
      <c r="Q144" s="5"/>
      <c r="R144" s="5"/>
      <c r="S144" s="5" t="str">
        <f>"108.65"</f>
        <v>108.65</v>
      </c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3.5" customHeight="1">
      <c r="A145" s="8">
        <v>143</v>
      </c>
      <c r="B145" s="8">
        <v>7702</v>
      </c>
      <c r="C145" s="9" t="s">
        <v>563</v>
      </c>
      <c r="D145" s="8" t="s">
        <v>337</v>
      </c>
      <c r="E145" s="8" t="str">
        <f>"109.01"</f>
        <v>109.01</v>
      </c>
      <c r="F145" s="8"/>
      <c r="G145" s="3">
        <v>137.01</v>
      </c>
      <c r="H145" s="10" t="s">
        <v>18</v>
      </c>
      <c r="I145" s="8">
        <v>1</v>
      </c>
      <c r="J145" s="10">
        <v>2017</v>
      </c>
      <c r="K145" s="5" t="str">
        <f>"109.01"</f>
        <v>109.01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13.5" customHeight="1">
      <c r="A146" s="8">
        <v>144</v>
      </c>
      <c r="B146" s="8">
        <v>5483</v>
      </c>
      <c r="C146" s="9" t="s">
        <v>217</v>
      </c>
      <c r="D146" s="8" t="s">
        <v>29</v>
      </c>
      <c r="E146" s="8" t="str">
        <f>"137.02"</f>
        <v>137.02</v>
      </c>
      <c r="F146" s="8"/>
      <c r="G146" s="3">
        <v>137.02000000000001</v>
      </c>
      <c r="H146" s="10"/>
      <c r="I146" s="8">
        <v>3</v>
      </c>
      <c r="J146" s="10">
        <v>2017</v>
      </c>
      <c r="K146" s="5" t="str">
        <f>"185.36"</f>
        <v>185.36</v>
      </c>
      <c r="L146" s="5"/>
      <c r="M146" s="5"/>
      <c r="N146" s="5"/>
      <c r="O146" s="5"/>
      <c r="P146" s="5"/>
      <c r="Q146" s="5" t="str">
        <f>"130.60"</f>
        <v>130.60</v>
      </c>
      <c r="R146" s="5"/>
      <c r="S146" s="5"/>
      <c r="T146" s="5"/>
      <c r="U146" s="5" t="str">
        <f>"143.44"</f>
        <v>143.44</v>
      </c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13.5" customHeight="1">
      <c r="A147" s="8">
        <v>145</v>
      </c>
      <c r="B147" s="8">
        <v>3070</v>
      </c>
      <c r="C147" s="9" t="s">
        <v>1173</v>
      </c>
      <c r="D147" s="8" t="s">
        <v>108</v>
      </c>
      <c r="E147" s="8" t="str">
        <f>"109.68"</f>
        <v>109.68</v>
      </c>
      <c r="F147" s="8"/>
      <c r="G147" s="3">
        <v>137.68</v>
      </c>
      <c r="H147" s="10" t="s">
        <v>18</v>
      </c>
      <c r="I147" s="8">
        <v>1</v>
      </c>
      <c r="J147" s="10">
        <v>2017</v>
      </c>
      <c r="K147" s="5" t="str">
        <f>"109.68"</f>
        <v>109.68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13.5" customHeight="1">
      <c r="A148" s="8">
        <v>146</v>
      </c>
      <c r="B148" s="8">
        <v>4286</v>
      </c>
      <c r="C148" s="9" t="s">
        <v>194</v>
      </c>
      <c r="D148" s="8" t="s">
        <v>195</v>
      </c>
      <c r="E148" s="8" t="str">
        <f>"101.74"</f>
        <v>101.74</v>
      </c>
      <c r="F148" s="8"/>
      <c r="G148" s="3">
        <v>138.19</v>
      </c>
      <c r="H148" s="10" t="s">
        <v>12</v>
      </c>
      <c r="I148" s="8">
        <v>2</v>
      </c>
      <c r="J148" s="10">
        <v>2017</v>
      </c>
      <c r="K148" s="5" t="str">
        <f>"101.74"</f>
        <v>101.74</v>
      </c>
      <c r="L148" s="5"/>
      <c r="M148" s="5"/>
      <c r="N148" s="5" t="str">
        <f>"110.19"</f>
        <v>110.19</v>
      </c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13.5" customHeight="1">
      <c r="A149" s="8">
        <v>147</v>
      </c>
      <c r="B149" s="8">
        <v>3287</v>
      </c>
      <c r="C149" s="9" t="s">
        <v>203</v>
      </c>
      <c r="D149" s="8" t="s">
        <v>204</v>
      </c>
      <c r="E149" s="8" t="str">
        <f>"110.29"</f>
        <v>110.29</v>
      </c>
      <c r="F149" s="8"/>
      <c r="G149" s="3">
        <v>138.29</v>
      </c>
      <c r="H149" s="10" t="s">
        <v>18</v>
      </c>
      <c r="I149" s="8">
        <v>1</v>
      </c>
      <c r="J149" s="10">
        <v>2017</v>
      </c>
      <c r="K149" s="5" t="str">
        <f>"110.29"</f>
        <v>110.29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3.5" customHeight="1">
      <c r="A150" s="8">
        <v>148</v>
      </c>
      <c r="B150" s="8">
        <v>10686</v>
      </c>
      <c r="C150" s="9" t="s">
        <v>376</v>
      </c>
      <c r="D150" s="8" t="s">
        <v>29</v>
      </c>
      <c r="E150" s="8" t="str">
        <f>"134.51"</f>
        <v>134.51</v>
      </c>
      <c r="F150" s="8"/>
      <c r="G150" s="3">
        <v>138.36000000000001</v>
      </c>
      <c r="H150" s="10"/>
      <c r="I150" s="8">
        <v>3</v>
      </c>
      <c r="J150" s="10">
        <v>2017</v>
      </c>
      <c r="K150" s="5" t="str">
        <f>"150.46"</f>
        <v>150.46</v>
      </c>
      <c r="L150" s="5"/>
      <c r="M150" s="5"/>
      <c r="N150" s="5"/>
      <c r="O150" s="5"/>
      <c r="P150" s="5"/>
      <c r="Q150" s="5" t="str">
        <f>"118.56"</f>
        <v>118.56</v>
      </c>
      <c r="R150" s="5" t="str">
        <f>"158.15"</f>
        <v>158.15</v>
      </c>
      <c r="S150" s="5"/>
      <c r="T150" s="5"/>
      <c r="U150" s="5" t="str">
        <f>"176.92"</f>
        <v>176.92</v>
      </c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3.5" customHeight="1">
      <c r="A151" s="8">
        <v>149</v>
      </c>
      <c r="B151" s="8">
        <v>2179</v>
      </c>
      <c r="C151" s="9" t="s">
        <v>281</v>
      </c>
      <c r="D151" s="8" t="s">
        <v>282</v>
      </c>
      <c r="E151" s="8" t="str">
        <f>"110.79"</f>
        <v>110.79</v>
      </c>
      <c r="F151" s="8"/>
      <c r="G151" s="3">
        <v>138.79</v>
      </c>
      <c r="H151" s="10" t="s">
        <v>18</v>
      </c>
      <c r="I151" s="8">
        <v>1</v>
      </c>
      <c r="J151" s="10">
        <v>2017</v>
      </c>
      <c r="K151" s="5" t="str">
        <f>"110.79"</f>
        <v>110.79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13.5" customHeight="1">
      <c r="A152" s="8">
        <v>150</v>
      </c>
      <c r="B152" s="8">
        <v>7843</v>
      </c>
      <c r="C152" s="9" t="s">
        <v>1215</v>
      </c>
      <c r="D152" s="8" t="s">
        <v>304</v>
      </c>
      <c r="E152" s="8" t="str">
        <f>"110.91"</f>
        <v>110.91</v>
      </c>
      <c r="F152" s="8"/>
      <c r="G152" s="3">
        <v>138.91</v>
      </c>
      <c r="H152" s="10" t="s">
        <v>18</v>
      </c>
      <c r="I152" s="8">
        <v>1</v>
      </c>
      <c r="J152" s="10">
        <v>2017</v>
      </c>
      <c r="K152" s="5" t="str">
        <f>"110.91"</f>
        <v>110.91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13.5" customHeight="1">
      <c r="A153" s="8">
        <v>151</v>
      </c>
      <c r="B153" s="8">
        <v>4883</v>
      </c>
      <c r="C153" s="9" t="s">
        <v>104</v>
      </c>
      <c r="D153" s="8" t="s">
        <v>105</v>
      </c>
      <c r="E153" s="8" t="str">
        <f>"120.02"</f>
        <v>120.02</v>
      </c>
      <c r="F153" s="8"/>
      <c r="G153" s="3">
        <v>139.04</v>
      </c>
      <c r="H153" s="10" t="s">
        <v>12</v>
      </c>
      <c r="I153" s="8">
        <v>2</v>
      </c>
      <c r="J153" s="10">
        <v>2017</v>
      </c>
      <c r="K153" s="5" t="str">
        <f>"128.99"</f>
        <v>128.99</v>
      </c>
      <c r="L153" s="5"/>
      <c r="M153" s="5"/>
      <c r="N153" s="5" t="str">
        <f>"111.04"</f>
        <v>111.04</v>
      </c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13.5" customHeight="1">
      <c r="A154" s="8">
        <v>152</v>
      </c>
      <c r="B154" s="8">
        <v>6125</v>
      </c>
      <c r="C154" s="9" t="s">
        <v>429</v>
      </c>
      <c r="D154" s="8" t="s">
        <v>29</v>
      </c>
      <c r="E154" s="8" t="str">
        <f>"111.04"</f>
        <v>111.04</v>
      </c>
      <c r="F154" s="8"/>
      <c r="G154" s="3">
        <v>139.04</v>
      </c>
      <c r="H154" s="10" t="s">
        <v>18</v>
      </c>
      <c r="I154" s="8">
        <v>1</v>
      </c>
      <c r="J154" s="10">
        <v>2017</v>
      </c>
      <c r="K154" s="5" t="str">
        <f>"111.04"</f>
        <v>111.04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13.5" customHeight="1">
      <c r="A155" s="8">
        <v>153</v>
      </c>
      <c r="B155" s="8">
        <v>11234</v>
      </c>
      <c r="C155" s="9" t="s">
        <v>262</v>
      </c>
      <c r="D155" s="8" t="s">
        <v>16</v>
      </c>
      <c r="E155" s="8" t="str">
        <f>"139.29"</f>
        <v>139.29</v>
      </c>
      <c r="F155" s="8"/>
      <c r="G155" s="3">
        <v>139.29</v>
      </c>
      <c r="H155" s="10"/>
      <c r="I155" s="8">
        <v>5</v>
      </c>
      <c r="J155" s="10">
        <v>2017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 t="str">
        <f>"148.06"</f>
        <v>148.06</v>
      </c>
      <c r="W155" s="5" t="str">
        <f>"143.64"</f>
        <v>143.64</v>
      </c>
      <c r="X155" s="5"/>
      <c r="Y155" s="5" t="str">
        <f>"280.89"</f>
        <v>280.89</v>
      </c>
      <c r="Z155" s="5"/>
      <c r="AA155" s="5" t="str">
        <f>"134.94"</f>
        <v>134.94</v>
      </c>
      <c r="AB155" s="5"/>
      <c r="AC155" s="5"/>
      <c r="AD155" s="5"/>
    </row>
    <row r="156" spans="1:30" ht="13.5" customHeight="1">
      <c r="A156" s="8">
        <v>154</v>
      </c>
      <c r="B156" s="8">
        <v>7006</v>
      </c>
      <c r="C156" s="9" t="s">
        <v>460</v>
      </c>
      <c r="D156" s="8" t="s">
        <v>51</v>
      </c>
      <c r="E156" s="8" t="str">
        <f>"112.20"</f>
        <v>112.20</v>
      </c>
      <c r="F156" s="8"/>
      <c r="G156" s="3">
        <v>140.19999999999999</v>
      </c>
      <c r="H156" s="10" t="s">
        <v>18</v>
      </c>
      <c r="I156" s="8">
        <v>1</v>
      </c>
      <c r="J156" s="10">
        <v>2017</v>
      </c>
      <c r="K156" s="5" t="str">
        <f>"112.20"</f>
        <v>112.20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13.5" customHeight="1">
      <c r="A157" s="8">
        <v>155</v>
      </c>
      <c r="B157" s="8">
        <v>10660</v>
      </c>
      <c r="C157" s="9" t="s">
        <v>88</v>
      </c>
      <c r="D157" s="8" t="s">
        <v>22</v>
      </c>
      <c r="E157" s="8" t="str">
        <f>"114.20"</f>
        <v>114.20</v>
      </c>
      <c r="F157" s="8"/>
      <c r="G157" s="3">
        <v>142.19999999999999</v>
      </c>
      <c r="H157" s="10" t="s">
        <v>18</v>
      </c>
      <c r="I157" s="8">
        <v>1</v>
      </c>
      <c r="J157" s="10">
        <v>2017</v>
      </c>
      <c r="K157" s="5" t="str">
        <f>"114.20"</f>
        <v>114.20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3.5" customHeight="1">
      <c r="A158" s="8">
        <v>156</v>
      </c>
      <c r="B158" s="8">
        <v>8378</v>
      </c>
      <c r="C158" s="9" t="s">
        <v>301</v>
      </c>
      <c r="D158" s="8" t="s">
        <v>302</v>
      </c>
      <c r="E158" s="8" t="str">
        <f>"142.80"</f>
        <v>142.80</v>
      </c>
      <c r="F158" s="8"/>
      <c r="G158" s="3">
        <v>142.80000000000001</v>
      </c>
      <c r="H158" s="10"/>
      <c r="I158" s="8">
        <v>3</v>
      </c>
      <c r="J158" s="10">
        <v>2017</v>
      </c>
      <c r="K158" s="5" t="str">
        <f>"169.06"</f>
        <v>169.06</v>
      </c>
      <c r="L158" s="5"/>
      <c r="M158" s="5"/>
      <c r="N158" s="5" t="str">
        <f>"186.54"</f>
        <v>186.54</v>
      </c>
      <c r="O158" s="5"/>
      <c r="P158" s="5"/>
      <c r="Q158" s="5"/>
      <c r="R158" s="5"/>
      <c r="S158" s="5"/>
      <c r="T158" s="5"/>
      <c r="U158" s="5"/>
      <c r="V158" s="5"/>
      <c r="W158" s="5"/>
      <c r="X158" s="5" t="str">
        <f>"126.17"</f>
        <v>126.17</v>
      </c>
      <c r="Y158" s="5" t="str">
        <f>"159.42"</f>
        <v>159.42</v>
      </c>
      <c r="Z158" s="5"/>
      <c r="AA158" s="5"/>
      <c r="AB158" s="5"/>
      <c r="AC158" s="5"/>
      <c r="AD158" s="5"/>
    </row>
    <row r="159" spans="1:30" ht="13.5" customHeight="1">
      <c r="A159" s="8">
        <v>157</v>
      </c>
      <c r="B159" s="8">
        <v>10350</v>
      </c>
      <c r="C159" s="9" t="s">
        <v>506</v>
      </c>
      <c r="D159" s="8" t="s">
        <v>24</v>
      </c>
      <c r="E159" s="8" t="str">
        <f>"115.41"</f>
        <v>115.41</v>
      </c>
      <c r="F159" s="8"/>
      <c r="G159" s="3">
        <v>143.41</v>
      </c>
      <c r="H159" s="10" t="s">
        <v>18</v>
      </c>
      <c r="I159" s="8">
        <v>1</v>
      </c>
      <c r="J159" s="10">
        <v>2017</v>
      </c>
      <c r="K159" s="5" t="str">
        <f>"115.41"</f>
        <v>115.41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13.5" customHeight="1">
      <c r="A160" s="8">
        <v>158</v>
      </c>
      <c r="B160" s="8">
        <v>5427</v>
      </c>
      <c r="C160" s="9" t="s">
        <v>206</v>
      </c>
      <c r="D160" s="8" t="s">
        <v>29</v>
      </c>
      <c r="E160" s="8" t="str">
        <f>"115.40"</f>
        <v>115.40</v>
      </c>
      <c r="F160" s="8"/>
      <c r="G160" s="3">
        <v>144.04</v>
      </c>
      <c r="H160" s="10" t="s">
        <v>12</v>
      </c>
      <c r="I160" s="8">
        <v>2</v>
      </c>
      <c r="J160" s="10">
        <v>2017</v>
      </c>
      <c r="K160" s="5" t="str">
        <f>"115.40"</f>
        <v>115.40</v>
      </c>
      <c r="L160" s="5"/>
      <c r="M160" s="5"/>
      <c r="N160" s="5"/>
      <c r="O160" s="5"/>
      <c r="P160" s="5"/>
      <c r="Q160" s="5" t="str">
        <f>"116.04"</f>
        <v>116.04</v>
      </c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13.5" customHeight="1">
      <c r="A161" s="8">
        <v>159</v>
      </c>
      <c r="B161" s="8">
        <v>10861</v>
      </c>
      <c r="C161" s="9" t="s">
        <v>361</v>
      </c>
      <c r="D161" s="8" t="s">
        <v>16</v>
      </c>
      <c r="E161" s="8" t="str">
        <f>"144.43"</f>
        <v>144.43</v>
      </c>
      <c r="F161" s="8"/>
      <c r="G161" s="3">
        <v>144.43</v>
      </c>
      <c r="H161" s="10"/>
      <c r="I161" s="8">
        <v>3</v>
      </c>
      <c r="J161" s="10">
        <v>2017</v>
      </c>
      <c r="K161" s="5" t="str">
        <f>"222.61"</f>
        <v>222.61</v>
      </c>
      <c r="L161" s="5" t="str">
        <f>"154.58"</f>
        <v>154.58</v>
      </c>
      <c r="M161" s="5" t="str">
        <f>"190.97"</f>
        <v>190.97</v>
      </c>
      <c r="N161" s="5" t="str">
        <f>"216.61"</f>
        <v>216.61</v>
      </c>
      <c r="O161" s="5"/>
      <c r="P161" s="5"/>
      <c r="Q161" s="5"/>
      <c r="R161" s="5"/>
      <c r="S161" s="5"/>
      <c r="T161" s="5"/>
      <c r="U161" s="5"/>
      <c r="V161" s="5" t="str">
        <f>"134.27"</f>
        <v>134.27</v>
      </c>
      <c r="W161" s="5" t="str">
        <f>"288.93"</f>
        <v>288.93</v>
      </c>
      <c r="X161" s="5"/>
      <c r="Y161" s="5"/>
      <c r="Z161" s="5"/>
      <c r="AA161" s="5" t="str">
        <f>"162.87"</f>
        <v>162.87</v>
      </c>
      <c r="AB161" s="5"/>
      <c r="AC161" s="5"/>
      <c r="AD161" s="5"/>
    </row>
    <row r="162" spans="1:30" ht="13.5" customHeight="1">
      <c r="A162" s="8">
        <v>160</v>
      </c>
      <c r="B162" s="8">
        <v>6310</v>
      </c>
      <c r="C162" s="9" t="s">
        <v>232</v>
      </c>
      <c r="D162" s="8" t="s">
        <v>117</v>
      </c>
      <c r="E162" s="8" t="str">
        <f>"73.69"</f>
        <v>73.69</v>
      </c>
      <c r="F162" s="8"/>
      <c r="G162" s="3">
        <v>144.80000000000001</v>
      </c>
      <c r="H162" s="10" t="s">
        <v>12</v>
      </c>
      <c r="I162" s="8">
        <v>2</v>
      </c>
      <c r="J162" s="10">
        <v>2017</v>
      </c>
      <c r="K162" s="5" t="str">
        <f>"73.69"</f>
        <v>73.69</v>
      </c>
      <c r="L162" s="5"/>
      <c r="M162" s="5"/>
      <c r="N162" s="5"/>
      <c r="O162" s="5" t="str">
        <f>"116.80"</f>
        <v>116.80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13.5" customHeight="1">
      <c r="A163" s="8">
        <v>161</v>
      </c>
      <c r="B163" s="8">
        <v>10409</v>
      </c>
      <c r="C163" s="9" t="s">
        <v>151</v>
      </c>
      <c r="D163" s="8" t="s">
        <v>16</v>
      </c>
      <c r="E163" s="8" t="str">
        <f>"144.82"</f>
        <v>144.82</v>
      </c>
      <c r="F163" s="8"/>
      <c r="G163" s="3">
        <v>144.82</v>
      </c>
      <c r="H163" s="10"/>
      <c r="I163" s="8">
        <v>3</v>
      </c>
      <c r="J163" s="10">
        <v>2017</v>
      </c>
      <c r="K163" s="5" t="str">
        <f>"237.04"</f>
        <v>237.04</v>
      </c>
      <c r="L163" s="5"/>
      <c r="M163" s="5"/>
      <c r="N163" s="5"/>
      <c r="O163" s="5"/>
      <c r="P163" s="5"/>
      <c r="Q163" s="5"/>
      <c r="R163" s="5"/>
      <c r="S163" s="5"/>
      <c r="T163" s="5"/>
      <c r="U163" s="5" t="str">
        <f>"285.00"</f>
        <v>285.00</v>
      </c>
      <c r="V163" s="5"/>
      <c r="W163" s="5"/>
      <c r="X163" s="5"/>
      <c r="Y163" s="5"/>
      <c r="Z163" s="5"/>
      <c r="AA163" s="5"/>
      <c r="AB163" s="5"/>
      <c r="AC163" s="5" t="str">
        <f>"137.09"</f>
        <v>137.09</v>
      </c>
      <c r="AD163" s="5" t="str">
        <f>"152.54"</f>
        <v>152.54</v>
      </c>
    </row>
    <row r="164" spans="1:30" ht="13.5" customHeight="1">
      <c r="A164" s="8">
        <v>162</v>
      </c>
      <c r="B164" s="8">
        <v>7468</v>
      </c>
      <c r="C164" s="9" t="s">
        <v>578</v>
      </c>
      <c r="D164" s="8" t="s">
        <v>108</v>
      </c>
      <c r="E164" s="8" t="str">
        <f>"116.86"</f>
        <v>116.86</v>
      </c>
      <c r="F164" s="8"/>
      <c r="G164" s="3">
        <v>144.86000000000001</v>
      </c>
      <c r="H164" s="10" t="s">
        <v>18</v>
      </c>
      <c r="I164" s="8">
        <v>1</v>
      </c>
      <c r="J164" s="10">
        <v>2017</v>
      </c>
      <c r="K164" s="5" t="str">
        <f>"116.86"</f>
        <v>116.86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13.5" customHeight="1">
      <c r="A165" s="8">
        <v>163</v>
      </c>
      <c r="B165" s="8">
        <v>7604</v>
      </c>
      <c r="C165" s="9" t="s">
        <v>338</v>
      </c>
      <c r="D165" s="8" t="s">
        <v>323</v>
      </c>
      <c r="E165" s="8" t="str">
        <f>"145.47"</f>
        <v>145.47</v>
      </c>
      <c r="F165" s="8"/>
      <c r="G165" s="3">
        <v>145.47</v>
      </c>
      <c r="H165" s="10"/>
      <c r="I165" s="8">
        <v>3</v>
      </c>
      <c r="J165" s="10">
        <v>2017</v>
      </c>
      <c r="K165" s="5" t="str">
        <f>"218.96"</f>
        <v>218.96</v>
      </c>
      <c r="L165" s="5"/>
      <c r="M165" s="5"/>
      <c r="N165" s="5"/>
      <c r="O165" s="5" t="str">
        <f>"161.12"</f>
        <v>161.12</v>
      </c>
      <c r="P165" s="5"/>
      <c r="Q165" s="5"/>
      <c r="R165" s="5"/>
      <c r="S165" s="5" t="str">
        <f>"129.81"</f>
        <v>129.81</v>
      </c>
      <c r="T165" s="5"/>
      <c r="U165" s="5"/>
      <c r="V165" s="5"/>
      <c r="W165" s="5"/>
      <c r="X165" s="5" t="str">
        <f>"167.17"</f>
        <v>167.17</v>
      </c>
      <c r="Y165" s="5"/>
      <c r="Z165" s="5"/>
      <c r="AA165" s="5"/>
      <c r="AB165" s="5"/>
      <c r="AC165" s="5"/>
      <c r="AD165" s="5"/>
    </row>
    <row r="166" spans="1:30" ht="13.5" customHeight="1">
      <c r="A166" s="8">
        <v>164</v>
      </c>
      <c r="B166" s="8">
        <v>6757</v>
      </c>
      <c r="C166" s="9" t="s">
        <v>260</v>
      </c>
      <c r="D166" s="8" t="s">
        <v>83</v>
      </c>
      <c r="E166" s="8" t="str">
        <f>"83.01"</f>
        <v>83.01</v>
      </c>
      <c r="F166" s="8"/>
      <c r="G166" s="3">
        <v>145.59</v>
      </c>
      <c r="H166" s="10" t="s">
        <v>12</v>
      </c>
      <c r="I166" s="8">
        <v>2</v>
      </c>
      <c r="J166" s="10">
        <v>2017</v>
      </c>
      <c r="K166" s="5" t="str">
        <f>"83.01"</f>
        <v>83.01</v>
      </c>
      <c r="L166" s="5"/>
      <c r="M166" s="5"/>
      <c r="N166" s="5"/>
      <c r="O166" s="5"/>
      <c r="P166" s="5"/>
      <c r="Q166" s="5"/>
      <c r="R166" s="5"/>
      <c r="S166" s="5" t="str">
        <f>"117.59"</f>
        <v>117.59</v>
      </c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13.5" customHeight="1">
      <c r="A167" s="8">
        <v>165</v>
      </c>
      <c r="B167" s="8">
        <v>1885</v>
      </c>
      <c r="C167" s="9" t="s">
        <v>202</v>
      </c>
      <c r="D167" s="8" t="s">
        <v>165</v>
      </c>
      <c r="E167" s="8" t="str">
        <f>"117.65"</f>
        <v>117.65</v>
      </c>
      <c r="F167" s="8"/>
      <c r="G167" s="3">
        <v>145.65</v>
      </c>
      <c r="H167" s="10" t="s">
        <v>18</v>
      </c>
      <c r="I167" s="8">
        <v>1</v>
      </c>
      <c r="J167" s="10">
        <v>2017</v>
      </c>
      <c r="K167" s="5" t="str">
        <f>"117.65"</f>
        <v>117.65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13.5" customHeight="1">
      <c r="A168" s="8">
        <v>166</v>
      </c>
      <c r="B168" s="8">
        <v>5252</v>
      </c>
      <c r="C168" s="9" t="s">
        <v>246</v>
      </c>
      <c r="D168" s="8" t="s">
        <v>44</v>
      </c>
      <c r="E168" s="8" t="str">
        <f>"120.84"</f>
        <v>120.84</v>
      </c>
      <c r="F168" s="8"/>
      <c r="G168" s="3">
        <v>145.84</v>
      </c>
      <c r="H168" s="10"/>
      <c r="I168" s="8">
        <v>3</v>
      </c>
      <c r="J168" s="10">
        <v>2017</v>
      </c>
      <c r="K168" s="5" t="str">
        <f>"127.57"</f>
        <v>127.57</v>
      </c>
      <c r="L168" s="5"/>
      <c r="M168" s="5"/>
      <c r="N168" s="5"/>
      <c r="O168" s="5"/>
      <c r="P168" s="5"/>
      <c r="Q168" s="5"/>
      <c r="R168" s="5"/>
      <c r="S168" s="5" t="str">
        <f>"114.10"</f>
        <v>114.10</v>
      </c>
      <c r="T168" s="5"/>
      <c r="U168" s="5"/>
      <c r="V168" s="5"/>
      <c r="W168" s="5"/>
      <c r="X168" s="5" t="str">
        <f>"177.57"</f>
        <v>177.57</v>
      </c>
      <c r="Y168" s="5"/>
      <c r="Z168" s="5"/>
      <c r="AA168" s="5"/>
      <c r="AB168" s="5"/>
      <c r="AC168" s="5"/>
      <c r="AD168" s="5"/>
    </row>
    <row r="169" spans="1:30" ht="13.5" customHeight="1">
      <c r="A169" s="8">
        <v>167</v>
      </c>
      <c r="B169" s="8">
        <v>1108</v>
      </c>
      <c r="C169" s="9" t="s">
        <v>266</v>
      </c>
      <c r="D169" s="8" t="s">
        <v>231</v>
      </c>
      <c r="E169" s="8" t="str">
        <f>"97.50"</f>
        <v>97.50</v>
      </c>
      <c r="F169" s="8"/>
      <c r="G169" s="3">
        <v>145.96</v>
      </c>
      <c r="H169" s="10" t="s">
        <v>12</v>
      </c>
      <c r="I169" s="8">
        <v>2</v>
      </c>
      <c r="J169" s="10">
        <v>2017</v>
      </c>
      <c r="K169" s="5" t="str">
        <f>"97.50"</f>
        <v>97.50</v>
      </c>
      <c r="L169" s="5"/>
      <c r="M169" s="5"/>
      <c r="N169" s="5"/>
      <c r="O169" s="5"/>
      <c r="P169" s="5"/>
      <c r="Q169" s="5"/>
      <c r="R169" s="5"/>
      <c r="S169" s="5" t="str">
        <f>"117.96"</f>
        <v>117.96</v>
      </c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13.5" customHeight="1">
      <c r="A170" s="8">
        <v>168</v>
      </c>
      <c r="B170" s="8">
        <v>10703</v>
      </c>
      <c r="C170" s="9" t="s">
        <v>192</v>
      </c>
      <c r="D170" s="8" t="s">
        <v>29</v>
      </c>
      <c r="E170" s="8" t="str">
        <f>"146.43"</f>
        <v>146.43</v>
      </c>
      <c r="F170" s="8"/>
      <c r="G170" s="3">
        <v>146.43</v>
      </c>
      <c r="H170" s="10"/>
      <c r="I170" s="8">
        <v>3</v>
      </c>
      <c r="J170" s="10">
        <v>2017</v>
      </c>
      <c r="K170" s="5" t="str">
        <f>"256.95"</f>
        <v>256.95</v>
      </c>
      <c r="L170" s="5"/>
      <c r="M170" s="5"/>
      <c r="N170" s="5" t="str">
        <f>"171.26"</f>
        <v>171.26</v>
      </c>
      <c r="O170" s="5"/>
      <c r="P170" s="5"/>
      <c r="Q170" s="5" t="str">
        <f>"181.04"</f>
        <v>181.04</v>
      </c>
      <c r="R170" s="5" t="str">
        <f>"189.84"</f>
        <v>189.84</v>
      </c>
      <c r="S170" s="5"/>
      <c r="T170" s="5"/>
      <c r="U170" s="5" t="str">
        <f>"246.42"</f>
        <v>246.42</v>
      </c>
      <c r="V170" s="5"/>
      <c r="W170" s="5"/>
      <c r="X170" s="5"/>
      <c r="Y170" s="5"/>
      <c r="Z170" s="5"/>
      <c r="AA170" s="5"/>
      <c r="AB170" s="5"/>
      <c r="AC170" s="5"/>
      <c r="AD170" s="5" t="str">
        <f>"121.60"</f>
        <v>121.60</v>
      </c>
    </row>
    <row r="171" spans="1:30" ht="13.5" customHeight="1">
      <c r="A171" s="8">
        <v>169</v>
      </c>
      <c r="B171" s="8">
        <v>7854</v>
      </c>
      <c r="C171" s="9" t="s">
        <v>87</v>
      </c>
      <c r="D171" s="8" t="s">
        <v>29</v>
      </c>
      <c r="E171" s="8" t="str">
        <f>"138.57"</f>
        <v>138.57</v>
      </c>
      <c r="F171" s="8"/>
      <c r="G171" s="3">
        <v>148.62</v>
      </c>
      <c r="H171" s="10"/>
      <c r="I171" s="8">
        <v>3</v>
      </c>
      <c r="J171" s="10">
        <v>2017</v>
      </c>
      <c r="K171" s="5" t="str">
        <f>"174.72"</f>
        <v>174.72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 t="str">
        <f>"298.38"</f>
        <v>298.38</v>
      </c>
      <c r="Z171" s="5"/>
      <c r="AA171" s="5"/>
      <c r="AB171" s="5" t="str">
        <f>"194.83"</f>
        <v>194.83</v>
      </c>
      <c r="AC171" s="5"/>
      <c r="AD171" s="5" t="str">
        <f>"102.41"</f>
        <v>102.41</v>
      </c>
    </row>
    <row r="172" spans="1:30" ht="13.5" customHeight="1">
      <c r="A172" s="8">
        <v>170</v>
      </c>
      <c r="B172" s="8">
        <v>7609</v>
      </c>
      <c r="C172" s="9" t="s">
        <v>261</v>
      </c>
      <c r="D172" s="8" t="s">
        <v>165</v>
      </c>
      <c r="E172" s="8" t="str">
        <f>"134.37"</f>
        <v>134.37</v>
      </c>
      <c r="F172" s="8"/>
      <c r="G172" s="3">
        <v>148.63999999999999</v>
      </c>
      <c r="H172" s="10"/>
      <c r="I172" s="8">
        <v>3</v>
      </c>
      <c r="J172" s="10">
        <v>2017</v>
      </c>
      <c r="K172" s="5" t="str">
        <f>"143.86"</f>
        <v>143.86</v>
      </c>
      <c r="L172" s="5"/>
      <c r="M172" s="5"/>
      <c r="N172" s="5"/>
      <c r="O172" s="5"/>
      <c r="P172" s="5"/>
      <c r="Q172" s="5"/>
      <c r="R172" s="5"/>
      <c r="S172" s="5" t="str">
        <f>"124.87"</f>
        <v>124.87</v>
      </c>
      <c r="T172" s="5"/>
      <c r="U172" s="5"/>
      <c r="V172" s="5"/>
      <c r="W172" s="5"/>
      <c r="X172" s="5" t="str">
        <f>"172.40"</f>
        <v>172.40</v>
      </c>
      <c r="Y172" s="5"/>
      <c r="Z172" s="5"/>
      <c r="AA172" s="5"/>
      <c r="AB172" s="5"/>
      <c r="AC172" s="5"/>
      <c r="AD172" s="5"/>
    </row>
    <row r="173" spans="1:30" ht="13.5" customHeight="1">
      <c r="A173" s="8">
        <v>171</v>
      </c>
      <c r="B173" s="8">
        <v>2543</v>
      </c>
      <c r="C173" s="9" t="s">
        <v>502</v>
      </c>
      <c r="D173" s="8" t="s">
        <v>155</v>
      </c>
      <c r="E173" s="8" t="str">
        <f>"181.96"</f>
        <v>181.96</v>
      </c>
      <c r="F173" s="8"/>
      <c r="G173" s="3">
        <v>148.66999999999999</v>
      </c>
      <c r="H173" s="10" t="s">
        <v>12</v>
      </c>
      <c r="I173" s="8">
        <v>2</v>
      </c>
      <c r="J173" s="10">
        <v>2018</v>
      </c>
      <c r="K173" s="5" t="str">
        <f>"243.25"</f>
        <v>243.25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 t="str">
        <f>"120.67"</f>
        <v>120.67</v>
      </c>
      <c r="AA173" s="5"/>
      <c r="AB173" s="5"/>
      <c r="AC173" s="5"/>
      <c r="AD173" s="5"/>
    </row>
    <row r="174" spans="1:30" ht="13.5" customHeight="1">
      <c r="A174" s="8">
        <v>172</v>
      </c>
      <c r="B174" s="8">
        <v>134</v>
      </c>
      <c r="C174" s="9" t="s">
        <v>365</v>
      </c>
      <c r="D174" s="8" t="s">
        <v>24</v>
      </c>
      <c r="E174" s="8" t="str">
        <f>"121.49"</f>
        <v>121.49</v>
      </c>
      <c r="F174" s="8"/>
      <c r="G174" s="3">
        <v>149.49</v>
      </c>
      <c r="H174" s="10" t="s">
        <v>18</v>
      </c>
      <c r="I174" s="8">
        <v>1</v>
      </c>
      <c r="J174" s="10">
        <v>2017</v>
      </c>
      <c r="K174" s="5" t="str">
        <f>"121.49"</f>
        <v>121.49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13.5" customHeight="1">
      <c r="A175" s="8">
        <v>173</v>
      </c>
      <c r="B175" s="8">
        <v>10205</v>
      </c>
      <c r="C175" s="9" t="s">
        <v>309</v>
      </c>
      <c r="D175" s="8" t="s">
        <v>16</v>
      </c>
      <c r="E175" s="8" t="str">
        <f>"150.24"</f>
        <v>150.24</v>
      </c>
      <c r="F175" s="8"/>
      <c r="G175" s="3">
        <v>150.24</v>
      </c>
      <c r="H175" s="10"/>
      <c r="I175" s="8">
        <v>3</v>
      </c>
      <c r="J175" s="10">
        <v>2017</v>
      </c>
      <c r="K175" s="5" t="str">
        <f>"181.57"</f>
        <v>181.57</v>
      </c>
      <c r="L175" s="5"/>
      <c r="M175" s="5" t="str">
        <f>"202.45"</f>
        <v>202.45</v>
      </c>
      <c r="N175" s="5" t="str">
        <f>"231.68"</f>
        <v>231.68</v>
      </c>
      <c r="O175" s="5"/>
      <c r="P175" s="5"/>
      <c r="Q175" s="5"/>
      <c r="R175" s="5"/>
      <c r="S175" s="5"/>
      <c r="T175" s="5"/>
      <c r="U175" s="5"/>
      <c r="V175" s="5"/>
      <c r="W175" s="5" t="str">
        <f>"229.78"</f>
        <v>229.78</v>
      </c>
      <c r="X175" s="5"/>
      <c r="Y175" s="5" t="str">
        <f>"152.92"</f>
        <v>152.92</v>
      </c>
      <c r="Z175" s="5"/>
      <c r="AA175" s="5"/>
      <c r="AB175" s="5"/>
      <c r="AC175" s="5"/>
      <c r="AD175" s="5" t="str">
        <f>"147.55"</f>
        <v>147.55</v>
      </c>
    </row>
    <row r="176" spans="1:30" ht="13.5" customHeight="1">
      <c r="A176" s="8">
        <v>174</v>
      </c>
      <c r="B176" s="8">
        <v>4407</v>
      </c>
      <c r="C176" s="9" t="s">
        <v>330</v>
      </c>
      <c r="D176" s="8" t="s">
        <v>79</v>
      </c>
      <c r="E176" s="8" t="str">
        <f>"121.23"</f>
        <v>121.23</v>
      </c>
      <c r="F176" s="8"/>
      <c r="G176" s="3">
        <v>150.26</v>
      </c>
      <c r="H176" s="10"/>
      <c r="I176" s="8">
        <v>3</v>
      </c>
      <c r="J176" s="10">
        <v>2017</v>
      </c>
      <c r="K176" s="5" t="str">
        <f>"141.38"</f>
        <v>141.38</v>
      </c>
      <c r="L176" s="5"/>
      <c r="M176" s="5"/>
      <c r="N176" s="5"/>
      <c r="O176" s="5" t="str">
        <f>"101.08"</f>
        <v>101.08</v>
      </c>
      <c r="P176" s="5"/>
      <c r="Q176" s="5"/>
      <c r="R176" s="5"/>
      <c r="S176" s="5"/>
      <c r="T176" s="5"/>
      <c r="U176" s="5"/>
      <c r="V176" s="5"/>
      <c r="W176" s="5"/>
      <c r="X176" s="5" t="str">
        <f>"288.18"</f>
        <v>288.18</v>
      </c>
      <c r="Y176" s="5"/>
      <c r="Z176" s="5"/>
      <c r="AA176" s="5" t="str">
        <f>"199.44"</f>
        <v>199.44</v>
      </c>
      <c r="AB176" s="5"/>
      <c r="AC176" s="5"/>
      <c r="AD176" s="5"/>
    </row>
    <row r="177" spans="1:30" ht="13.5" customHeight="1">
      <c r="A177" s="8">
        <v>175</v>
      </c>
      <c r="B177" s="8">
        <v>2480</v>
      </c>
      <c r="C177" s="9" t="s">
        <v>345</v>
      </c>
      <c r="D177" s="8" t="s">
        <v>177</v>
      </c>
      <c r="E177" s="8" t="str">
        <f>"117.60"</f>
        <v>117.60</v>
      </c>
      <c r="F177" s="8"/>
      <c r="G177" s="3">
        <v>150.49</v>
      </c>
      <c r="H177" s="10" t="s">
        <v>12</v>
      </c>
      <c r="I177" s="8">
        <v>2</v>
      </c>
      <c r="J177" s="10">
        <v>2017</v>
      </c>
      <c r="K177" s="5" t="str">
        <f>"117.60"</f>
        <v>117.60</v>
      </c>
      <c r="L177" s="5"/>
      <c r="M177" s="5"/>
      <c r="N177" s="5" t="str">
        <f>"122.49"</f>
        <v>122.49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13.5" customHeight="1">
      <c r="A178" s="8">
        <v>176</v>
      </c>
      <c r="B178" s="8">
        <v>8352</v>
      </c>
      <c r="C178" s="9" t="s">
        <v>507</v>
      </c>
      <c r="D178" s="8" t="s">
        <v>76</v>
      </c>
      <c r="E178" s="8" t="str">
        <f>"150.80"</f>
        <v>150.80</v>
      </c>
      <c r="F178" s="8"/>
      <c r="G178" s="3">
        <v>150.80000000000001</v>
      </c>
      <c r="H178" s="10" t="s">
        <v>12</v>
      </c>
      <c r="I178" s="8">
        <v>4</v>
      </c>
      <c r="J178" s="10">
        <v>2017</v>
      </c>
      <c r="K178" s="5"/>
      <c r="L178" s="5"/>
      <c r="M178" s="5"/>
      <c r="N178" s="5"/>
      <c r="O178" s="5"/>
      <c r="P178" s="5" t="str">
        <f>"122.80"</f>
        <v>122.80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13.5" customHeight="1">
      <c r="A179" s="8">
        <v>177</v>
      </c>
      <c r="B179" s="8">
        <v>5806</v>
      </c>
      <c r="C179" s="9" t="s">
        <v>1204</v>
      </c>
      <c r="D179" s="8" t="s">
        <v>208</v>
      </c>
      <c r="E179" s="8" t="str">
        <f>"123.49"</f>
        <v>123.49</v>
      </c>
      <c r="F179" s="8"/>
      <c r="G179" s="3">
        <v>151.49</v>
      </c>
      <c r="H179" s="10" t="s">
        <v>18</v>
      </c>
      <c r="I179" s="8">
        <v>1</v>
      </c>
      <c r="J179" s="10">
        <v>2017</v>
      </c>
      <c r="K179" s="5" t="str">
        <f>"123.49"</f>
        <v>123.49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13.5" customHeight="1">
      <c r="A180" s="8">
        <v>178</v>
      </c>
      <c r="B180" s="8">
        <v>2573</v>
      </c>
      <c r="C180" s="9" t="s">
        <v>280</v>
      </c>
      <c r="D180" s="8" t="s">
        <v>17</v>
      </c>
      <c r="E180" s="8" t="str">
        <f>"124.32"</f>
        <v>124.32</v>
      </c>
      <c r="F180" s="8"/>
      <c r="G180" s="3">
        <v>152.32</v>
      </c>
      <c r="H180" s="10" t="s">
        <v>18</v>
      </c>
      <c r="I180" s="8">
        <v>1</v>
      </c>
      <c r="J180" s="10">
        <v>2017</v>
      </c>
      <c r="K180" s="5" t="str">
        <f>"124.32"</f>
        <v>124.32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13.5" customHeight="1">
      <c r="A181" s="8">
        <v>179</v>
      </c>
      <c r="B181" s="8">
        <v>10136</v>
      </c>
      <c r="C181" s="9" t="s">
        <v>373</v>
      </c>
      <c r="D181" s="8" t="s">
        <v>16</v>
      </c>
      <c r="E181" s="8" t="str">
        <f>"152.80"</f>
        <v>152.80</v>
      </c>
      <c r="F181" s="8"/>
      <c r="G181" s="3">
        <v>152.80000000000001</v>
      </c>
      <c r="H181" s="10"/>
      <c r="I181" s="8">
        <v>3</v>
      </c>
      <c r="J181" s="10">
        <v>2017</v>
      </c>
      <c r="K181" s="5" t="str">
        <f>"288.06"</f>
        <v>288.06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 t="str">
        <f>"217.09"</f>
        <v>217.09</v>
      </c>
      <c r="W181" s="5"/>
      <c r="X181" s="5"/>
      <c r="Y181" s="5"/>
      <c r="Z181" s="5"/>
      <c r="AA181" s="5"/>
      <c r="AB181" s="5"/>
      <c r="AC181" s="5" t="str">
        <f>"146.42"</f>
        <v>146.42</v>
      </c>
      <c r="AD181" s="5" t="str">
        <f>"159.17"</f>
        <v>159.17</v>
      </c>
    </row>
    <row r="182" spans="1:30" ht="13.5" customHeight="1">
      <c r="A182" s="8">
        <v>180</v>
      </c>
      <c r="B182" s="8">
        <v>1899</v>
      </c>
      <c r="C182" s="9" t="s">
        <v>143</v>
      </c>
      <c r="D182" s="8" t="s">
        <v>44</v>
      </c>
      <c r="E182" s="8" t="str">
        <f>"154.26"</f>
        <v>154.26</v>
      </c>
      <c r="F182" s="8"/>
      <c r="G182" s="3">
        <v>154.26</v>
      </c>
      <c r="H182" s="10" t="s">
        <v>12</v>
      </c>
      <c r="I182" s="8">
        <v>4</v>
      </c>
      <c r="J182" s="10">
        <v>2017</v>
      </c>
      <c r="K182" s="5"/>
      <c r="L182" s="5"/>
      <c r="M182" s="5"/>
      <c r="N182" s="5" t="str">
        <f>"126.26"</f>
        <v>126.26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13.5" customHeight="1">
      <c r="A183" s="8">
        <v>181</v>
      </c>
      <c r="B183" s="8">
        <v>10382</v>
      </c>
      <c r="C183" s="9" t="s">
        <v>366</v>
      </c>
      <c r="D183" s="8" t="s">
        <v>16</v>
      </c>
      <c r="E183" s="8" t="str">
        <f>"130.20"</f>
        <v>130.20</v>
      </c>
      <c r="F183" s="8"/>
      <c r="G183" s="3">
        <v>154.63</v>
      </c>
      <c r="H183" s="10"/>
      <c r="I183" s="8">
        <v>3</v>
      </c>
      <c r="J183" s="10">
        <v>2017</v>
      </c>
      <c r="K183" s="5" t="str">
        <f>"136.58"</f>
        <v>136.58</v>
      </c>
      <c r="L183" s="5"/>
      <c r="M183" s="5" t="str">
        <f>"185.45"</f>
        <v>185.45</v>
      </c>
      <c r="N183" s="5"/>
      <c r="O183" s="5"/>
      <c r="P183" s="5"/>
      <c r="Q183" s="5"/>
      <c r="R183" s="5"/>
      <c r="S183" s="5"/>
      <c r="T183" s="5"/>
      <c r="U183" s="5"/>
      <c r="V183" s="5"/>
      <c r="W183" s="5" t="str">
        <f>"197.38"</f>
        <v>197.38</v>
      </c>
      <c r="X183" s="5" t="str">
        <f>"123.81"</f>
        <v>123.81</v>
      </c>
      <c r="Y183" s="5"/>
      <c r="Z183" s="5"/>
      <c r="AA183" s="5"/>
      <c r="AB183" s="5"/>
      <c r="AC183" s="5"/>
      <c r="AD183" s="5"/>
    </row>
    <row r="184" spans="1:30" ht="13.5" customHeight="1">
      <c r="A184" s="8">
        <v>182</v>
      </c>
      <c r="B184" s="8">
        <v>8628</v>
      </c>
      <c r="C184" s="9" t="s">
        <v>279</v>
      </c>
      <c r="D184" s="8" t="s">
        <v>16</v>
      </c>
      <c r="E184" s="8" t="str">
        <f>"131.19"</f>
        <v>131.19</v>
      </c>
      <c r="F184" s="8"/>
      <c r="G184" s="3">
        <v>156.13999999999999</v>
      </c>
      <c r="H184" s="10" t="s">
        <v>12</v>
      </c>
      <c r="I184" s="8">
        <v>2</v>
      </c>
      <c r="J184" s="10">
        <v>2017</v>
      </c>
      <c r="K184" s="5" t="str">
        <f>"134.23"</f>
        <v>134.23</v>
      </c>
      <c r="L184" s="5"/>
      <c r="M184" s="5" t="str">
        <f>"128.14"</f>
        <v>128.14</v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13.5" customHeight="1">
      <c r="A185" s="8">
        <v>183</v>
      </c>
      <c r="B185" s="8">
        <v>3261</v>
      </c>
      <c r="C185" s="9" t="s">
        <v>313</v>
      </c>
      <c r="D185" s="8" t="s">
        <v>26</v>
      </c>
      <c r="E185" s="8" t="str">
        <f>"102.91"</f>
        <v>102.91</v>
      </c>
      <c r="F185" s="8"/>
      <c r="G185" s="3">
        <v>156.55000000000001</v>
      </c>
      <c r="H185" s="10"/>
      <c r="I185" s="8">
        <v>3</v>
      </c>
      <c r="J185" s="10">
        <v>2018</v>
      </c>
      <c r="K185" s="5" t="str">
        <f>"102.91"</f>
        <v>102.91</v>
      </c>
      <c r="L185" s="5"/>
      <c r="M185" s="5"/>
      <c r="N185" s="5"/>
      <c r="O185" s="5" t="str">
        <f>"153.96"</f>
        <v>153.96</v>
      </c>
      <c r="P185" s="5"/>
      <c r="Q185" s="5"/>
      <c r="R185" s="5"/>
      <c r="S185" s="5"/>
      <c r="T185" s="5" t="str">
        <f>"159.13"</f>
        <v>159.13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3.5" customHeight="1">
      <c r="A186" s="8">
        <v>184</v>
      </c>
      <c r="B186" s="8">
        <v>2276</v>
      </c>
      <c r="C186" s="9" t="s">
        <v>560</v>
      </c>
      <c r="D186" s="8" t="s">
        <v>231</v>
      </c>
      <c r="E186" s="8" t="str">
        <f>"107.48"</f>
        <v>107.48</v>
      </c>
      <c r="F186" s="8"/>
      <c r="G186" s="3">
        <v>156.63</v>
      </c>
      <c r="H186" s="10" t="s">
        <v>12</v>
      </c>
      <c r="I186" s="8">
        <v>2</v>
      </c>
      <c r="J186" s="10">
        <v>2017</v>
      </c>
      <c r="K186" s="5" t="str">
        <f>"107.48"</f>
        <v>107.48</v>
      </c>
      <c r="L186" s="5"/>
      <c r="M186" s="5"/>
      <c r="N186" s="5"/>
      <c r="O186" s="5"/>
      <c r="P186" s="5"/>
      <c r="Q186" s="5"/>
      <c r="R186" s="5"/>
      <c r="S186" s="5"/>
      <c r="T186" s="5" t="str">
        <f>"128.63"</f>
        <v>128.63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3.5" customHeight="1">
      <c r="A187" s="8">
        <v>185</v>
      </c>
      <c r="B187" s="8">
        <v>6312</v>
      </c>
      <c r="C187" s="9" t="s">
        <v>407</v>
      </c>
      <c r="D187" s="8" t="s">
        <v>213</v>
      </c>
      <c r="E187" s="8" t="str">
        <f>"136.82"</f>
        <v>136.82</v>
      </c>
      <c r="F187" s="8"/>
      <c r="G187" s="3">
        <v>156.96</v>
      </c>
      <c r="H187" s="10"/>
      <c r="I187" s="8">
        <v>3</v>
      </c>
      <c r="J187" s="10">
        <v>2018</v>
      </c>
      <c r="K187" s="5" t="str">
        <f>"137.36"</f>
        <v>137.36</v>
      </c>
      <c r="L187" s="5"/>
      <c r="M187" s="5"/>
      <c r="N187" s="5"/>
      <c r="O187" s="5" t="str">
        <f>"206.77"</f>
        <v>206.77</v>
      </c>
      <c r="P187" s="5"/>
      <c r="Q187" s="5"/>
      <c r="R187" s="5"/>
      <c r="S187" s="5"/>
      <c r="T187" s="5" t="str">
        <f>"177.63"</f>
        <v>177.63</v>
      </c>
      <c r="U187" s="5"/>
      <c r="V187" s="5"/>
      <c r="W187" s="5"/>
      <c r="X187" s="5"/>
      <c r="Y187" s="5"/>
      <c r="Z187" s="5" t="str">
        <f>"136.28"</f>
        <v>136.28</v>
      </c>
      <c r="AA187" s="5"/>
      <c r="AB187" s="5"/>
      <c r="AC187" s="5"/>
      <c r="AD187" s="5"/>
    </row>
    <row r="188" spans="1:30" ht="13.5" customHeight="1">
      <c r="A188" s="8">
        <v>186</v>
      </c>
      <c r="B188" s="8">
        <v>10332</v>
      </c>
      <c r="C188" s="9" t="s">
        <v>358</v>
      </c>
      <c r="D188" s="8" t="s">
        <v>76</v>
      </c>
      <c r="E188" s="8" t="str">
        <f>"129.03"</f>
        <v>129.03</v>
      </c>
      <c r="F188" s="8"/>
      <c r="G188" s="3">
        <v>157.94</v>
      </c>
      <c r="H188" s="10" t="s">
        <v>12</v>
      </c>
      <c r="I188" s="8">
        <v>2</v>
      </c>
      <c r="J188" s="10">
        <v>2017</v>
      </c>
      <c r="K188" s="5" t="str">
        <f>"129.03"</f>
        <v>129.03</v>
      </c>
      <c r="L188" s="5"/>
      <c r="M188" s="5"/>
      <c r="N188" s="5"/>
      <c r="O188" s="5"/>
      <c r="P188" s="5" t="str">
        <f>"129.94"</f>
        <v>129.94</v>
      </c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13.5" customHeight="1">
      <c r="A189" s="8">
        <v>187</v>
      </c>
      <c r="B189" s="8">
        <v>8632</v>
      </c>
      <c r="C189" s="9" t="s">
        <v>458</v>
      </c>
      <c r="D189" s="8" t="s">
        <v>16</v>
      </c>
      <c r="E189" s="8" t="str">
        <f>"129.97"</f>
        <v>129.97</v>
      </c>
      <c r="F189" s="8"/>
      <c r="G189" s="3">
        <v>157.97</v>
      </c>
      <c r="H189" s="10" t="s">
        <v>18</v>
      </c>
      <c r="I189" s="8">
        <v>1</v>
      </c>
      <c r="J189" s="10">
        <v>2017</v>
      </c>
      <c r="K189" s="5" t="str">
        <f>"129.97"</f>
        <v>129.97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13.5" customHeight="1">
      <c r="A190" s="8">
        <v>188</v>
      </c>
      <c r="B190" s="8">
        <v>1247</v>
      </c>
      <c r="C190" s="9" t="s">
        <v>399</v>
      </c>
      <c r="D190" s="8" t="s">
        <v>190</v>
      </c>
      <c r="E190" s="8" t="str">
        <f>"129.97"</f>
        <v>129.97</v>
      </c>
      <c r="F190" s="8"/>
      <c r="G190" s="3">
        <v>157.97</v>
      </c>
      <c r="H190" s="10" t="s">
        <v>18</v>
      </c>
      <c r="I190" s="8">
        <v>1</v>
      </c>
      <c r="J190" s="10">
        <v>2017</v>
      </c>
      <c r="K190" s="5" t="str">
        <f>"129.97"</f>
        <v>129.97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13.5" customHeight="1">
      <c r="A191" s="8">
        <v>189</v>
      </c>
      <c r="B191" s="8">
        <v>10334</v>
      </c>
      <c r="C191" s="9" t="s">
        <v>157</v>
      </c>
      <c r="D191" s="8" t="s">
        <v>29</v>
      </c>
      <c r="E191" s="8" t="str">
        <f>"148.04"</f>
        <v>148.04</v>
      </c>
      <c r="F191" s="8"/>
      <c r="G191" s="3">
        <v>158.36000000000001</v>
      </c>
      <c r="H191" s="10" t="s">
        <v>12</v>
      </c>
      <c r="I191" s="8">
        <v>2</v>
      </c>
      <c r="J191" s="10">
        <v>2017</v>
      </c>
      <c r="K191" s="5" t="str">
        <f>"165.71"</f>
        <v>165.71</v>
      </c>
      <c r="L191" s="5"/>
      <c r="M191" s="5"/>
      <c r="N191" s="5"/>
      <c r="O191" s="5"/>
      <c r="P191" s="5"/>
      <c r="Q191" s="5"/>
      <c r="R191" s="5"/>
      <c r="S191" s="5"/>
      <c r="T191" s="5"/>
      <c r="U191" s="5" t="str">
        <f>"130.36"</f>
        <v>130.36</v>
      </c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13.5" customHeight="1">
      <c r="A192" s="8">
        <v>190</v>
      </c>
      <c r="B192" s="8">
        <v>1426</v>
      </c>
      <c r="C192" s="9" t="s">
        <v>687</v>
      </c>
      <c r="D192" s="8" t="s">
        <v>618</v>
      </c>
      <c r="E192" s="8" t="str">
        <f>"135.63"</f>
        <v>135.63</v>
      </c>
      <c r="F192" s="8"/>
      <c r="G192" s="3">
        <v>158.93</v>
      </c>
      <c r="H192" s="10" t="s">
        <v>12</v>
      </c>
      <c r="I192" s="8">
        <v>2</v>
      </c>
      <c r="J192" s="10">
        <v>2017</v>
      </c>
      <c r="K192" s="5" t="str">
        <f>"140.33"</f>
        <v>140.33</v>
      </c>
      <c r="L192" s="5"/>
      <c r="M192" s="5"/>
      <c r="N192" s="5"/>
      <c r="O192" s="5" t="str">
        <f>"130.93"</f>
        <v>130.93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3.5" customHeight="1">
      <c r="A193" s="8">
        <v>191</v>
      </c>
      <c r="B193" s="8">
        <v>11362</v>
      </c>
      <c r="C193" s="9" t="s">
        <v>370</v>
      </c>
      <c r="D193" s="8" t="s">
        <v>352</v>
      </c>
      <c r="E193" s="8" t="str">
        <f>"159.40"</f>
        <v>159.40</v>
      </c>
      <c r="F193" s="8"/>
      <c r="G193" s="3">
        <v>159.4</v>
      </c>
      <c r="H193" s="10" t="s">
        <v>12</v>
      </c>
      <c r="I193" s="8">
        <v>4</v>
      </c>
      <c r="J193" s="10">
        <v>2017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 t="str">
        <f>"131.40"</f>
        <v>131.40</v>
      </c>
      <c r="Y193" s="5"/>
      <c r="Z193" s="5"/>
      <c r="AA193" s="5"/>
      <c r="AB193" s="5"/>
      <c r="AC193" s="5"/>
      <c r="AD193" s="5"/>
    </row>
    <row r="194" spans="1:30" ht="13.5" customHeight="1">
      <c r="A194" s="8">
        <v>192</v>
      </c>
      <c r="B194" s="8">
        <v>10677</v>
      </c>
      <c r="C194" s="9" t="s">
        <v>325</v>
      </c>
      <c r="D194" s="8" t="s">
        <v>14</v>
      </c>
      <c r="E194" s="8" t="str">
        <f>"159.44"</f>
        <v>159.44</v>
      </c>
      <c r="F194" s="8"/>
      <c r="G194" s="3">
        <v>159.44</v>
      </c>
      <c r="H194" s="10"/>
      <c r="I194" s="8">
        <v>3</v>
      </c>
      <c r="J194" s="10">
        <v>2017</v>
      </c>
      <c r="K194" s="5" t="str">
        <f>"333.73"</f>
        <v>333.73</v>
      </c>
      <c r="L194" s="5"/>
      <c r="M194" s="5"/>
      <c r="N194" s="5" t="str">
        <f>"186.97"</f>
        <v>186.97</v>
      </c>
      <c r="O194" s="5"/>
      <c r="P194" s="5"/>
      <c r="Q194" s="5"/>
      <c r="R194" s="5"/>
      <c r="S194" s="5"/>
      <c r="T194" s="5"/>
      <c r="U194" s="5"/>
      <c r="V194" s="5"/>
      <c r="W194" s="5"/>
      <c r="X194" s="5" t="str">
        <f>"195.26"</f>
        <v>195.26</v>
      </c>
      <c r="Y194" s="5" t="str">
        <f>"131.91"</f>
        <v>131.91</v>
      </c>
      <c r="Z194" s="5"/>
      <c r="AA194" s="5"/>
      <c r="AB194" s="5"/>
      <c r="AC194" s="5"/>
      <c r="AD194" s="5"/>
    </row>
    <row r="195" spans="1:30" ht="13.5" customHeight="1">
      <c r="A195" s="8">
        <v>193</v>
      </c>
      <c r="B195" s="8">
        <v>6131</v>
      </c>
      <c r="C195" s="9" t="s">
        <v>205</v>
      </c>
      <c r="D195" s="8" t="s">
        <v>29</v>
      </c>
      <c r="E195" s="8" t="str">
        <f>"150.28"</f>
        <v>150.28</v>
      </c>
      <c r="F195" s="8"/>
      <c r="G195" s="3">
        <v>160.05000000000001</v>
      </c>
      <c r="H195" s="10"/>
      <c r="I195" s="8">
        <v>3</v>
      </c>
      <c r="J195" s="10">
        <v>2017</v>
      </c>
      <c r="K195" s="5" t="str">
        <f>"199.46"</f>
        <v>199.46</v>
      </c>
      <c r="L195" s="5"/>
      <c r="M195" s="5"/>
      <c r="N195" s="5"/>
      <c r="O195" s="5"/>
      <c r="P195" s="5"/>
      <c r="Q195" s="5"/>
      <c r="R195" s="5"/>
      <c r="S195" s="5"/>
      <c r="T195" s="5"/>
      <c r="U195" s="5" t="str">
        <f>"219.00"</f>
        <v>219.00</v>
      </c>
      <c r="V195" s="5"/>
      <c r="W195" s="5"/>
      <c r="X195" s="5"/>
      <c r="Y195" s="5"/>
      <c r="Z195" s="5"/>
      <c r="AA195" s="5" t="str">
        <f>"101.09"</f>
        <v>101.09</v>
      </c>
      <c r="AB195" s="5"/>
      <c r="AC195" s="5"/>
      <c r="AD195" s="5"/>
    </row>
    <row r="196" spans="1:30" ht="13.5" customHeight="1">
      <c r="A196" s="8">
        <v>194</v>
      </c>
      <c r="B196" s="8">
        <v>4454</v>
      </c>
      <c r="C196" s="9" t="s">
        <v>94</v>
      </c>
      <c r="D196" s="8" t="s">
        <v>22</v>
      </c>
      <c r="E196" s="8" t="str">
        <f>"109.93"</f>
        <v>109.93</v>
      </c>
      <c r="F196" s="8"/>
      <c r="G196" s="3">
        <v>160.51</v>
      </c>
      <c r="H196" s="10" t="s">
        <v>12</v>
      </c>
      <c r="I196" s="8">
        <v>2</v>
      </c>
      <c r="J196" s="10">
        <v>2017</v>
      </c>
      <c r="K196" s="5" t="str">
        <f>"109.93"</f>
        <v>109.93</v>
      </c>
      <c r="L196" s="5"/>
      <c r="M196" s="5"/>
      <c r="N196" s="5" t="str">
        <f>"132.51"</f>
        <v>132.51</v>
      </c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13.5" customHeight="1">
      <c r="A197" s="8">
        <v>195</v>
      </c>
      <c r="B197" s="8">
        <v>4226</v>
      </c>
      <c r="C197" s="9" t="s">
        <v>1181</v>
      </c>
      <c r="D197" s="8" t="s">
        <v>170</v>
      </c>
      <c r="E197" s="8" t="str">
        <f>"133.13"</f>
        <v>133.13</v>
      </c>
      <c r="F197" s="8"/>
      <c r="G197" s="3">
        <v>161.13</v>
      </c>
      <c r="H197" s="10" t="s">
        <v>18</v>
      </c>
      <c r="I197" s="8">
        <v>1</v>
      </c>
      <c r="J197" s="10">
        <v>2017</v>
      </c>
      <c r="K197" s="5" t="str">
        <f>"133.13"</f>
        <v>133.13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13.5" customHeight="1">
      <c r="A198" s="8">
        <v>196</v>
      </c>
      <c r="B198" s="8">
        <v>8438</v>
      </c>
      <c r="C198" s="9" t="s">
        <v>258</v>
      </c>
      <c r="D198" s="8" t="s">
        <v>195</v>
      </c>
      <c r="E198" s="8" t="str">
        <f>"139.10"</f>
        <v>139.10</v>
      </c>
      <c r="F198" s="8"/>
      <c r="G198" s="3">
        <v>161.27000000000001</v>
      </c>
      <c r="H198" s="10"/>
      <c r="I198" s="8">
        <v>3</v>
      </c>
      <c r="J198" s="10">
        <v>2017</v>
      </c>
      <c r="K198" s="5" t="str">
        <f>"140.23"</f>
        <v>140.23</v>
      </c>
      <c r="L198" s="5"/>
      <c r="M198" s="5"/>
      <c r="N198" s="5" t="str">
        <f>"202.18"</f>
        <v>202.18</v>
      </c>
      <c r="O198" s="5"/>
      <c r="P198" s="5"/>
      <c r="Q198" s="5"/>
      <c r="R198" s="5"/>
      <c r="S198" s="5"/>
      <c r="T198" s="5"/>
      <c r="U198" s="5"/>
      <c r="V198" s="5"/>
      <c r="W198" s="5"/>
      <c r="X198" s="5" t="str">
        <f>"137.97"</f>
        <v>137.97</v>
      </c>
      <c r="Y198" s="5" t="str">
        <f>"184.56"</f>
        <v>184.56</v>
      </c>
      <c r="Z198" s="5"/>
      <c r="AA198" s="5"/>
      <c r="AB198" s="5"/>
      <c r="AC198" s="5"/>
      <c r="AD198" s="5"/>
    </row>
    <row r="199" spans="1:30" ht="13.5" customHeight="1">
      <c r="A199" s="8">
        <v>197</v>
      </c>
      <c r="B199" s="8">
        <v>7050</v>
      </c>
      <c r="C199" s="9" t="s">
        <v>138</v>
      </c>
      <c r="D199" s="8" t="s">
        <v>105</v>
      </c>
      <c r="E199" s="8" t="str">
        <f>"148.61"</f>
        <v>148.61</v>
      </c>
      <c r="F199" s="8"/>
      <c r="G199" s="3">
        <v>161.38</v>
      </c>
      <c r="H199" s="10" t="s">
        <v>12</v>
      </c>
      <c r="I199" s="8">
        <v>2</v>
      </c>
      <c r="J199" s="10">
        <v>2017</v>
      </c>
      <c r="K199" s="5" t="str">
        <f>"163.83"</f>
        <v>163.83</v>
      </c>
      <c r="L199" s="5"/>
      <c r="M199" s="5"/>
      <c r="N199" s="5"/>
      <c r="O199" s="5"/>
      <c r="P199" s="5"/>
      <c r="Q199" s="5"/>
      <c r="R199" s="5"/>
      <c r="S199" s="5" t="str">
        <f>"133.38"</f>
        <v>133.38</v>
      </c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13.5" customHeight="1">
      <c r="A200" s="8">
        <v>198</v>
      </c>
      <c r="B200" s="8">
        <v>6867</v>
      </c>
      <c r="C200" s="9" t="s">
        <v>75</v>
      </c>
      <c r="D200" s="8" t="s">
        <v>76</v>
      </c>
      <c r="E200" s="8" t="str">
        <f>"133.73"</f>
        <v>133.73</v>
      </c>
      <c r="F200" s="8"/>
      <c r="G200" s="3">
        <v>161.72999999999999</v>
      </c>
      <c r="H200" s="10" t="s">
        <v>18</v>
      </c>
      <c r="I200" s="8">
        <v>1</v>
      </c>
      <c r="J200" s="10">
        <v>2017</v>
      </c>
      <c r="K200" s="5" t="str">
        <f>"133.73"</f>
        <v>133.73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13.5" customHeight="1">
      <c r="A201" s="8">
        <v>199</v>
      </c>
      <c r="B201" s="8">
        <v>8709</v>
      </c>
      <c r="C201" s="9" t="s">
        <v>621</v>
      </c>
      <c r="D201" s="8" t="s">
        <v>44</v>
      </c>
      <c r="E201" s="8" t="str">
        <f>"134.81"</f>
        <v>134.81</v>
      </c>
      <c r="F201" s="8"/>
      <c r="G201" s="3">
        <v>162.81</v>
      </c>
      <c r="H201" s="10" t="s">
        <v>18</v>
      </c>
      <c r="I201" s="8">
        <v>1</v>
      </c>
      <c r="J201" s="10">
        <v>2017</v>
      </c>
      <c r="K201" s="5" t="str">
        <f>"134.81"</f>
        <v>134.81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13.5" customHeight="1">
      <c r="A202" s="8">
        <v>200</v>
      </c>
      <c r="B202" s="8">
        <v>2989</v>
      </c>
      <c r="C202" s="9" t="s">
        <v>331</v>
      </c>
      <c r="D202" s="8" t="s">
        <v>108</v>
      </c>
      <c r="E202" s="8" t="str">
        <f>"112.19"</f>
        <v>112.19</v>
      </c>
      <c r="F202" s="8"/>
      <c r="G202" s="3">
        <v>163.38</v>
      </c>
      <c r="H202" s="10" t="s">
        <v>12</v>
      </c>
      <c r="I202" s="8">
        <v>2</v>
      </c>
      <c r="J202" s="10">
        <v>2017</v>
      </c>
      <c r="K202" s="5" t="str">
        <f>"112.19"</f>
        <v>112.19</v>
      </c>
      <c r="L202" s="5"/>
      <c r="M202" s="5"/>
      <c r="N202" s="5"/>
      <c r="O202" s="5" t="str">
        <f>"135.38"</f>
        <v>135.38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3.5" customHeight="1">
      <c r="A203" s="8">
        <v>201</v>
      </c>
      <c r="B203" s="8">
        <v>10005</v>
      </c>
      <c r="C203" s="9" t="s">
        <v>585</v>
      </c>
      <c r="D203" s="8" t="s">
        <v>171</v>
      </c>
      <c r="E203" s="8" t="str">
        <f>"135.82"</f>
        <v>135.82</v>
      </c>
      <c r="F203" s="8"/>
      <c r="G203" s="3">
        <v>163.82</v>
      </c>
      <c r="H203" s="10" t="s">
        <v>18</v>
      </c>
      <c r="I203" s="8">
        <v>1</v>
      </c>
      <c r="J203" s="10">
        <v>2017</v>
      </c>
      <c r="K203" s="5" t="str">
        <f>"135.82"</f>
        <v>135.82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13.5" customHeight="1">
      <c r="A204" s="8">
        <v>202</v>
      </c>
      <c r="B204" s="8">
        <v>10278</v>
      </c>
      <c r="C204" s="9" t="s">
        <v>227</v>
      </c>
      <c r="D204" s="8" t="s">
        <v>76</v>
      </c>
      <c r="E204" s="8" t="str">
        <f>"143.75"</f>
        <v>143.75</v>
      </c>
      <c r="F204" s="8"/>
      <c r="G204" s="3">
        <v>163.85</v>
      </c>
      <c r="H204" s="10" t="s">
        <v>12</v>
      </c>
      <c r="I204" s="8">
        <v>2</v>
      </c>
      <c r="J204" s="10">
        <v>2017</v>
      </c>
      <c r="K204" s="5" t="str">
        <f>"151.64"</f>
        <v>151.64</v>
      </c>
      <c r="L204" s="5"/>
      <c r="M204" s="5"/>
      <c r="N204" s="5"/>
      <c r="O204" s="5"/>
      <c r="P204" s="5"/>
      <c r="Q204" s="5"/>
      <c r="R204" s="5"/>
      <c r="S204" s="5" t="str">
        <f>"135.85"</f>
        <v>135.85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13.5" customHeight="1">
      <c r="A205" s="8">
        <v>203</v>
      </c>
      <c r="B205" s="8">
        <v>6847</v>
      </c>
      <c r="C205" s="9" t="s">
        <v>235</v>
      </c>
      <c r="D205" s="8" t="s">
        <v>16</v>
      </c>
      <c r="E205" s="8" t="str">
        <f>"164.22"</f>
        <v>164.22</v>
      </c>
      <c r="F205" s="8"/>
      <c r="G205" s="3">
        <v>164.22</v>
      </c>
      <c r="H205" s="10"/>
      <c r="I205" s="8">
        <v>3</v>
      </c>
      <c r="J205" s="10">
        <v>2017</v>
      </c>
      <c r="K205" s="5" t="str">
        <f>"354.16"</f>
        <v>354.16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 t="str">
        <f>"158.88"</f>
        <v>158.88</v>
      </c>
      <c r="W205" s="5" t="str">
        <f>"169.55"</f>
        <v>169.55</v>
      </c>
      <c r="X205" s="5"/>
      <c r="Y205" s="5"/>
      <c r="Z205" s="5"/>
      <c r="AA205" s="5"/>
      <c r="AB205" s="5"/>
      <c r="AC205" s="5"/>
      <c r="AD205" s="5"/>
    </row>
    <row r="206" spans="1:30" ht="13.5" customHeight="1">
      <c r="A206" s="8">
        <v>204</v>
      </c>
      <c r="B206" s="8">
        <v>1487</v>
      </c>
      <c r="C206" s="9" t="s">
        <v>486</v>
      </c>
      <c r="D206" s="8" t="s">
        <v>487</v>
      </c>
      <c r="E206" s="8" t="str">
        <f>"128.85"</f>
        <v>128.85</v>
      </c>
      <c r="F206" s="8"/>
      <c r="G206" s="3">
        <v>164.75</v>
      </c>
      <c r="H206" s="10" t="s">
        <v>12</v>
      </c>
      <c r="I206" s="8">
        <v>2</v>
      </c>
      <c r="J206" s="10">
        <v>2017</v>
      </c>
      <c r="K206" s="5" t="str">
        <f>"128.85"</f>
        <v>128.85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 t="str">
        <f>"136.75"</f>
        <v>136.75</v>
      </c>
      <c r="AB206" s="5"/>
      <c r="AC206" s="5"/>
      <c r="AD206" s="5"/>
    </row>
    <row r="207" spans="1:30" ht="13.5" customHeight="1">
      <c r="A207" s="8">
        <v>205</v>
      </c>
      <c r="B207" s="8">
        <v>10297</v>
      </c>
      <c r="C207" s="9" t="s">
        <v>511</v>
      </c>
      <c r="D207" s="8" t="s">
        <v>76</v>
      </c>
      <c r="E207" s="8" t="str">
        <f>"169.02"</f>
        <v>169.02</v>
      </c>
      <c r="F207" s="8"/>
      <c r="G207" s="3">
        <v>165.16</v>
      </c>
      <c r="H207" s="10" t="s">
        <v>12</v>
      </c>
      <c r="I207" s="8">
        <v>2</v>
      </c>
      <c r="J207" s="10">
        <v>2017</v>
      </c>
      <c r="K207" s="5" t="str">
        <f>"200.88"</f>
        <v>200.88</v>
      </c>
      <c r="L207" s="5"/>
      <c r="M207" s="5"/>
      <c r="N207" s="5"/>
      <c r="O207" s="5"/>
      <c r="P207" s="5" t="str">
        <f>"137.16"</f>
        <v>137.16</v>
      </c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13.5" customHeight="1">
      <c r="A208" s="8">
        <v>206</v>
      </c>
      <c r="B208" s="8">
        <v>7806</v>
      </c>
      <c r="C208" s="9" t="s">
        <v>221</v>
      </c>
      <c r="D208" s="8" t="s">
        <v>165</v>
      </c>
      <c r="E208" s="8" t="str">
        <f>"138.87"</f>
        <v>138.87</v>
      </c>
      <c r="F208" s="8"/>
      <c r="G208" s="3">
        <v>166.87</v>
      </c>
      <c r="H208" s="10" t="s">
        <v>18</v>
      </c>
      <c r="I208" s="8">
        <v>1</v>
      </c>
      <c r="J208" s="10">
        <v>2017</v>
      </c>
      <c r="K208" s="5" t="str">
        <f>"138.87"</f>
        <v>138.87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13.5" customHeight="1">
      <c r="A209" s="8">
        <v>207</v>
      </c>
      <c r="B209" s="8">
        <v>10277</v>
      </c>
      <c r="C209" s="9" t="s">
        <v>250</v>
      </c>
      <c r="D209" s="8" t="s">
        <v>76</v>
      </c>
      <c r="E209" s="8" t="str">
        <f>"167.15"</f>
        <v>167.15</v>
      </c>
      <c r="F209" s="8"/>
      <c r="G209" s="3">
        <v>167.15</v>
      </c>
      <c r="H209" s="10" t="s">
        <v>12</v>
      </c>
      <c r="I209" s="8">
        <v>4</v>
      </c>
      <c r="J209" s="10">
        <v>2017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 t="str">
        <f>"139.15"</f>
        <v>139.15</v>
      </c>
      <c r="Y209" s="5"/>
      <c r="Z209" s="5"/>
      <c r="AA209" s="5"/>
      <c r="AB209" s="5"/>
      <c r="AC209" s="5"/>
      <c r="AD209" s="5"/>
    </row>
    <row r="210" spans="1:30" ht="13.5" customHeight="1">
      <c r="A210" s="8">
        <v>208</v>
      </c>
      <c r="B210" s="8">
        <v>5487</v>
      </c>
      <c r="C210" s="9" t="s">
        <v>251</v>
      </c>
      <c r="D210" s="8" t="s">
        <v>29</v>
      </c>
      <c r="E210" s="8" t="str">
        <f>"168.63"</f>
        <v>168.63</v>
      </c>
      <c r="F210" s="8"/>
      <c r="G210" s="3">
        <v>168.63</v>
      </c>
      <c r="H210" s="10"/>
      <c r="I210" s="8">
        <v>3</v>
      </c>
      <c r="J210" s="10">
        <v>2017</v>
      </c>
      <c r="K210" s="5" t="str">
        <f>"318.09"</f>
        <v>318.09</v>
      </c>
      <c r="L210" s="5"/>
      <c r="M210" s="5"/>
      <c r="N210" s="5" t="str">
        <f>"173.03"</f>
        <v>173.03</v>
      </c>
      <c r="O210" s="5"/>
      <c r="P210" s="5"/>
      <c r="Q210" s="5" t="str">
        <f>"181.58"</f>
        <v>181.58</v>
      </c>
      <c r="R210" s="5" t="str">
        <f>"199.00"</f>
        <v>199.00</v>
      </c>
      <c r="S210" s="5"/>
      <c r="T210" s="5"/>
      <c r="U210" s="5" t="str">
        <f>"272.90"</f>
        <v>272.90</v>
      </c>
      <c r="V210" s="5"/>
      <c r="W210" s="5"/>
      <c r="X210" s="5" t="str">
        <f>"164.22"</f>
        <v>164.22</v>
      </c>
      <c r="Y210" s="5"/>
      <c r="Z210" s="5"/>
      <c r="AA210" s="5"/>
      <c r="AB210" s="5"/>
      <c r="AC210" s="5"/>
      <c r="AD210" s="5"/>
    </row>
    <row r="211" spans="1:30" ht="13.5" customHeight="1">
      <c r="A211" s="8">
        <v>209</v>
      </c>
      <c r="B211" s="8">
        <v>10690</v>
      </c>
      <c r="C211" s="9" t="s">
        <v>439</v>
      </c>
      <c r="D211" s="8" t="s">
        <v>22</v>
      </c>
      <c r="E211" s="8" t="str">
        <f>"141.06"</f>
        <v>141.06</v>
      </c>
      <c r="F211" s="8"/>
      <c r="G211" s="3">
        <v>169.06</v>
      </c>
      <c r="H211" s="10" t="s">
        <v>18</v>
      </c>
      <c r="I211" s="8">
        <v>1</v>
      </c>
      <c r="J211" s="10">
        <v>2017</v>
      </c>
      <c r="K211" s="5" t="str">
        <f>"141.06"</f>
        <v>141.06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13.5" customHeight="1">
      <c r="A212" s="8">
        <v>210</v>
      </c>
      <c r="B212" s="8">
        <v>3908</v>
      </c>
      <c r="C212" s="9" t="s">
        <v>348</v>
      </c>
      <c r="D212" s="8" t="s">
        <v>117</v>
      </c>
      <c r="E212" s="8" t="str">
        <f>"154.98"</f>
        <v>154.98</v>
      </c>
      <c r="F212" s="8"/>
      <c r="G212" s="3">
        <v>169.57</v>
      </c>
      <c r="H212" s="10"/>
      <c r="I212" s="8">
        <v>3</v>
      </c>
      <c r="J212" s="10">
        <v>2017</v>
      </c>
      <c r="K212" s="5" t="str">
        <f>"154.98"</f>
        <v>154.98</v>
      </c>
      <c r="L212" s="5"/>
      <c r="M212" s="5"/>
      <c r="N212" s="5"/>
      <c r="O212" s="5"/>
      <c r="P212" s="5"/>
      <c r="Q212" s="5"/>
      <c r="R212" s="5"/>
      <c r="S212" s="5" t="str">
        <f>"163.78"</f>
        <v>163.78</v>
      </c>
      <c r="T212" s="5"/>
      <c r="U212" s="5"/>
      <c r="V212" s="5"/>
      <c r="W212" s="5"/>
      <c r="X212" s="5" t="str">
        <f>"175.35"</f>
        <v>175.35</v>
      </c>
      <c r="Y212" s="5"/>
      <c r="Z212" s="5"/>
      <c r="AA212" s="5"/>
      <c r="AB212" s="5"/>
      <c r="AC212" s="5"/>
      <c r="AD212" s="5"/>
    </row>
    <row r="213" spans="1:30" ht="13.5" customHeight="1">
      <c r="A213" s="8">
        <v>211</v>
      </c>
      <c r="B213" s="8">
        <v>2408</v>
      </c>
      <c r="C213" s="9" t="s">
        <v>306</v>
      </c>
      <c r="D213" s="8" t="s">
        <v>16</v>
      </c>
      <c r="E213" s="8" t="str">
        <f>"123.12"</f>
        <v>123.12</v>
      </c>
      <c r="F213" s="8"/>
      <c r="G213" s="3">
        <v>170.99</v>
      </c>
      <c r="H213" s="10" t="s">
        <v>12</v>
      </c>
      <c r="I213" s="8">
        <v>2</v>
      </c>
      <c r="J213" s="10">
        <v>2017</v>
      </c>
      <c r="K213" s="5" t="str">
        <f>"123.12"</f>
        <v>123.12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 t="str">
        <f>"142.99"</f>
        <v>142.99</v>
      </c>
    </row>
    <row r="214" spans="1:30" ht="13.5" customHeight="1">
      <c r="A214" s="8">
        <v>212</v>
      </c>
      <c r="B214" s="8">
        <v>3987</v>
      </c>
      <c r="C214" s="9" t="s">
        <v>178</v>
      </c>
      <c r="D214" s="8" t="s">
        <v>179</v>
      </c>
      <c r="E214" s="8" t="str">
        <f>"152.72"</f>
        <v>152.72</v>
      </c>
      <c r="F214" s="8"/>
      <c r="G214" s="3">
        <v>171.47</v>
      </c>
      <c r="H214" s="10"/>
      <c r="I214" s="8">
        <v>3</v>
      </c>
      <c r="J214" s="10">
        <v>2018</v>
      </c>
      <c r="K214" s="5" t="str">
        <f>"154.37"</f>
        <v>154.37</v>
      </c>
      <c r="L214" s="5"/>
      <c r="M214" s="5"/>
      <c r="N214" s="5" t="str">
        <f>"151.07"</f>
        <v>151.07</v>
      </c>
      <c r="O214" s="5"/>
      <c r="P214" s="5"/>
      <c r="Q214" s="5"/>
      <c r="R214" s="5"/>
      <c r="S214" s="5"/>
      <c r="T214" s="5"/>
      <c r="U214" s="5"/>
      <c r="V214" s="5"/>
      <c r="W214" s="5"/>
      <c r="X214" s="5" t="str">
        <f>"191.87"</f>
        <v>191.87</v>
      </c>
      <c r="Y214" s="5"/>
      <c r="Z214" s="5"/>
      <c r="AA214" s="5"/>
      <c r="AB214" s="5"/>
      <c r="AC214" s="5"/>
      <c r="AD214" s="5"/>
    </row>
    <row r="215" spans="1:30" ht="13.5" customHeight="1">
      <c r="A215" s="8">
        <v>213</v>
      </c>
      <c r="B215" s="8">
        <v>5374</v>
      </c>
      <c r="C215" s="9" t="s">
        <v>332</v>
      </c>
      <c r="D215" s="8" t="s">
        <v>164</v>
      </c>
      <c r="E215" s="8" t="str">
        <f>"171.48"</f>
        <v>171.48</v>
      </c>
      <c r="F215" s="8"/>
      <c r="G215" s="3">
        <v>171.48</v>
      </c>
      <c r="H215" s="10" t="s">
        <v>12</v>
      </c>
      <c r="I215" s="8">
        <v>4</v>
      </c>
      <c r="J215" s="10">
        <v>2017</v>
      </c>
      <c r="K215" s="5"/>
      <c r="L215" s="5"/>
      <c r="M215" s="5"/>
      <c r="N215" s="5"/>
      <c r="O215" s="5"/>
      <c r="P215" s="5"/>
      <c r="Q215" s="5"/>
      <c r="R215" s="5"/>
      <c r="S215" s="5" t="str">
        <f>"143.48"</f>
        <v>143.48</v>
      </c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13.5" customHeight="1">
      <c r="A216" s="8">
        <v>214</v>
      </c>
      <c r="B216" s="8">
        <v>6324</v>
      </c>
      <c r="C216" s="9" t="s">
        <v>1175</v>
      </c>
      <c r="D216" s="8" t="s">
        <v>108</v>
      </c>
      <c r="E216" s="8" t="str">
        <f>"143.88"</f>
        <v>143.88</v>
      </c>
      <c r="F216" s="8"/>
      <c r="G216" s="3">
        <v>171.88</v>
      </c>
      <c r="H216" s="10" t="s">
        <v>18</v>
      </c>
      <c r="I216" s="8">
        <v>1</v>
      </c>
      <c r="J216" s="10">
        <v>2017</v>
      </c>
      <c r="K216" s="5" t="str">
        <f>"143.88"</f>
        <v>143.88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13.5" customHeight="1">
      <c r="A217" s="8">
        <v>215</v>
      </c>
      <c r="B217" s="8">
        <v>1836</v>
      </c>
      <c r="C217" s="9" t="s">
        <v>426</v>
      </c>
      <c r="D217" s="8" t="s">
        <v>110</v>
      </c>
      <c r="E217" s="8" t="str">
        <f>"107.74"</f>
        <v>107.74</v>
      </c>
      <c r="F217" s="8"/>
      <c r="G217" s="3">
        <v>172.6</v>
      </c>
      <c r="H217" s="10" t="s">
        <v>12</v>
      </c>
      <c r="I217" s="8">
        <v>2</v>
      </c>
      <c r="J217" s="10">
        <v>2017</v>
      </c>
      <c r="K217" s="5" t="str">
        <f>"107.74"</f>
        <v>107.74</v>
      </c>
      <c r="L217" s="5"/>
      <c r="M217" s="5"/>
      <c r="N217" s="5"/>
      <c r="O217" s="5" t="str">
        <f>"144.60"</f>
        <v>144.60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13.5" customHeight="1">
      <c r="A218" s="8">
        <v>216</v>
      </c>
      <c r="B218" s="8">
        <v>10715</v>
      </c>
      <c r="C218" s="9" t="s">
        <v>479</v>
      </c>
      <c r="D218" s="8" t="s">
        <v>195</v>
      </c>
      <c r="E218" s="8" t="str">
        <f>"99.62"</f>
        <v>99.62</v>
      </c>
      <c r="F218" s="8"/>
      <c r="G218" s="3">
        <v>172.65</v>
      </c>
      <c r="H218" s="10" t="s">
        <v>12</v>
      </c>
      <c r="I218" s="8">
        <v>2</v>
      </c>
      <c r="J218" s="10">
        <v>2017</v>
      </c>
      <c r="K218" s="5" t="str">
        <f>"99.62"</f>
        <v>99.62</v>
      </c>
      <c r="L218" s="5"/>
      <c r="M218" s="5"/>
      <c r="N218" s="5"/>
      <c r="O218" s="5"/>
      <c r="P218" s="5"/>
      <c r="Q218" s="5"/>
      <c r="R218" s="5"/>
      <c r="S218" s="5" t="str">
        <f>"144.65"</f>
        <v>144.65</v>
      </c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13.5" customHeight="1">
      <c r="A219" s="8">
        <v>217</v>
      </c>
      <c r="B219" s="8">
        <v>742</v>
      </c>
      <c r="C219" s="9" t="s">
        <v>398</v>
      </c>
      <c r="D219" s="8" t="s">
        <v>22</v>
      </c>
      <c r="E219" s="8" t="str">
        <f>"157.83"</f>
        <v>157.83</v>
      </c>
      <c r="F219" s="8"/>
      <c r="G219" s="3">
        <v>173.23</v>
      </c>
      <c r="H219" s="10" t="s">
        <v>12</v>
      </c>
      <c r="I219" s="8">
        <v>2</v>
      </c>
      <c r="J219" s="10">
        <v>2017</v>
      </c>
      <c r="K219" s="5" t="str">
        <f>"170.42"</f>
        <v>170.42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 t="str">
        <f>"145.23"</f>
        <v>145.23</v>
      </c>
      <c r="AA219" s="5"/>
      <c r="AB219" s="5"/>
      <c r="AC219" s="5"/>
      <c r="AD219" s="5"/>
    </row>
    <row r="220" spans="1:30" ht="13.5" customHeight="1">
      <c r="A220" s="8">
        <v>218</v>
      </c>
      <c r="B220" s="8">
        <v>4366</v>
      </c>
      <c r="C220" s="9" t="s">
        <v>463</v>
      </c>
      <c r="D220" s="8" t="s">
        <v>121</v>
      </c>
      <c r="E220" s="8" t="str">
        <f>"145.91"</f>
        <v>145.91</v>
      </c>
      <c r="F220" s="8"/>
      <c r="G220" s="3">
        <v>173.91</v>
      </c>
      <c r="H220" s="10" t="s">
        <v>18</v>
      </c>
      <c r="I220" s="8">
        <v>1</v>
      </c>
      <c r="J220" s="10">
        <v>2017</v>
      </c>
      <c r="K220" s="5" t="str">
        <f>"145.91"</f>
        <v>145.91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13.5" customHeight="1">
      <c r="A221" s="8">
        <v>219</v>
      </c>
      <c r="B221" s="8">
        <v>10988</v>
      </c>
      <c r="C221" s="9" t="s">
        <v>343</v>
      </c>
      <c r="D221" s="8" t="s">
        <v>85</v>
      </c>
      <c r="E221" s="8" t="str">
        <f>"150.94"</f>
        <v>150.94</v>
      </c>
      <c r="F221" s="8"/>
      <c r="G221" s="3">
        <v>174.03</v>
      </c>
      <c r="H221" s="10" t="s">
        <v>12</v>
      </c>
      <c r="I221" s="8">
        <v>2</v>
      </c>
      <c r="J221" s="10">
        <v>2017</v>
      </c>
      <c r="K221" s="5" t="str">
        <f>"155.84"</f>
        <v>155.84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 t="str">
        <f>"146.03"</f>
        <v>146.03</v>
      </c>
      <c r="AB221" s="5"/>
      <c r="AC221" s="5"/>
      <c r="AD221" s="5"/>
    </row>
    <row r="222" spans="1:30" ht="13.5" customHeight="1">
      <c r="A222" s="8">
        <v>220</v>
      </c>
      <c r="B222" s="8">
        <v>350</v>
      </c>
      <c r="C222" s="9" t="s">
        <v>551</v>
      </c>
      <c r="D222" s="8" t="s">
        <v>552</v>
      </c>
      <c r="E222" s="8" t="str">
        <f>"111.14"</f>
        <v>111.14</v>
      </c>
      <c r="F222" s="8"/>
      <c r="G222" s="3">
        <v>174.65</v>
      </c>
      <c r="H222" s="10"/>
      <c r="I222" s="8">
        <v>3</v>
      </c>
      <c r="J222" s="10">
        <v>2017</v>
      </c>
      <c r="K222" s="5" t="str">
        <f>"111.14"</f>
        <v>111.14</v>
      </c>
      <c r="L222" s="5"/>
      <c r="M222" s="5"/>
      <c r="N222" s="5" t="str">
        <f>"212.35"</f>
        <v>212.35</v>
      </c>
      <c r="O222" s="5"/>
      <c r="P222" s="5"/>
      <c r="Q222" s="5"/>
      <c r="R222" s="5"/>
      <c r="S222" s="5"/>
      <c r="T222" s="5"/>
      <c r="U222" s="5"/>
      <c r="V222" s="5"/>
      <c r="W222" s="5"/>
      <c r="X222" s="5" t="str">
        <f>"136.94"</f>
        <v>136.94</v>
      </c>
      <c r="Y222" s="5"/>
      <c r="Z222" s="5"/>
      <c r="AA222" s="5"/>
      <c r="AB222" s="5"/>
      <c r="AC222" s="5"/>
      <c r="AD222" s="5"/>
    </row>
    <row r="223" spans="1:30" ht="13.5" customHeight="1">
      <c r="A223" s="8">
        <v>221</v>
      </c>
      <c r="B223" s="8">
        <v>3102</v>
      </c>
      <c r="C223" s="9" t="s">
        <v>292</v>
      </c>
      <c r="D223" s="8" t="s">
        <v>121</v>
      </c>
      <c r="E223" s="8" t="str">
        <f>"175.44"</f>
        <v>175.44</v>
      </c>
      <c r="F223" s="8"/>
      <c r="G223" s="3">
        <v>175.44</v>
      </c>
      <c r="H223" s="10"/>
      <c r="I223" s="8">
        <v>5</v>
      </c>
      <c r="J223" s="10">
        <v>2017</v>
      </c>
      <c r="K223" s="5"/>
      <c r="L223" s="5"/>
      <c r="M223" s="5"/>
      <c r="N223" s="5" t="str">
        <f>"193.29"</f>
        <v>193.29</v>
      </c>
      <c r="O223" s="5"/>
      <c r="P223" s="5"/>
      <c r="Q223" s="5"/>
      <c r="R223" s="5"/>
      <c r="S223" s="5"/>
      <c r="T223" s="5"/>
      <c r="U223" s="5"/>
      <c r="V223" s="5"/>
      <c r="W223" s="5"/>
      <c r="X223" s="5" t="str">
        <f>"157.58"</f>
        <v>157.58</v>
      </c>
      <c r="Y223" s="5"/>
      <c r="Z223" s="5"/>
      <c r="AA223" s="5"/>
      <c r="AB223" s="5"/>
      <c r="AC223" s="5"/>
      <c r="AD223" s="5"/>
    </row>
    <row r="224" spans="1:30" ht="13.5" customHeight="1">
      <c r="A224" s="8">
        <v>222</v>
      </c>
      <c r="B224" s="8">
        <v>4365</v>
      </c>
      <c r="C224" s="9" t="s">
        <v>1182</v>
      </c>
      <c r="D224" s="8" t="s">
        <v>1183</v>
      </c>
      <c r="E224" s="8" t="str">
        <f>"147.51"</f>
        <v>147.51</v>
      </c>
      <c r="F224" s="8"/>
      <c r="G224" s="3">
        <v>175.51</v>
      </c>
      <c r="H224" s="10" t="s">
        <v>18</v>
      </c>
      <c r="I224" s="8">
        <v>1</v>
      </c>
      <c r="J224" s="10">
        <v>2017</v>
      </c>
      <c r="K224" s="5" t="str">
        <f>"147.51"</f>
        <v>147.51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13.5" customHeight="1">
      <c r="A225" s="8">
        <v>223</v>
      </c>
      <c r="B225" s="8">
        <v>2317</v>
      </c>
      <c r="C225" s="9" t="s">
        <v>513</v>
      </c>
      <c r="D225" s="8" t="s">
        <v>16</v>
      </c>
      <c r="E225" s="8" t="str">
        <f>"147.68"</f>
        <v>147.68</v>
      </c>
      <c r="F225" s="8"/>
      <c r="G225" s="3">
        <v>175.68</v>
      </c>
      <c r="H225" s="10" t="s">
        <v>18</v>
      </c>
      <c r="I225" s="8">
        <v>1</v>
      </c>
      <c r="J225" s="10">
        <v>2017</v>
      </c>
      <c r="K225" s="5" t="str">
        <f>"147.68"</f>
        <v>147.68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13.5" customHeight="1">
      <c r="A226" s="8">
        <v>224</v>
      </c>
      <c r="B226" s="8">
        <v>10499</v>
      </c>
      <c r="C226" s="9" t="s">
        <v>229</v>
      </c>
      <c r="D226" s="8" t="s">
        <v>16</v>
      </c>
      <c r="E226" s="8" t="str">
        <f>"176.54"</f>
        <v>176.54</v>
      </c>
      <c r="F226" s="8"/>
      <c r="G226" s="3">
        <v>176.54</v>
      </c>
      <c r="H226" s="10"/>
      <c r="I226" s="8">
        <v>5</v>
      </c>
      <c r="J226" s="10">
        <v>2017</v>
      </c>
      <c r="K226" s="5"/>
      <c r="L226" s="5"/>
      <c r="M226" s="5" t="str">
        <f>"116.87"</f>
        <v>116.87</v>
      </c>
      <c r="N226" s="5"/>
      <c r="O226" s="5"/>
      <c r="P226" s="5"/>
      <c r="Q226" s="5"/>
      <c r="R226" s="5"/>
      <c r="S226" s="5"/>
      <c r="T226" s="5"/>
      <c r="U226" s="5"/>
      <c r="V226" s="5"/>
      <c r="W226" s="5" t="str">
        <f>"236.20"</f>
        <v>236.20</v>
      </c>
      <c r="X226" s="5"/>
      <c r="Y226" s="5"/>
      <c r="Z226" s="5"/>
      <c r="AA226" s="5"/>
      <c r="AB226" s="5"/>
      <c r="AC226" s="5"/>
      <c r="AD226" s="5"/>
    </row>
    <row r="227" spans="1:30" ht="13.5" customHeight="1">
      <c r="A227" s="8">
        <v>225</v>
      </c>
      <c r="B227" s="8">
        <v>2915</v>
      </c>
      <c r="C227" s="9" t="s">
        <v>141</v>
      </c>
      <c r="D227" s="8" t="s">
        <v>67</v>
      </c>
      <c r="E227" s="8" t="str">
        <f>"96.70"</f>
        <v>96.70</v>
      </c>
      <c r="F227" s="8"/>
      <c r="G227" s="3">
        <v>176.66</v>
      </c>
      <c r="H227" s="10" t="s">
        <v>12</v>
      </c>
      <c r="I227" s="8">
        <v>2</v>
      </c>
      <c r="J227" s="10">
        <v>2017</v>
      </c>
      <c r="K227" s="5" t="str">
        <f>"96.70"</f>
        <v>96.70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 t="str">
        <f>"148.66"</f>
        <v>148.66</v>
      </c>
      <c r="AB227" s="5"/>
      <c r="AC227" s="5"/>
      <c r="AD227" s="5"/>
    </row>
    <row r="228" spans="1:30" ht="13.5" customHeight="1">
      <c r="A228" s="8">
        <v>226</v>
      </c>
      <c r="B228" s="8">
        <v>10127</v>
      </c>
      <c r="C228" s="9" t="s">
        <v>295</v>
      </c>
      <c r="D228" s="8" t="s">
        <v>16</v>
      </c>
      <c r="E228" s="8" t="str">
        <f>"176.89"</f>
        <v>176.89</v>
      </c>
      <c r="F228" s="8"/>
      <c r="G228" s="3">
        <v>176.89</v>
      </c>
      <c r="H228" s="10"/>
      <c r="I228" s="8">
        <v>3</v>
      </c>
      <c r="J228" s="10">
        <v>2017</v>
      </c>
      <c r="K228" s="5" t="str">
        <f>"221.76"</f>
        <v>221.76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 t="str">
        <f>"193.36"</f>
        <v>193.36</v>
      </c>
      <c r="W228" s="5"/>
      <c r="X228" s="5"/>
      <c r="Y228" s="5"/>
      <c r="Z228" s="5"/>
      <c r="AA228" s="5"/>
      <c r="AB228" s="5"/>
      <c r="AC228" s="5" t="str">
        <f>"160.42"</f>
        <v>160.42</v>
      </c>
      <c r="AD228" s="5"/>
    </row>
    <row r="229" spans="1:30" ht="13.5" customHeight="1">
      <c r="A229" s="8">
        <v>227</v>
      </c>
      <c r="B229" s="8">
        <v>4253</v>
      </c>
      <c r="C229" s="9" t="s">
        <v>716</v>
      </c>
      <c r="D229" s="8" t="s">
        <v>117</v>
      </c>
      <c r="E229" s="8" t="str">
        <f>"150.03"</f>
        <v>150.03</v>
      </c>
      <c r="F229" s="8"/>
      <c r="G229" s="3">
        <v>178.03</v>
      </c>
      <c r="H229" s="10" t="s">
        <v>18</v>
      </c>
      <c r="I229" s="8">
        <v>1</v>
      </c>
      <c r="J229" s="10">
        <v>2017</v>
      </c>
      <c r="K229" s="5" t="str">
        <f>"150.03"</f>
        <v>150.03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13.5" customHeight="1">
      <c r="A230" s="8">
        <v>228</v>
      </c>
      <c r="B230" s="8">
        <v>10285</v>
      </c>
      <c r="C230" s="9" t="s">
        <v>383</v>
      </c>
      <c r="D230" s="8" t="s">
        <v>16</v>
      </c>
      <c r="E230" s="8" t="str">
        <f>"178.06"</f>
        <v>178.06</v>
      </c>
      <c r="F230" s="8"/>
      <c r="G230" s="3">
        <v>178.06</v>
      </c>
      <c r="H230" s="10"/>
      <c r="I230" s="8">
        <v>3</v>
      </c>
      <c r="J230" s="10">
        <v>2017</v>
      </c>
      <c r="K230" s="5" t="str">
        <f>"238.52"</f>
        <v>238.52</v>
      </c>
      <c r="L230" s="5"/>
      <c r="M230" s="5"/>
      <c r="N230" s="5"/>
      <c r="O230" s="5"/>
      <c r="P230" s="5"/>
      <c r="Q230" s="5"/>
      <c r="R230" s="5"/>
      <c r="S230" s="5"/>
      <c r="T230" s="5"/>
      <c r="U230" s="5" t="str">
        <f>"344.00"</f>
        <v>344.00</v>
      </c>
      <c r="V230" s="5"/>
      <c r="W230" s="5"/>
      <c r="X230" s="5" t="str">
        <f>"223.43"</f>
        <v>223.43</v>
      </c>
      <c r="Y230" s="5"/>
      <c r="Z230" s="5"/>
      <c r="AA230" s="5"/>
      <c r="AB230" s="5" t="str">
        <f>"162.93"</f>
        <v>162.93</v>
      </c>
      <c r="AC230" s="5" t="str">
        <f>"193.18"</f>
        <v>193.18</v>
      </c>
      <c r="AD230" s="5" t="str">
        <f>"257.08"</f>
        <v>257.08</v>
      </c>
    </row>
    <row r="231" spans="1:30" ht="13.5" customHeight="1">
      <c r="A231" s="8">
        <v>229</v>
      </c>
      <c r="B231" s="8">
        <v>2287</v>
      </c>
      <c r="C231" s="9" t="s">
        <v>324</v>
      </c>
      <c r="D231" s="8" t="s">
        <v>16</v>
      </c>
      <c r="E231" s="8" t="str">
        <f>"178.11"</f>
        <v>178.11</v>
      </c>
      <c r="F231" s="8"/>
      <c r="G231" s="3">
        <v>178.11</v>
      </c>
      <c r="H231" s="10"/>
      <c r="I231" s="8">
        <v>3</v>
      </c>
      <c r="J231" s="10">
        <v>2017</v>
      </c>
      <c r="K231" s="5" t="str">
        <f>"210.39"</f>
        <v>210.39</v>
      </c>
      <c r="L231" s="5"/>
      <c r="M231" s="5" t="str">
        <f>"208.76"</f>
        <v>208.76</v>
      </c>
      <c r="N231" s="5"/>
      <c r="O231" s="5"/>
      <c r="P231" s="5"/>
      <c r="Q231" s="5"/>
      <c r="R231" s="5"/>
      <c r="S231" s="5"/>
      <c r="T231" s="5"/>
      <c r="U231" s="5"/>
      <c r="V231" s="5"/>
      <c r="W231" s="5" t="str">
        <f>"180.99"</f>
        <v>180.99</v>
      </c>
      <c r="X231" s="5"/>
      <c r="Y231" s="5"/>
      <c r="Z231" s="5"/>
      <c r="AA231" s="5" t="str">
        <f>"211.35"</f>
        <v>211.35</v>
      </c>
      <c r="AB231" s="5"/>
      <c r="AC231" s="5"/>
      <c r="AD231" s="5" t="str">
        <f>"175.22"</f>
        <v>175.22</v>
      </c>
    </row>
    <row r="232" spans="1:30" ht="13.5" customHeight="1">
      <c r="A232" s="8">
        <v>230</v>
      </c>
      <c r="B232" s="8">
        <v>1844</v>
      </c>
      <c r="C232" s="9" t="s">
        <v>23</v>
      </c>
      <c r="D232" s="8" t="s">
        <v>24</v>
      </c>
      <c r="E232" s="8" t="str">
        <f>"150.25"</f>
        <v>150.25</v>
      </c>
      <c r="F232" s="8"/>
      <c r="G232" s="3">
        <v>178.25</v>
      </c>
      <c r="H232" s="10" t="s">
        <v>18</v>
      </c>
      <c r="I232" s="8">
        <v>1</v>
      </c>
      <c r="J232" s="10">
        <v>2017</v>
      </c>
      <c r="K232" s="5" t="str">
        <f>"150.25"</f>
        <v>150.25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13.5" customHeight="1">
      <c r="A233" s="8">
        <v>231</v>
      </c>
      <c r="B233" s="8">
        <v>467</v>
      </c>
      <c r="C233" s="9" t="s">
        <v>435</v>
      </c>
      <c r="D233" s="8" t="s">
        <v>195</v>
      </c>
      <c r="E233" s="8" t="str">
        <f>"149.02"</f>
        <v>149.02</v>
      </c>
      <c r="F233" s="8"/>
      <c r="G233" s="3">
        <v>178.55</v>
      </c>
      <c r="H233" s="10" t="s">
        <v>12</v>
      </c>
      <c r="I233" s="8">
        <v>2</v>
      </c>
      <c r="J233" s="10">
        <v>2017</v>
      </c>
      <c r="K233" s="5" t="str">
        <f>"149.02"</f>
        <v>149.02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 t="str">
        <f>"150.55"</f>
        <v>150.55</v>
      </c>
      <c r="Z233" s="5"/>
      <c r="AA233" s="5"/>
      <c r="AB233" s="5"/>
      <c r="AC233" s="5"/>
      <c r="AD233" s="5"/>
    </row>
    <row r="234" spans="1:30" ht="13.5" customHeight="1">
      <c r="A234" s="8">
        <v>232</v>
      </c>
      <c r="B234" s="8">
        <v>2017</v>
      </c>
      <c r="C234" s="9" t="s">
        <v>382</v>
      </c>
      <c r="D234" s="8" t="s">
        <v>378</v>
      </c>
      <c r="E234" s="8" t="str">
        <f>"150.84"</f>
        <v>150.84</v>
      </c>
      <c r="F234" s="8"/>
      <c r="G234" s="3">
        <v>178.84</v>
      </c>
      <c r="H234" s="10" t="s">
        <v>18</v>
      </c>
      <c r="I234" s="8">
        <v>1</v>
      </c>
      <c r="J234" s="10">
        <v>2017</v>
      </c>
      <c r="K234" s="5" t="str">
        <f>"150.84"</f>
        <v>150.84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13.5" customHeight="1">
      <c r="A235" s="8">
        <v>233</v>
      </c>
      <c r="B235" s="8">
        <v>8465</v>
      </c>
      <c r="C235" s="9" t="s">
        <v>498</v>
      </c>
      <c r="D235" s="8" t="s">
        <v>131</v>
      </c>
      <c r="E235" s="8" t="str">
        <f>"169.77"</f>
        <v>169.77</v>
      </c>
      <c r="F235" s="8"/>
      <c r="G235" s="3">
        <v>179.23</v>
      </c>
      <c r="H235" s="10" t="s">
        <v>12</v>
      </c>
      <c r="I235" s="8">
        <v>2</v>
      </c>
      <c r="J235" s="10">
        <v>2018</v>
      </c>
      <c r="K235" s="5" t="str">
        <f>"188.31"</f>
        <v>188.31</v>
      </c>
      <c r="L235" s="5"/>
      <c r="M235" s="5" t="str">
        <f>"151.23"</f>
        <v>151.23</v>
      </c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13.5" customHeight="1">
      <c r="A236" s="8">
        <v>234</v>
      </c>
      <c r="B236" s="8">
        <v>10478</v>
      </c>
      <c r="C236" s="9" t="s">
        <v>86</v>
      </c>
      <c r="D236" s="8" t="s">
        <v>29</v>
      </c>
      <c r="E236" s="8" t="str">
        <f>"179.45"</f>
        <v>179.45</v>
      </c>
      <c r="F236" s="8"/>
      <c r="G236" s="3">
        <v>179.45</v>
      </c>
      <c r="H236" s="10"/>
      <c r="I236" s="8">
        <v>3</v>
      </c>
      <c r="J236" s="10">
        <v>2017</v>
      </c>
      <c r="K236" s="5" t="str">
        <f>"202.16"</f>
        <v>202.16</v>
      </c>
      <c r="L236" s="5"/>
      <c r="M236" s="5"/>
      <c r="N236" s="5"/>
      <c r="O236" s="5"/>
      <c r="P236" s="5"/>
      <c r="Q236" s="5"/>
      <c r="R236" s="5" t="str">
        <f>"479.47"</f>
        <v>479.47</v>
      </c>
      <c r="S236" s="5"/>
      <c r="T236" s="5"/>
      <c r="U236" s="5" t="str">
        <f>"168.62"</f>
        <v>168.62</v>
      </c>
      <c r="V236" s="5"/>
      <c r="W236" s="5"/>
      <c r="X236" s="5"/>
      <c r="Y236" s="5"/>
      <c r="Z236" s="5"/>
      <c r="AA236" s="5"/>
      <c r="AB236" s="5"/>
      <c r="AC236" s="5"/>
      <c r="AD236" s="5" t="str">
        <f>"190.27"</f>
        <v>190.27</v>
      </c>
    </row>
    <row r="237" spans="1:30" ht="13.5" customHeight="1">
      <c r="A237" s="8">
        <v>235</v>
      </c>
      <c r="B237" s="8">
        <v>10087</v>
      </c>
      <c r="C237" s="9" t="s">
        <v>256</v>
      </c>
      <c r="D237" s="8" t="s">
        <v>257</v>
      </c>
      <c r="E237" s="8" t="str">
        <f>"179.46"</f>
        <v>179.46</v>
      </c>
      <c r="F237" s="8"/>
      <c r="G237" s="3">
        <v>179.46</v>
      </c>
      <c r="H237" s="10" t="s">
        <v>12</v>
      </c>
      <c r="I237" s="8">
        <v>4</v>
      </c>
      <c r="J237" s="10">
        <v>2018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 t="str">
        <f>"151.46"</f>
        <v>151.46</v>
      </c>
      <c r="Y237" s="5"/>
      <c r="Z237" s="5"/>
      <c r="AA237" s="5"/>
      <c r="AB237" s="5"/>
      <c r="AC237" s="5"/>
      <c r="AD237" s="5"/>
    </row>
    <row r="238" spans="1:30" ht="13.5" customHeight="1">
      <c r="A238" s="8">
        <v>236</v>
      </c>
      <c r="B238" s="8">
        <v>4377</v>
      </c>
      <c r="C238" s="9" t="s">
        <v>214</v>
      </c>
      <c r="D238" s="8" t="s">
        <v>169</v>
      </c>
      <c r="E238" s="8" t="str">
        <f>"142.37"</f>
        <v>142.37</v>
      </c>
      <c r="F238" s="8"/>
      <c r="G238" s="3">
        <v>180.08</v>
      </c>
      <c r="H238" s="10"/>
      <c r="I238" s="8">
        <v>3</v>
      </c>
      <c r="J238" s="10">
        <v>2017</v>
      </c>
      <c r="K238" s="5" t="str">
        <f>"142.37"</f>
        <v>142.37</v>
      </c>
      <c r="L238" s="5"/>
      <c r="M238" s="5"/>
      <c r="N238" s="5"/>
      <c r="O238" s="5" t="str">
        <f>"191.44"</f>
        <v>191.44</v>
      </c>
      <c r="P238" s="5"/>
      <c r="Q238" s="5"/>
      <c r="R238" s="5"/>
      <c r="S238" s="5" t="str">
        <f>"168.72"</f>
        <v>168.72</v>
      </c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13.5" customHeight="1">
      <c r="A239" s="8">
        <v>237</v>
      </c>
      <c r="B239" s="8">
        <v>8319</v>
      </c>
      <c r="C239" s="9" t="s">
        <v>269</v>
      </c>
      <c r="D239" s="8" t="s">
        <v>270</v>
      </c>
      <c r="E239" s="8" t="str">
        <f>"119.80"</f>
        <v>119.80</v>
      </c>
      <c r="F239" s="8"/>
      <c r="G239" s="3">
        <v>180.27</v>
      </c>
      <c r="H239" s="10" t="s">
        <v>12</v>
      </c>
      <c r="I239" s="8">
        <v>2</v>
      </c>
      <c r="J239" s="10">
        <v>2017</v>
      </c>
      <c r="K239" s="5" t="str">
        <f>"119.80"</f>
        <v>119.80</v>
      </c>
      <c r="L239" s="5"/>
      <c r="M239" s="5"/>
      <c r="N239" s="5" t="str">
        <f>"152.27"</f>
        <v>152.27</v>
      </c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13.5" customHeight="1">
      <c r="A240" s="8">
        <v>238</v>
      </c>
      <c r="B240" s="8">
        <v>5336</v>
      </c>
      <c r="C240" s="9" t="s">
        <v>699</v>
      </c>
      <c r="D240" s="8" t="s">
        <v>131</v>
      </c>
      <c r="E240" s="8" t="str">
        <f>"169.76"</f>
        <v>169.76</v>
      </c>
      <c r="F240" s="8"/>
      <c r="G240" s="3">
        <v>181.71</v>
      </c>
      <c r="H240" s="10" t="s">
        <v>12</v>
      </c>
      <c r="I240" s="8">
        <v>2</v>
      </c>
      <c r="J240" s="10">
        <v>2018</v>
      </c>
      <c r="K240" s="5" t="str">
        <f>"185.81"</f>
        <v>185.81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 t="str">
        <f>"153.71"</f>
        <v>153.71</v>
      </c>
      <c r="AC240" s="5"/>
      <c r="AD240" s="5"/>
    </row>
    <row r="241" spans="1:30" ht="13.5" customHeight="1">
      <c r="A241" s="8">
        <v>239</v>
      </c>
      <c r="B241" s="8">
        <v>3338</v>
      </c>
      <c r="C241" s="9" t="s">
        <v>356</v>
      </c>
      <c r="D241" s="8" t="s">
        <v>44</v>
      </c>
      <c r="E241" s="8" t="str">
        <f>"140.50"</f>
        <v>140.50</v>
      </c>
      <c r="F241" s="8"/>
      <c r="G241" s="3">
        <v>181.76</v>
      </c>
      <c r="H241" s="10"/>
      <c r="I241" s="8">
        <v>3</v>
      </c>
      <c r="J241" s="10">
        <v>2017</v>
      </c>
      <c r="K241" s="5" t="str">
        <f>"165.81"</f>
        <v>165.81</v>
      </c>
      <c r="L241" s="5"/>
      <c r="M241" s="5"/>
      <c r="N241" s="5" t="str">
        <f>"248.32"</f>
        <v>248.32</v>
      </c>
      <c r="O241" s="5"/>
      <c r="P241" s="5"/>
      <c r="Q241" s="5"/>
      <c r="R241" s="5"/>
      <c r="S241" s="5" t="str">
        <f>"115.19"</f>
        <v>115.19</v>
      </c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13.5" customHeight="1">
      <c r="A242" s="8">
        <v>240</v>
      </c>
      <c r="B242" s="8">
        <v>3996</v>
      </c>
      <c r="C242" s="9" t="s">
        <v>416</v>
      </c>
      <c r="D242" s="8" t="s">
        <v>24</v>
      </c>
      <c r="E242" s="8" t="str">
        <f>"152.16"</f>
        <v>152.16</v>
      </c>
      <c r="F242" s="8"/>
      <c r="G242" s="3">
        <v>181.88</v>
      </c>
      <c r="H242" s="10" t="s">
        <v>12</v>
      </c>
      <c r="I242" s="8">
        <v>2</v>
      </c>
      <c r="J242" s="10">
        <v>2017</v>
      </c>
      <c r="K242" s="5" t="str">
        <f>"152.16"</f>
        <v>152.16</v>
      </c>
      <c r="L242" s="5"/>
      <c r="M242" s="5"/>
      <c r="N242" s="5"/>
      <c r="O242" s="5"/>
      <c r="P242" s="5"/>
      <c r="Q242" s="5"/>
      <c r="R242" s="5"/>
      <c r="S242" s="5" t="str">
        <f>"153.88"</f>
        <v>153.88</v>
      </c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13.5" customHeight="1">
      <c r="A243" s="8">
        <v>241</v>
      </c>
      <c r="B243" s="8">
        <v>4005</v>
      </c>
      <c r="C243" s="9" t="s">
        <v>421</v>
      </c>
      <c r="D243" s="8" t="s">
        <v>318</v>
      </c>
      <c r="E243" s="8" t="str">
        <f>"182.19"</f>
        <v>182.19</v>
      </c>
      <c r="F243" s="8"/>
      <c r="G243" s="3">
        <v>182.19</v>
      </c>
      <c r="H243" s="10"/>
      <c r="I243" s="8">
        <v>5</v>
      </c>
      <c r="J243" s="10">
        <v>2017</v>
      </c>
      <c r="K243" s="5"/>
      <c r="L243" s="5"/>
      <c r="M243" s="5"/>
      <c r="N243" s="5"/>
      <c r="O243" s="5"/>
      <c r="P243" s="5"/>
      <c r="Q243" s="5"/>
      <c r="R243" s="5"/>
      <c r="S243" s="5" t="str">
        <f>"161.08"</f>
        <v>161.08</v>
      </c>
      <c r="T243" s="5"/>
      <c r="U243" s="5"/>
      <c r="V243" s="5"/>
      <c r="W243" s="5"/>
      <c r="X243" s="5"/>
      <c r="Y243" s="5"/>
      <c r="Z243" s="5"/>
      <c r="AA243" s="5" t="str">
        <f>"203.30"</f>
        <v>203.30</v>
      </c>
      <c r="AB243" s="5"/>
      <c r="AC243" s="5"/>
      <c r="AD243" s="5"/>
    </row>
    <row r="244" spans="1:30" ht="13.5" customHeight="1">
      <c r="A244" s="8">
        <v>242</v>
      </c>
      <c r="B244" s="8">
        <v>3346</v>
      </c>
      <c r="C244" s="9" t="s">
        <v>230</v>
      </c>
      <c r="D244" s="8" t="s">
        <v>231</v>
      </c>
      <c r="E244" s="8" t="str">
        <f>"184.33"</f>
        <v>184.33</v>
      </c>
      <c r="F244" s="8"/>
      <c r="G244" s="3">
        <v>182.25</v>
      </c>
      <c r="H244" s="10" t="s">
        <v>12</v>
      </c>
      <c r="I244" s="8">
        <v>2</v>
      </c>
      <c r="J244" s="10">
        <v>2017</v>
      </c>
      <c r="K244" s="5" t="str">
        <f>"214.41"</f>
        <v>214.41</v>
      </c>
      <c r="L244" s="5"/>
      <c r="M244" s="5"/>
      <c r="N244" s="5"/>
      <c r="O244" s="5"/>
      <c r="P244" s="5"/>
      <c r="Q244" s="5"/>
      <c r="R244" s="5"/>
      <c r="S244" s="5" t="str">
        <f>"154.25"</f>
        <v>154.25</v>
      </c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13.5" customHeight="1">
      <c r="A245" s="8">
        <v>243</v>
      </c>
      <c r="B245" s="8">
        <v>8103</v>
      </c>
      <c r="C245" s="9" t="s">
        <v>180</v>
      </c>
      <c r="D245" s="8" t="s">
        <v>181</v>
      </c>
      <c r="E245" s="8" t="str">
        <f>"182.36"</f>
        <v>182.36</v>
      </c>
      <c r="F245" s="8"/>
      <c r="G245" s="3">
        <v>182.36</v>
      </c>
      <c r="H245" s="10"/>
      <c r="I245" s="8">
        <v>3</v>
      </c>
      <c r="J245" s="10">
        <v>2018</v>
      </c>
      <c r="K245" s="5" t="str">
        <f>"207.84"</f>
        <v>207.84</v>
      </c>
      <c r="L245" s="5"/>
      <c r="M245" s="5"/>
      <c r="N245" s="5" t="str">
        <f>"195.78"</f>
        <v>195.78</v>
      </c>
      <c r="O245" s="5"/>
      <c r="P245" s="5"/>
      <c r="Q245" s="5"/>
      <c r="R245" s="5"/>
      <c r="S245" s="5"/>
      <c r="T245" s="5"/>
      <c r="U245" s="5"/>
      <c r="V245" s="5"/>
      <c r="W245" s="5"/>
      <c r="X245" s="5" t="str">
        <f>"168.94"</f>
        <v>168.94</v>
      </c>
      <c r="Y245" s="5"/>
      <c r="Z245" s="5"/>
      <c r="AA245" s="5"/>
      <c r="AB245" s="5"/>
      <c r="AC245" s="5"/>
      <c r="AD245" s="5"/>
    </row>
    <row r="246" spans="1:30" ht="13.5" customHeight="1">
      <c r="A246" s="8">
        <v>244</v>
      </c>
      <c r="B246" s="8">
        <v>3464</v>
      </c>
      <c r="C246" s="9" t="s">
        <v>393</v>
      </c>
      <c r="D246" s="8" t="s">
        <v>394</v>
      </c>
      <c r="E246" s="8" t="str">
        <f>"171.18"</f>
        <v>171.18</v>
      </c>
      <c r="F246" s="8"/>
      <c r="G246" s="3">
        <v>182.54</v>
      </c>
      <c r="H246" s="10" t="s">
        <v>12</v>
      </c>
      <c r="I246" s="8">
        <v>2</v>
      </c>
      <c r="J246" s="10">
        <v>2017</v>
      </c>
      <c r="K246" s="5" t="str">
        <f>"187.81"</f>
        <v>187.81</v>
      </c>
      <c r="L246" s="5"/>
      <c r="M246" s="5"/>
      <c r="N246" s="5"/>
      <c r="O246" s="5"/>
      <c r="P246" s="5"/>
      <c r="Q246" s="5"/>
      <c r="R246" s="5"/>
      <c r="S246" s="5" t="str">
        <f>"154.54"</f>
        <v>154.54</v>
      </c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3.5" customHeight="1">
      <c r="A247" s="8">
        <v>245</v>
      </c>
      <c r="B247" s="8">
        <v>3008</v>
      </c>
      <c r="C247" s="9" t="s">
        <v>372</v>
      </c>
      <c r="D247" s="8" t="s">
        <v>58</v>
      </c>
      <c r="E247" s="8" t="str">
        <f>"154.98"</f>
        <v>154.98</v>
      </c>
      <c r="F247" s="8"/>
      <c r="G247" s="3">
        <v>182.98</v>
      </c>
      <c r="H247" s="10" t="s">
        <v>18</v>
      </c>
      <c r="I247" s="8">
        <v>1</v>
      </c>
      <c r="J247" s="10">
        <v>2017</v>
      </c>
      <c r="K247" s="5" t="str">
        <f>"154.98"</f>
        <v>154.98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3.5" customHeight="1">
      <c r="A248" s="8">
        <v>246</v>
      </c>
      <c r="B248" s="8">
        <v>10869</v>
      </c>
      <c r="C248" s="9" t="s">
        <v>411</v>
      </c>
      <c r="D248" s="8" t="s">
        <v>16</v>
      </c>
      <c r="E248" s="8" t="str">
        <f>"183.41"</f>
        <v>183.41</v>
      </c>
      <c r="F248" s="8"/>
      <c r="G248" s="3">
        <v>183.41</v>
      </c>
      <c r="H248" s="10"/>
      <c r="I248" s="8">
        <v>3</v>
      </c>
      <c r="J248" s="10">
        <v>2017</v>
      </c>
      <c r="K248" s="5" t="str">
        <f>"238.08"</f>
        <v>238.08</v>
      </c>
      <c r="L248" s="5" t="str">
        <f>"195.20"</f>
        <v>195.20</v>
      </c>
      <c r="M248" s="5" t="str">
        <f>"320.53"</f>
        <v>320.53</v>
      </c>
      <c r="N248" s="5"/>
      <c r="O248" s="5"/>
      <c r="P248" s="5"/>
      <c r="Q248" s="5"/>
      <c r="R248" s="5"/>
      <c r="S248" s="5"/>
      <c r="T248" s="5"/>
      <c r="U248" s="5"/>
      <c r="V248" s="5" t="str">
        <f>"171.62"</f>
        <v>171.62</v>
      </c>
      <c r="W248" s="5" t="str">
        <f>"299.37"</f>
        <v>299.37</v>
      </c>
      <c r="X248" s="5"/>
      <c r="Y248" s="5"/>
      <c r="Z248" s="5"/>
      <c r="AA248" s="5"/>
      <c r="AB248" s="5"/>
      <c r="AC248" s="5"/>
      <c r="AD248" s="5"/>
    </row>
    <row r="249" spans="1:30" ht="13.5" customHeight="1">
      <c r="A249" s="8">
        <v>247</v>
      </c>
      <c r="B249" s="8">
        <v>1342</v>
      </c>
      <c r="C249" s="9" t="s">
        <v>662</v>
      </c>
      <c r="D249" s="8" t="s">
        <v>195</v>
      </c>
      <c r="E249" s="8" t="str">
        <f>"155.42"</f>
        <v>155.42</v>
      </c>
      <c r="F249" s="8"/>
      <c r="G249" s="3">
        <v>183.42</v>
      </c>
      <c r="H249" s="10" t="s">
        <v>18</v>
      </c>
      <c r="I249" s="8">
        <v>1</v>
      </c>
      <c r="J249" s="10">
        <v>2017</v>
      </c>
      <c r="K249" s="5" t="str">
        <f>"155.42"</f>
        <v>155.42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13.5" customHeight="1">
      <c r="A250" s="8">
        <v>248</v>
      </c>
      <c r="B250" s="8">
        <v>10385</v>
      </c>
      <c r="C250" s="9" t="s">
        <v>569</v>
      </c>
      <c r="D250" s="8" t="s">
        <v>29</v>
      </c>
      <c r="E250" s="8" t="str">
        <f>"184.12"</f>
        <v>184.12</v>
      </c>
      <c r="F250" s="8"/>
      <c r="G250" s="3">
        <v>184.12</v>
      </c>
      <c r="H250" s="10"/>
      <c r="I250" s="8">
        <v>3</v>
      </c>
      <c r="J250" s="10">
        <v>2017</v>
      </c>
      <c r="K250" s="5" t="str">
        <f>"265.65"</f>
        <v>265.65</v>
      </c>
      <c r="L250" s="5"/>
      <c r="M250" s="5"/>
      <c r="N250" s="5"/>
      <c r="O250" s="5"/>
      <c r="P250" s="5"/>
      <c r="Q250" s="5" t="str">
        <f>"209.45"</f>
        <v>209.45</v>
      </c>
      <c r="R250" s="5"/>
      <c r="S250" s="5"/>
      <c r="T250" s="5"/>
      <c r="U250" s="5" t="str">
        <f>"337.94"</f>
        <v>337.94</v>
      </c>
      <c r="V250" s="5"/>
      <c r="W250" s="5"/>
      <c r="X250" s="5" t="str">
        <f>"606.00"</f>
        <v>606.00</v>
      </c>
      <c r="Y250" s="5"/>
      <c r="Z250" s="5"/>
      <c r="AA250" s="5"/>
      <c r="AB250" s="5"/>
      <c r="AC250" s="5" t="str">
        <f>"158.78"</f>
        <v>158.78</v>
      </c>
      <c r="AD250" s="5"/>
    </row>
    <row r="251" spans="1:30" ht="13.5" customHeight="1">
      <c r="A251" s="8">
        <v>249</v>
      </c>
      <c r="B251" s="8">
        <v>8090</v>
      </c>
      <c r="C251" s="9" t="s">
        <v>314</v>
      </c>
      <c r="D251" s="8" t="s">
        <v>55</v>
      </c>
      <c r="E251" s="8" t="str">
        <f>"154.70"</f>
        <v>154.70</v>
      </c>
      <c r="F251" s="8"/>
      <c r="G251" s="3">
        <v>184.33</v>
      </c>
      <c r="H251" s="10" t="s">
        <v>12</v>
      </c>
      <c r="I251" s="8">
        <v>2</v>
      </c>
      <c r="J251" s="10">
        <v>2018</v>
      </c>
      <c r="K251" s="5" t="str">
        <f>"154.70"</f>
        <v>154.70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 t="str">
        <f>"156.33"</f>
        <v>156.33</v>
      </c>
      <c r="Y251" s="5"/>
      <c r="Z251" s="5"/>
      <c r="AA251" s="5"/>
      <c r="AB251" s="5"/>
      <c r="AC251" s="5"/>
      <c r="AD251" s="5"/>
    </row>
    <row r="252" spans="1:30" ht="13.5" customHeight="1">
      <c r="A252" s="8">
        <v>250</v>
      </c>
      <c r="B252" s="8">
        <v>2382</v>
      </c>
      <c r="C252" s="9" t="s">
        <v>702</v>
      </c>
      <c r="D252" s="8" t="s">
        <v>59</v>
      </c>
      <c r="E252" s="8" t="str">
        <f>"173.76"</f>
        <v>173.76</v>
      </c>
      <c r="F252" s="8"/>
      <c r="G252" s="3">
        <v>184.54</v>
      </c>
      <c r="H252" s="10" t="s">
        <v>12</v>
      </c>
      <c r="I252" s="8">
        <v>2</v>
      </c>
      <c r="J252" s="10">
        <v>2017</v>
      </c>
      <c r="K252" s="5" t="str">
        <f>"190.98"</f>
        <v>190.98</v>
      </c>
      <c r="L252" s="5"/>
      <c r="M252" s="5"/>
      <c r="N252" s="5"/>
      <c r="O252" s="5" t="str">
        <f>"156.54"</f>
        <v>156.54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3.5" customHeight="1">
      <c r="A253" s="8">
        <v>251</v>
      </c>
      <c r="B253" s="8">
        <v>11412</v>
      </c>
      <c r="C253" s="9" t="s">
        <v>497</v>
      </c>
      <c r="D253" s="8" t="s">
        <v>318</v>
      </c>
      <c r="E253" s="8" t="str">
        <f>"185.76"</f>
        <v>185.76</v>
      </c>
      <c r="F253" s="8"/>
      <c r="G253" s="3">
        <v>185.76</v>
      </c>
      <c r="H253" s="10"/>
      <c r="I253" s="8">
        <v>5</v>
      </c>
      <c r="J253" s="10">
        <v>2017</v>
      </c>
      <c r="K253" s="5"/>
      <c r="L253" s="5"/>
      <c r="M253" s="5"/>
      <c r="N253" s="5"/>
      <c r="O253" s="5" t="str">
        <f>"198.47"</f>
        <v>198.47</v>
      </c>
      <c r="P253" s="5"/>
      <c r="Q253" s="5"/>
      <c r="R253" s="5"/>
      <c r="S253" s="5"/>
      <c r="T253" s="5" t="str">
        <f>"173.04"</f>
        <v>173.04</v>
      </c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13.5" customHeight="1">
      <c r="A254" s="8">
        <v>252</v>
      </c>
      <c r="B254" s="8">
        <v>4152</v>
      </c>
      <c r="C254" s="9" t="s">
        <v>742</v>
      </c>
      <c r="D254" s="8" t="s">
        <v>117</v>
      </c>
      <c r="E254" s="8" t="str">
        <f>"186.20"</f>
        <v>186.20</v>
      </c>
      <c r="F254" s="8"/>
      <c r="G254" s="3">
        <v>186.2</v>
      </c>
      <c r="H254" s="10" t="s">
        <v>12</v>
      </c>
      <c r="I254" s="8">
        <v>4</v>
      </c>
      <c r="J254" s="10">
        <v>2017</v>
      </c>
      <c r="K254" s="5"/>
      <c r="L254" s="5"/>
      <c r="M254" s="5"/>
      <c r="N254" s="5"/>
      <c r="O254" s="5" t="str">
        <f>"158.20"</f>
        <v>158.20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13.5" customHeight="1">
      <c r="A255" s="8">
        <v>253</v>
      </c>
      <c r="B255" s="8">
        <v>10502</v>
      </c>
      <c r="C255" s="9" t="s">
        <v>296</v>
      </c>
      <c r="D255" s="8" t="s">
        <v>29</v>
      </c>
      <c r="E255" s="8" t="str">
        <f>"186.27"</f>
        <v>186.27</v>
      </c>
      <c r="F255" s="8"/>
      <c r="G255" s="3">
        <v>186.27</v>
      </c>
      <c r="H255" s="10"/>
      <c r="I255" s="8">
        <v>3</v>
      </c>
      <c r="J255" s="10">
        <v>2017</v>
      </c>
      <c r="K255" s="5" t="str">
        <f>"539.72"</f>
        <v>539.72</v>
      </c>
      <c r="L255" s="5"/>
      <c r="M255" s="5"/>
      <c r="N255" s="5"/>
      <c r="O255" s="5"/>
      <c r="P255" s="5"/>
      <c r="Q255" s="5"/>
      <c r="R255" s="5"/>
      <c r="S255" s="5"/>
      <c r="T255" s="5"/>
      <c r="U255" s="5" t="str">
        <f>"351.02"</f>
        <v>351.02</v>
      </c>
      <c r="V255" s="5"/>
      <c r="W255" s="5"/>
      <c r="X255" s="5"/>
      <c r="Y255" s="5"/>
      <c r="Z255" s="5"/>
      <c r="AA255" s="5"/>
      <c r="AB255" s="5"/>
      <c r="AC255" s="5" t="str">
        <f>"199.95"</f>
        <v>199.95</v>
      </c>
      <c r="AD255" s="5" t="str">
        <f>"172.58"</f>
        <v>172.58</v>
      </c>
    </row>
    <row r="256" spans="1:30" ht="13.5" customHeight="1">
      <c r="A256" s="8">
        <v>254</v>
      </c>
      <c r="B256" s="8">
        <v>1435</v>
      </c>
      <c r="C256" s="9" t="s">
        <v>175</v>
      </c>
      <c r="D256" s="8" t="s">
        <v>169</v>
      </c>
      <c r="E256" s="8" t="str">
        <f>"131.15"</f>
        <v>131.15</v>
      </c>
      <c r="F256" s="8"/>
      <c r="G256" s="3">
        <v>186.59</v>
      </c>
      <c r="H256" s="10"/>
      <c r="I256" s="8">
        <v>3</v>
      </c>
      <c r="J256" s="10">
        <v>2017</v>
      </c>
      <c r="K256" s="5" t="str">
        <f>"131.15"</f>
        <v>131.15</v>
      </c>
      <c r="L256" s="5"/>
      <c r="M256" s="5"/>
      <c r="N256" s="5" t="str">
        <f>"201.11"</f>
        <v>201.11</v>
      </c>
      <c r="O256" s="5"/>
      <c r="P256" s="5"/>
      <c r="Q256" s="5"/>
      <c r="R256" s="5"/>
      <c r="S256" s="5" t="str">
        <f>"172.07"</f>
        <v>172.07</v>
      </c>
      <c r="T256" s="5"/>
      <c r="U256" s="5"/>
      <c r="V256" s="5"/>
      <c r="W256" s="5"/>
      <c r="X256" s="5" t="str">
        <f>"202.12"</f>
        <v>202.12</v>
      </c>
      <c r="Y256" s="5"/>
      <c r="Z256" s="5"/>
      <c r="AA256" s="5" t="str">
        <f>"459.57"</f>
        <v>459.57</v>
      </c>
      <c r="AB256" s="5"/>
      <c r="AC256" s="5"/>
      <c r="AD256" s="5"/>
    </row>
    <row r="257" spans="1:30" ht="13.5" customHeight="1">
      <c r="A257" s="8">
        <v>255</v>
      </c>
      <c r="B257" s="8">
        <v>9547</v>
      </c>
      <c r="C257" s="9" t="s">
        <v>283</v>
      </c>
      <c r="D257" s="8" t="s">
        <v>223</v>
      </c>
      <c r="E257" s="8" t="str">
        <f>"206.73"</f>
        <v>206.73</v>
      </c>
      <c r="F257" s="8"/>
      <c r="G257" s="3">
        <v>186.68</v>
      </c>
      <c r="H257" s="10" t="s">
        <v>12</v>
      </c>
      <c r="I257" s="8">
        <v>2</v>
      </c>
      <c r="J257" s="10">
        <v>2017</v>
      </c>
      <c r="K257" s="5" t="str">
        <f>"254.77"</f>
        <v>254.77</v>
      </c>
      <c r="L257" s="5"/>
      <c r="M257" s="5"/>
      <c r="N257" s="5"/>
      <c r="O257" s="5"/>
      <c r="P257" s="5"/>
      <c r="Q257" s="5"/>
      <c r="R257" s="5"/>
      <c r="S257" s="5" t="str">
        <f>"158.68"</f>
        <v>158.68</v>
      </c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13.5" customHeight="1">
      <c r="A258" s="8">
        <v>256</v>
      </c>
      <c r="B258" s="8">
        <v>10314</v>
      </c>
      <c r="C258" s="9" t="s">
        <v>600</v>
      </c>
      <c r="D258" s="8" t="s">
        <v>184</v>
      </c>
      <c r="E258" s="8" t="str">
        <f>"158.96"</f>
        <v>158.96</v>
      </c>
      <c r="F258" s="8"/>
      <c r="G258" s="3">
        <v>186.96</v>
      </c>
      <c r="H258" s="10" t="s">
        <v>18</v>
      </c>
      <c r="I258" s="8">
        <v>1</v>
      </c>
      <c r="J258" s="10">
        <v>2017</v>
      </c>
      <c r="K258" s="5" t="str">
        <f>"158.96"</f>
        <v>158.96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13.5" customHeight="1">
      <c r="A259" s="8">
        <v>257</v>
      </c>
      <c r="B259" s="8">
        <v>11085</v>
      </c>
      <c r="C259" s="9" t="s">
        <v>452</v>
      </c>
      <c r="D259" s="8" t="s">
        <v>453</v>
      </c>
      <c r="E259" s="8" t="str">
        <f>"163.37"</f>
        <v>163.37</v>
      </c>
      <c r="F259" s="8"/>
      <c r="G259" s="3">
        <v>187.14</v>
      </c>
      <c r="H259" s="10"/>
      <c r="I259" s="8">
        <v>3</v>
      </c>
      <c r="J259" s="10">
        <v>2017</v>
      </c>
      <c r="K259" s="5" t="str">
        <f>"171.90"</f>
        <v>171.90</v>
      </c>
      <c r="L259" s="5"/>
      <c r="M259" s="5"/>
      <c r="N259" s="5" t="str">
        <f>"219.45"</f>
        <v>219.45</v>
      </c>
      <c r="O259" s="5"/>
      <c r="P259" s="5"/>
      <c r="Q259" s="5"/>
      <c r="R259" s="5"/>
      <c r="S259" s="5" t="str">
        <f>"154.83"</f>
        <v>154.83</v>
      </c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13.5" customHeight="1">
      <c r="A260" s="8">
        <v>258</v>
      </c>
      <c r="B260" s="8">
        <v>2214</v>
      </c>
      <c r="C260" s="9" t="s">
        <v>616</v>
      </c>
      <c r="D260" s="8" t="s">
        <v>164</v>
      </c>
      <c r="E260" s="8" t="str">
        <f>"159.61"</f>
        <v>159.61</v>
      </c>
      <c r="F260" s="8"/>
      <c r="G260" s="3">
        <v>187.61</v>
      </c>
      <c r="H260" s="10" t="s">
        <v>18</v>
      </c>
      <c r="I260" s="8">
        <v>1</v>
      </c>
      <c r="J260" s="10">
        <v>2017</v>
      </c>
      <c r="K260" s="5" t="str">
        <f>"159.61"</f>
        <v>159.61</v>
      </c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13.5" customHeight="1">
      <c r="A261" s="8">
        <v>259</v>
      </c>
      <c r="B261" s="8">
        <v>2239</v>
      </c>
      <c r="C261" s="9" t="s">
        <v>400</v>
      </c>
      <c r="D261" s="8" t="s">
        <v>16</v>
      </c>
      <c r="E261" s="8" t="str">
        <f>"142.92"</f>
        <v>142.92</v>
      </c>
      <c r="F261" s="8"/>
      <c r="G261" s="3">
        <v>188.21</v>
      </c>
      <c r="H261" s="10"/>
      <c r="I261" s="8">
        <v>3</v>
      </c>
      <c r="J261" s="10">
        <v>2017</v>
      </c>
      <c r="K261" s="5" t="str">
        <f>"142.92"</f>
        <v>142.92</v>
      </c>
      <c r="L261" s="5"/>
      <c r="M261" s="5" t="str">
        <f>"219.24"</f>
        <v>219.24</v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 t="str">
        <f>"157.18"</f>
        <v>157.18</v>
      </c>
    </row>
    <row r="262" spans="1:30" ht="13.5" customHeight="1">
      <c r="A262" s="8">
        <v>260</v>
      </c>
      <c r="B262" s="8">
        <v>3372</v>
      </c>
      <c r="C262" s="9" t="s">
        <v>1185</v>
      </c>
      <c r="D262" s="8" t="s">
        <v>489</v>
      </c>
      <c r="E262" s="8" t="str">
        <f>"161.00"</f>
        <v>161.00</v>
      </c>
      <c r="F262" s="8"/>
      <c r="G262" s="3">
        <v>189</v>
      </c>
      <c r="H262" s="10" t="s">
        <v>18</v>
      </c>
      <c r="I262" s="8">
        <v>1</v>
      </c>
      <c r="J262" s="10">
        <v>2017</v>
      </c>
      <c r="K262" s="5" t="str">
        <f>"161.00"</f>
        <v>161.00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13.5" customHeight="1">
      <c r="A263" s="8">
        <v>261</v>
      </c>
      <c r="B263" s="8">
        <v>10299</v>
      </c>
      <c r="C263" s="9" t="s">
        <v>183</v>
      </c>
      <c r="D263" s="8" t="s">
        <v>184</v>
      </c>
      <c r="E263" s="8" t="str">
        <f>"185.03"</f>
        <v>185.03</v>
      </c>
      <c r="F263" s="8"/>
      <c r="G263" s="3">
        <v>189.07</v>
      </c>
      <c r="H263" s="10" t="s">
        <v>12</v>
      </c>
      <c r="I263" s="8">
        <v>2</v>
      </c>
      <c r="J263" s="10">
        <v>2017</v>
      </c>
      <c r="K263" s="5" t="str">
        <f>"208.99"</f>
        <v>208.99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 t="str">
        <f>"161.07"</f>
        <v>161.07</v>
      </c>
      <c r="AB263" s="5"/>
      <c r="AC263" s="5"/>
      <c r="AD263" s="5"/>
    </row>
    <row r="264" spans="1:30" ht="13.5" customHeight="1">
      <c r="A264" s="8">
        <v>262</v>
      </c>
      <c r="B264" s="8">
        <v>4528</v>
      </c>
      <c r="C264" s="9" t="s">
        <v>395</v>
      </c>
      <c r="D264" s="8" t="s">
        <v>394</v>
      </c>
      <c r="E264" s="8" t="str">
        <f>"173.69"</f>
        <v>173.69</v>
      </c>
      <c r="F264" s="8"/>
      <c r="G264" s="3">
        <v>189.16</v>
      </c>
      <c r="H264" s="10" t="s">
        <v>12</v>
      </c>
      <c r="I264" s="8">
        <v>2</v>
      </c>
      <c r="J264" s="10">
        <v>2017</v>
      </c>
      <c r="K264" s="5" t="str">
        <f>"186.21"</f>
        <v>186.21</v>
      </c>
      <c r="L264" s="5"/>
      <c r="M264" s="5"/>
      <c r="N264" s="5"/>
      <c r="O264" s="5"/>
      <c r="P264" s="5"/>
      <c r="Q264" s="5"/>
      <c r="R264" s="5"/>
      <c r="S264" s="5" t="str">
        <f>"161.16"</f>
        <v>161.16</v>
      </c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13.5" customHeight="1">
      <c r="A265" s="8">
        <v>263</v>
      </c>
      <c r="B265" s="8">
        <v>7354</v>
      </c>
      <c r="C265" s="9" t="s">
        <v>118</v>
      </c>
      <c r="D265" s="8" t="s">
        <v>119</v>
      </c>
      <c r="E265" s="8" t="str">
        <f>"161.77"</f>
        <v>161.77</v>
      </c>
      <c r="F265" s="8"/>
      <c r="G265" s="3">
        <v>189.77</v>
      </c>
      <c r="H265" s="10" t="s">
        <v>18</v>
      </c>
      <c r="I265" s="8">
        <v>1</v>
      </c>
      <c r="J265" s="10">
        <v>2017</v>
      </c>
      <c r="K265" s="5" t="str">
        <f>"161.77"</f>
        <v>161.77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13.5" customHeight="1">
      <c r="A266" s="8">
        <v>264</v>
      </c>
      <c r="B266" s="8">
        <v>1820</v>
      </c>
      <c r="C266" s="9" t="s">
        <v>146</v>
      </c>
      <c r="D266" s="8" t="s">
        <v>55</v>
      </c>
      <c r="E266" s="8" t="str">
        <f>"162.06"</f>
        <v>162.06</v>
      </c>
      <c r="F266" s="8"/>
      <c r="G266" s="3">
        <v>190.06</v>
      </c>
      <c r="H266" s="10" t="s">
        <v>18</v>
      </c>
      <c r="I266" s="8">
        <v>1</v>
      </c>
      <c r="J266" s="10">
        <v>2018</v>
      </c>
      <c r="K266" s="5" t="str">
        <f>"162.06"</f>
        <v>162.06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13.5" customHeight="1">
      <c r="A267" s="8">
        <v>265</v>
      </c>
      <c r="B267" s="8">
        <v>5258</v>
      </c>
      <c r="C267" s="9" t="s">
        <v>524</v>
      </c>
      <c r="D267" s="8" t="s">
        <v>58</v>
      </c>
      <c r="E267" s="8" t="str">
        <f>"175.03"</f>
        <v>175.03</v>
      </c>
      <c r="F267" s="8"/>
      <c r="G267" s="3">
        <v>190.32</v>
      </c>
      <c r="H267" s="10" t="s">
        <v>12</v>
      </c>
      <c r="I267" s="8">
        <v>2</v>
      </c>
      <c r="J267" s="10">
        <v>2017</v>
      </c>
      <c r="K267" s="5" t="str">
        <f>"187.74"</f>
        <v>187.74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 t="str">
        <f>"162.32"</f>
        <v>162.32</v>
      </c>
      <c r="Z267" s="5"/>
      <c r="AA267" s="5"/>
      <c r="AB267" s="5"/>
      <c r="AC267" s="5"/>
      <c r="AD267" s="5"/>
    </row>
    <row r="268" spans="1:30" ht="13.5" customHeight="1">
      <c r="A268" s="8">
        <v>266</v>
      </c>
      <c r="B268" s="8">
        <v>10187</v>
      </c>
      <c r="C268" s="9" t="s">
        <v>392</v>
      </c>
      <c r="D268" s="8" t="s">
        <v>16</v>
      </c>
      <c r="E268" s="8" t="str">
        <f>"184.14"</f>
        <v>184.14</v>
      </c>
      <c r="F268" s="8"/>
      <c r="G268" s="3">
        <v>190.4</v>
      </c>
      <c r="H268" s="10"/>
      <c r="I268" s="8">
        <v>3</v>
      </c>
      <c r="J268" s="10">
        <v>2017</v>
      </c>
      <c r="K268" s="5" t="str">
        <f>"200.32"</f>
        <v>200.32</v>
      </c>
      <c r="L268" s="5"/>
      <c r="M268" s="5" t="str">
        <f>"282.29"</f>
        <v>282.29</v>
      </c>
      <c r="N268" s="5"/>
      <c r="O268" s="5"/>
      <c r="P268" s="5"/>
      <c r="Q268" s="5"/>
      <c r="R268" s="5"/>
      <c r="S268" s="5"/>
      <c r="T268" s="5"/>
      <c r="U268" s="5"/>
      <c r="V268" s="5"/>
      <c r="W268" s="5" t="str">
        <f>"212.85"</f>
        <v>212.85</v>
      </c>
      <c r="X268" s="5"/>
      <c r="Y268" s="5"/>
      <c r="Z268" s="5"/>
      <c r="AA268" s="5"/>
      <c r="AB268" s="5"/>
      <c r="AC268" s="5"/>
      <c r="AD268" s="5" t="str">
        <f>"167.95"</f>
        <v>167.95</v>
      </c>
    </row>
    <row r="269" spans="1:30" ht="13.5" customHeight="1">
      <c r="A269" s="8">
        <v>267</v>
      </c>
      <c r="B269" s="8">
        <v>5159</v>
      </c>
      <c r="C269" s="9" t="s">
        <v>468</v>
      </c>
      <c r="D269" s="8" t="s">
        <v>16</v>
      </c>
      <c r="E269" s="8" t="str">
        <f>"104.99"</f>
        <v>104.99</v>
      </c>
      <c r="F269" s="8"/>
      <c r="G269" s="3">
        <v>190.55</v>
      </c>
      <c r="H269" s="10" t="s">
        <v>12</v>
      </c>
      <c r="I269" s="8">
        <v>2</v>
      </c>
      <c r="J269" s="10">
        <v>2017</v>
      </c>
      <c r="K269" s="5" t="str">
        <f>"104.99"</f>
        <v>104.99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 t="str">
        <f>"162.55"</f>
        <v>162.55</v>
      </c>
      <c r="AB269" s="5"/>
      <c r="AC269" s="5"/>
      <c r="AD269" s="5"/>
    </row>
    <row r="270" spans="1:30" ht="13.5" customHeight="1">
      <c r="A270" s="8">
        <v>268</v>
      </c>
      <c r="B270" s="8">
        <v>1079</v>
      </c>
      <c r="C270" s="9" t="s">
        <v>300</v>
      </c>
      <c r="D270" s="8" t="s">
        <v>44</v>
      </c>
      <c r="E270" s="8" t="str">
        <f>"172.04"</f>
        <v>172.04</v>
      </c>
      <c r="F270" s="8"/>
      <c r="G270" s="3">
        <v>190.71</v>
      </c>
      <c r="H270" s="10" t="s">
        <v>12</v>
      </c>
      <c r="I270" s="8">
        <v>2</v>
      </c>
      <c r="J270" s="10">
        <v>2017</v>
      </c>
      <c r="K270" s="5" t="str">
        <f>"181.37"</f>
        <v>181.37</v>
      </c>
      <c r="L270" s="5"/>
      <c r="M270" s="5"/>
      <c r="N270" s="5"/>
      <c r="O270" s="5" t="str">
        <f>"162.71"</f>
        <v>162.71</v>
      </c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3.5" customHeight="1">
      <c r="A271" s="8">
        <v>269</v>
      </c>
      <c r="B271" s="8">
        <v>2403</v>
      </c>
      <c r="C271" s="9" t="s">
        <v>427</v>
      </c>
      <c r="D271" s="8" t="s">
        <v>16</v>
      </c>
      <c r="E271" s="8" t="str">
        <f>"119.47"</f>
        <v>119.47</v>
      </c>
      <c r="F271" s="8"/>
      <c r="G271" s="3">
        <v>190.93</v>
      </c>
      <c r="H271" s="10"/>
      <c r="I271" s="8">
        <v>3</v>
      </c>
      <c r="J271" s="10">
        <v>2017</v>
      </c>
      <c r="K271" s="5" t="str">
        <f>"119.47"</f>
        <v>119.47</v>
      </c>
      <c r="L271" s="5"/>
      <c r="M271" s="5"/>
      <c r="N271" s="5" t="str">
        <f>"211.42"</f>
        <v>211.42</v>
      </c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 t="str">
        <f>"361.55"</f>
        <v>361.55</v>
      </c>
      <c r="AB271" s="5"/>
      <c r="AC271" s="5"/>
      <c r="AD271" s="5" t="str">
        <f>"170.44"</f>
        <v>170.44</v>
      </c>
    </row>
    <row r="272" spans="1:30" ht="13.5" customHeight="1">
      <c r="A272" s="8">
        <v>270</v>
      </c>
      <c r="B272" s="8">
        <v>10190</v>
      </c>
      <c r="C272" s="9" t="s">
        <v>428</v>
      </c>
      <c r="D272" s="8" t="s">
        <v>16</v>
      </c>
      <c r="E272" s="8" t="str">
        <f>"191.15"</f>
        <v>191.15</v>
      </c>
      <c r="F272" s="8"/>
      <c r="G272" s="3">
        <v>191.15</v>
      </c>
      <c r="H272" s="10"/>
      <c r="I272" s="8">
        <v>3</v>
      </c>
      <c r="J272" s="10">
        <v>2017</v>
      </c>
      <c r="K272" s="5" t="str">
        <f>"325.07"</f>
        <v>325.07</v>
      </c>
      <c r="L272" s="5" t="str">
        <f>"453.93"</f>
        <v>453.93</v>
      </c>
      <c r="M272" s="5" t="str">
        <f>"300.30"</f>
        <v>300.30</v>
      </c>
      <c r="N272" s="5"/>
      <c r="O272" s="5"/>
      <c r="P272" s="5"/>
      <c r="Q272" s="5"/>
      <c r="R272" s="5"/>
      <c r="S272" s="5"/>
      <c r="T272" s="5"/>
      <c r="U272" s="5"/>
      <c r="V272" s="5" t="str">
        <f>"239.52"</f>
        <v>239.52</v>
      </c>
      <c r="W272" s="5" t="str">
        <f>"488.88"</f>
        <v>488.88</v>
      </c>
      <c r="X272" s="5"/>
      <c r="Y272" s="5"/>
      <c r="Z272" s="5"/>
      <c r="AA272" s="5"/>
      <c r="AB272" s="5"/>
      <c r="AC272" s="5" t="str">
        <f>"177.35"</f>
        <v>177.35</v>
      </c>
      <c r="AD272" s="5" t="str">
        <f>"204.95"</f>
        <v>204.95</v>
      </c>
    </row>
    <row r="273" spans="1:30" ht="13.5" customHeight="1">
      <c r="A273" s="8">
        <v>271</v>
      </c>
      <c r="B273" s="8">
        <v>2718</v>
      </c>
      <c r="C273" s="9" t="s">
        <v>245</v>
      </c>
      <c r="D273" s="8" t="s">
        <v>76</v>
      </c>
      <c r="E273" s="8" t="str">
        <f>"170.86"</f>
        <v>170.86</v>
      </c>
      <c r="F273" s="8"/>
      <c r="G273" s="3">
        <v>191.44</v>
      </c>
      <c r="H273" s="10" t="s">
        <v>12</v>
      </c>
      <c r="I273" s="8">
        <v>2</v>
      </c>
      <c r="J273" s="10">
        <v>2017</v>
      </c>
      <c r="K273" s="5" t="str">
        <f>"178.28"</f>
        <v>178.28</v>
      </c>
      <c r="L273" s="5"/>
      <c r="M273" s="5"/>
      <c r="N273" s="5" t="str">
        <f>"163.44"</f>
        <v>163.44</v>
      </c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13.5" customHeight="1">
      <c r="A274" s="8">
        <v>272</v>
      </c>
      <c r="B274" s="8">
        <v>6971</v>
      </c>
      <c r="C274" s="9" t="s">
        <v>609</v>
      </c>
      <c r="D274" s="8" t="s">
        <v>195</v>
      </c>
      <c r="E274" s="8" t="str">
        <f>"169.73"</f>
        <v>169.73</v>
      </c>
      <c r="F274" s="8"/>
      <c r="G274" s="3">
        <v>191.71</v>
      </c>
      <c r="H274" s="10"/>
      <c r="I274" s="8">
        <v>3</v>
      </c>
      <c r="J274" s="10">
        <v>2017</v>
      </c>
      <c r="K274" s="5" t="str">
        <f>"173.49"</f>
        <v>173.49</v>
      </c>
      <c r="L274" s="5"/>
      <c r="M274" s="5"/>
      <c r="N274" s="5" t="str">
        <f>"217.46"</f>
        <v>217.46</v>
      </c>
      <c r="O274" s="5"/>
      <c r="P274" s="5"/>
      <c r="Q274" s="5"/>
      <c r="R274" s="5"/>
      <c r="S274" s="5" t="str">
        <f>"165.96"</f>
        <v>165.96</v>
      </c>
      <c r="T274" s="5"/>
      <c r="U274" s="5"/>
      <c r="V274" s="5"/>
      <c r="W274" s="5"/>
      <c r="X274" s="5"/>
      <c r="Y274" s="5" t="str">
        <f>"262.52"</f>
        <v>262.52</v>
      </c>
      <c r="Z274" s="5"/>
      <c r="AA274" s="5"/>
      <c r="AB274" s="5"/>
      <c r="AC274" s="5"/>
      <c r="AD274" s="5"/>
    </row>
    <row r="275" spans="1:30" ht="13.5" customHeight="1">
      <c r="A275" s="8">
        <v>273</v>
      </c>
      <c r="B275" s="8">
        <v>8483</v>
      </c>
      <c r="C275" s="9" t="s">
        <v>516</v>
      </c>
      <c r="D275" s="8" t="s">
        <v>16</v>
      </c>
      <c r="E275" s="8" t="str">
        <f>"161.45"</f>
        <v>161.45</v>
      </c>
      <c r="F275" s="8"/>
      <c r="G275" s="3">
        <v>191.79</v>
      </c>
      <c r="H275" s="10" t="s">
        <v>12</v>
      </c>
      <c r="I275" s="8">
        <v>2</v>
      </c>
      <c r="J275" s="10">
        <v>2017</v>
      </c>
      <c r="K275" s="5" t="str">
        <f>"161.45"</f>
        <v>161.45</v>
      </c>
      <c r="L275" s="5"/>
      <c r="M275" s="5" t="str">
        <f>"163.79"</f>
        <v>163.79</v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13.5" customHeight="1">
      <c r="A276" s="8">
        <v>274</v>
      </c>
      <c r="B276" s="8">
        <v>6369</v>
      </c>
      <c r="C276" s="9" t="s">
        <v>690</v>
      </c>
      <c r="D276" s="8" t="s">
        <v>691</v>
      </c>
      <c r="E276" s="8" t="str">
        <f>"164.69"</f>
        <v>164.69</v>
      </c>
      <c r="F276" s="8"/>
      <c r="G276" s="3">
        <v>192.69</v>
      </c>
      <c r="H276" s="10" t="s">
        <v>18</v>
      </c>
      <c r="I276" s="8">
        <v>1</v>
      </c>
      <c r="J276" s="10">
        <v>2017</v>
      </c>
      <c r="K276" s="5" t="str">
        <f>"164.69"</f>
        <v>164.69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13.5" customHeight="1">
      <c r="A277" s="8">
        <v>275</v>
      </c>
      <c r="B277" s="8">
        <v>5478</v>
      </c>
      <c r="C277" s="9" t="s">
        <v>189</v>
      </c>
      <c r="D277" s="8" t="s">
        <v>29</v>
      </c>
      <c r="E277" s="8" t="str">
        <f>"172.00"</f>
        <v>172.00</v>
      </c>
      <c r="F277" s="8"/>
      <c r="G277" s="3">
        <v>192.88</v>
      </c>
      <c r="H277" s="10"/>
      <c r="I277" s="8">
        <v>3</v>
      </c>
      <c r="J277" s="10">
        <v>2017</v>
      </c>
      <c r="K277" s="5" t="str">
        <f>"197.55"</f>
        <v>197.55</v>
      </c>
      <c r="L277" s="5"/>
      <c r="M277" s="5"/>
      <c r="N277" s="5"/>
      <c r="O277" s="5"/>
      <c r="P277" s="5"/>
      <c r="Q277" s="5" t="str">
        <f>"239.30"</f>
        <v>239.30</v>
      </c>
      <c r="R277" s="5"/>
      <c r="S277" s="5"/>
      <c r="T277" s="5"/>
      <c r="U277" s="5" t="str">
        <f>"483.34"</f>
        <v>483.34</v>
      </c>
      <c r="V277" s="5"/>
      <c r="W277" s="5"/>
      <c r="X277" s="5" t="str">
        <f>"146.45"</f>
        <v>146.45</v>
      </c>
      <c r="Y277" s="5"/>
      <c r="Z277" s="5"/>
      <c r="AA277" s="5"/>
      <c r="AB277" s="5"/>
      <c r="AC277" s="5"/>
      <c r="AD277" s="5"/>
    </row>
    <row r="278" spans="1:30" ht="13.5" customHeight="1">
      <c r="A278" s="8">
        <v>276</v>
      </c>
      <c r="B278" s="8">
        <v>10126</v>
      </c>
      <c r="C278" s="9" t="s">
        <v>200</v>
      </c>
      <c r="D278" s="8" t="s">
        <v>16</v>
      </c>
      <c r="E278" s="8" t="str">
        <f>"181.21"</f>
        <v>181.21</v>
      </c>
      <c r="F278" s="8"/>
      <c r="G278" s="3">
        <v>193.31</v>
      </c>
      <c r="H278" s="10" t="s">
        <v>12</v>
      </c>
      <c r="I278" s="8">
        <v>2</v>
      </c>
      <c r="J278" s="10">
        <v>2017</v>
      </c>
      <c r="K278" s="5" t="str">
        <f>"197.11"</f>
        <v>197.11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 t="str">
        <f>"165.31"</f>
        <v>165.31</v>
      </c>
    </row>
    <row r="279" spans="1:30" ht="13.5" customHeight="1">
      <c r="A279" s="8">
        <v>277</v>
      </c>
      <c r="B279" s="8">
        <v>6180</v>
      </c>
      <c r="C279" s="9" t="s">
        <v>255</v>
      </c>
      <c r="D279" s="8" t="s">
        <v>62</v>
      </c>
      <c r="E279" s="8" t="str">
        <f>"172.65"</f>
        <v>172.65</v>
      </c>
      <c r="F279" s="8"/>
      <c r="G279" s="3">
        <v>193.64</v>
      </c>
      <c r="H279" s="10" t="s">
        <v>12</v>
      </c>
      <c r="I279" s="8">
        <v>2</v>
      </c>
      <c r="J279" s="10">
        <v>2017</v>
      </c>
      <c r="K279" s="5" t="str">
        <f>"179.65"</f>
        <v>179.65</v>
      </c>
      <c r="L279" s="5"/>
      <c r="M279" s="5"/>
      <c r="N279" s="5" t="str">
        <f>"165.64"</f>
        <v>165.64</v>
      </c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13.5" customHeight="1">
      <c r="A280" s="8">
        <v>278</v>
      </c>
      <c r="B280" s="8">
        <v>10618</v>
      </c>
      <c r="C280" s="9" t="s">
        <v>449</v>
      </c>
      <c r="D280" s="8" t="s">
        <v>16</v>
      </c>
      <c r="E280" s="8" t="str">
        <f>"165.75"</f>
        <v>165.75</v>
      </c>
      <c r="F280" s="8"/>
      <c r="G280" s="3">
        <v>194.8</v>
      </c>
      <c r="H280" s="10" t="s">
        <v>12</v>
      </c>
      <c r="I280" s="8">
        <v>2</v>
      </c>
      <c r="J280" s="10">
        <v>2017</v>
      </c>
      <c r="K280" s="5" t="str">
        <f>"165.75"</f>
        <v>165.75</v>
      </c>
      <c r="L280" s="5"/>
      <c r="M280" s="5" t="str">
        <f>"166.80"</f>
        <v>166.80</v>
      </c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13.5" customHeight="1">
      <c r="A281" s="8">
        <v>279</v>
      </c>
      <c r="B281" s="8">
        <v>10998</v>
      </c>
      <c r="C281" s="9" t="s">
        <v>320</v>
      </c>
      <c r="D281" s="8" t="s">
        <v>22</v>
      </c>
      <c r="E281" s="8" t="str">
        <f>"195.06"</f>
        <v>195.06</v>
      </c>
      <c r="F281" s="8"/>
      <c r="G281" s="3">
        <v>195.06</v>
      </c>
      <c r="H281" s="10" t="s">
        <v>12</v>
      </c>
      <c r="I281" s="8">
        <v>4</v>
      </c>
      <c r="J281" s="10">
        <v>2017</v>
      </c>
      <c r="K281" s="5"/>
      <c r="L281" s="5"/>
      <c r="M281" s="5"/>
      <c r="N281" s="5" t="str">
        <f>"167.06"</f>
        <v>167.06</v>
      </c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13.5" customHeight="1">
      <c r="A282" s="8">
        <v>280</v>
      </c>
      <c r="B282" s="8">
        <v>1047</v>
      </c>
      <c r="C282" s="9" t="s">
        <v>354</v>
      </c>
      <c r="D282" s="8" t="s">
        <v>79</v>
      </c>
      <c r="E282" s="8" t="str">
        <f>"195.63"</f>
        <v>195.63</v>
      </c>
      <c r="F282" s="8"/>
      <c r="G282" s="3">
        <v>195.63</v>
      </c>
      <c r="H282" s="10" t="s">
        <v>12</v>
      </c>
      <c r="I282" s="8">
        <v>4</v>
      </c>
      <c r="J282" s="10">
        <v>2017</v>
      </c>
      <c r="K282" s="5"/>
      <c r="L282" s="5"/>
      <c r="M282" s="5"/>
      <c r="N282" s="5" t="str">
        <f>"167.63"</f>
        <v>167.63</v>
      </c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13.5" customHeight="1">
      <c r="A283" s="8">
        <v>281</v>
      </c>
      <c r="B283" s="8">
        <v>3312</v>
      </c>
      <c r="C283" s="9" t="s">
        <v>514</v>
      </c>
      <c r="D283" s="8" t="s">
        <v>16</v>
      </c>
      <c r="E283" s="8" t="str">
        <f>"167.81"</f>
        <v>167.81</v>
      </c>
      <c r="F283" s="8"/>
      <c r="G283" s="3">
        <v>195.81</v>
      </c>
      <c r="H283" s="10" t="s">
        <v>18</v>
      </c>
      <c r="I283" s="8">
        <v>1</v>
      </c>
      <c r="J283" s="10">
        <v>2017</v>
      </c>
      <c r="K283" s="5" t="str">
        <f>"167.81"</f>
        <v>167.81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13.5" customHeight="1">
      <c r="A284" s="8">
        <v>282</v>
      </c>
      <c r="B284" s="8">
        <v>10890</v>
      </c>
      <c r="C284" s="9" t="s">
        <v>850</v>
      </c>
      <c r="D284" s="8" t="s">
        <v>16</v>
      </c>
      <c r="E284" s="8" t="str">
        <f>"196.75"</f>
        <v>196.75</v>
      </c>
      <c r="F284" s="8"/>
      <c r="G284" s="3">
        <v>196.75</v>
      </c>
      <c r="H284" s="10"/>
      <c r="I284" s="8">
        <v>3</v>
      </c>
      <c r="J284" s="10">
        <v>2017</v>
      </c>
      <c r="K284" s="5" t="str">
        <f>"308.50"</f>
        <v>308.50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 t="str">
        <f>"257.15"</f>
        <v>257.15</v>
      </c>
      <c r="W284" s="5" t="str">
        <f>"305.09"</f>
        <v>305.09</v>
      </c>
      <c r="X284" s="5"/>
      <c r="Y284" s="5"/>
      <c r="Z284" s="5"/>
      <c r="AA284" s="5"/>
      <c r="AB284" s="5"/>
      <c r="AC284" s="5" t="str">
        <f>"184.76"</f>
        <v>184.76</v>
      </c>
      <c r="AD284" s="5" t="str">
        <f>"208.73"</f>
        <v>208.73</v>
      </c>
    </row>
    <row r="285" spans="1:30" ht="13.5" customHeight="1">
      <c r="A285" s="8">
        <v>283</v>
      </c>
      <c r="B285" s="8">
        <v>5072</v>
      </c>
      <c r="C285" s="9" t="s">
        <v>113</v>
      </c>
      <c r="D285" s="8" t="s">
        <v>114</v>
      </c>
      <c r="E285" s="8" t="str">
        <f>"169.10"</f>
        <v>169.10</v>
      </c>
      <c r="F285" s="8"/>
      <c r="G285" s="3">
        <v>197.1</v>
      </c>
      <c r="H285" s="10" t="s">
        <v>18</v>
      </c>
      <c r="I285" s="8">
        <v>1</v>
      </c>
      <c r="J285" s="10">
        <v>2018</v>
      </c>
      <c r="K285" s="5" t="str">
        <f>"169.10"</f>
        <v>169.10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13.5" customHeight="1">
      <c r="A286" s="8">
        <v>284</v>
      </c>
      <c r="B286" s="8">
        <v>5292</v>
      </c>
      <c r="C286" s="9" t="s">
        <v>334</v>
      </c>
      <c r="D286" s="8" t="s">
        <v>335</v>
      </c>
      <c r="E286" s="8" t="str">
        <f>"173.04"</f>
        <v>173.04</v>
      </c>
      <c r="F286" s="8"/>
      <c r="G286" s="3">
        <v>197.31</v>
      </c>
      <c r="H286" s="10"/>
      <c r="I286" s="8">
        <v>3</v>
      </c>
      <c r="J286" s="10">
        <v>2017</v>
      </c>
      <c r="K286" s="5" t="str">
        <f>"173.04"</f>
        <v>173.04</v>
      </c>
      <c r="L286" s="5"/>
      <c r="M286" s="5"/>
      <c r="N286" s="5"/>
      <c r="O286" s="5" t="str">
        <f>"180.89"</f>
        <v>180.89</v>
      </c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 t="str">
        <f>"213.73"</f>
        <v>213.73</v>
      </c>
      <c r="AB286" s="5"/>
      <c r="AC286" s="5"/>
      <c r="AD286" s="5"/>
    </row>
    <row r="287" spans="1:30" ht="13.5" customHeight="1">
      <c r="A287" s="8">
        <v>285</v>
      </c>
      <c r="B287" s="8">
        <v>1519</v>
      </c>
      <c r="C287" s="9" t="s">
        <v>447</v>
      </c>
      <c r="D287" s="8" t="s">
        <v>323</v>
      </c>
      <c r="E287" s="8" t="str">
        <f>"191.14"</f>
        <v>191.14</v>
      </c>
      <c r="F287" s="8"/>
      <c r="G287" s="3">
        <v>197.75</v>
      </c>
      <c r="H287" s="10" t="s">
        <v>12</v>
      </c>
      <c r="I287" s="8">
        <v>2</v>
      </c>
      <c r="J287" s="10">
        <v>2017</v>
      </c>
      <c r="K287" s="5" t="str">
        <f>"212.53"</f>
        <v>212.53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 t="str">
        <f>"169.75"</f>
        <v>169.75</v>
      </c>
      <c r="Y287" s="5"/>
      <c r="Z287" s="5"/>
      <c r="AA287" s="5"/>
      <c r="AB287" s="5"/>
      <c r="AC287" s="5"/>
      <c r="AD287" s="5"/>
    </row>
    <row r="288" spans="1:30" ht="13.5" customHeight="1">
      <c r="A288" s="8">
        <v>286</v>
      </c>
      <c r="B288" s="8">
        <v>1876</v>
      </c>
      <c r="C288" s="9" t="s">
        <v>529</v>
      </c>
      <c r="D288" s="8" t="s">
        <v>22</v>
      </c>
      <c r="E288" s="8" t="str">
        <f>"196.04"</f>
        <v>196.04</v>
      </c>
      <c r="F288" s="8"/>
      <c r="G288" s="3">
        <v>198.03</v>
      </c>
      <c r="H288" s="10" t="s">
        <v>12</v>
      </c>
      <c r="I288" s="8">
        <v>2</v>
      </c>
      <c r="J288" s="10">
        <v>2017</v>
      </c>
      <c r="K288" s="5" t="str">
        <f>"222.05"</f>
        <v>222.05</v>
      </c>
      <c r="L288" s="5"/>
      <c r="M288" s="5"/>
      <c r="N288" s="5"/>
      <c r="O288" s="5"/>
      <c r="P288" s="5"/>
      <c r="Q288" s="5"/>
      <c r="R288" s="5"/>
      <c r="S288" s="5" t="str">
        <f>"170.03"</f>
        <v>170.03</v>
      </c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13.5" customHeight="1">
      <c r="A289" s="8">
        <v>287</v>
      </c>
      <c r="B289" s="8">
        <v>5679</v>
      </c>
      <c r="C289" s="9" t="s">
        <v>406</v>
      </c>
      <c r="D289" s="8" t="s">
        <v>22</v>
      </c>
      <c r="E289" s="8" t="str">
        <f>"139.74"</f>
        <v>139.74</v>
      </c>
      <c r="F289" s="8"/>
      <c r="G289" s="3">
        <v>198.03</v>
      </c>
      <c r="H289" s="10"/>
      <c r="I289" s="8">
        <v>3</v>
      </c>
      <c r="J289" s="10">
        <v>2017</v>
      </c>
      <c r="K289" s="5" t="str">
        <f>"139.74"</f>
        <v>139.74</v>
      </c>
      <c r="L289" s="5"/>
      <c r="M289" s="5"/>
      <c r="N289" s="5" t="str">
        <f>"180.43"</f>
        <v>180.43</v>
      </c>
      <c r="O289" s="5"/>
      <c r="P289" s="5"/>
      <c r="Q289" s="5"/>
      <c r="R289" s="5"/>
      <c r="S289" s="5"/>
      <c r="T289" s="5"/>
      <c r="U289" s="5"/>
      <c r="V289" s="5"/>
      <c r="W289" s="5"/>
      <c r="X289" s="5" t="str">
        <f>"215.62"</f>
        <v>215.62</v>
      </c>
      <c r="Y289" s="5"/>
      <c r="Z289" s="5"/>
      <c r="AA289" s="5"/>
      <c r="AB289" s="5"/>
      <c r="AC289" s="5"/>
      <c r="AD289" s="5"/>
    </row>
    <row r="290" spans="1:30" ht="13.5" customHeight="1">
      <c r="A290" s="8">
        <v>288</v>
      </c>
      <c r="B290" s="8">
        <v>11256</v>
      </c>
      <c r="C290" s="9" t="s">
        <v>639</v>
      </c>
      <c r="D290" s="8" t="s">
        <v>16</v>
      </c>
      <c r="E290" s="8" t="str">
        <f>"198.38"</f>
        <v>198.38</v>
      </c>
      <c r="F290" s="8"/>
      <c r="G290" s="3">
        <v>198.38</v>
      </c>
      <c r="H290" s="10"/>
      <c r="I290" s="8">
        <v>5</v>
      </c>
      <c r="J290" s="10">
        <v>2017</v>
      </c>
      <c r="K290" s="5"/>
      <c r="L290" s="5" t="str">
        <f>"360.84"</f>
        <v>360.84</v>
      </c>
      <c r="M290" s="5" t="str">
        <f>"357.18"</f>
        <v>357.18</v>
      </c>
      <c r="N290" s="5"/>
      <c r="O290" s="5"/>
      <c r="P290" s="5"/>
      <c r="Q290" s="5"/>
      <c r="R290" s="5"/>
      <c r="S290" s="5"/>
      <c r="T290" s="5"/>
      <c r="U290" s="5"/>
      <c r="V290" s="5" t="str">
        <f>"226.26"</f>
        <v>226.26</v>
      </c>
      <c r="W290" s="5"/>
      <c r="X290" s="5"/>
      <c r="Y290" s="5"/>
      <c r="Z290" s="5"/>
      <c r="AA290" s="5"/>
      <c r="AB290" s="5"/>
      <c r="AC290" s="5" t="str">
        <f>"170.49"</f>
        <v>170.49</v>
      </c>
      <c r="AD290" s="5"/>
    </row>
    <row r="291" spans="1:30" ht="13.5" customHeight="1">
      <c r="A291" s="8">
        <v>289</v>
      </c>
      <c r="B291" s="8">
        <v>3126</v>
      </c>
      <c r="C291" s="9" t="s">
        <v>272</v>
      </c>
      <c r="D291" s="8" t="s">
        <v>119</v>
      </c>
      <c r="E291" s="8" t="str">
        <f>"189.16"</f>
        <v>189.16</v>
      </c>
      <c r="F291" s="8"/>
      <c r="G291" s="3">
        <v>198.83</v>
      </c>
      <c r="H291" s="10" t="s">
        <v>12</v>
      </c>
      <c r="I291" s="8">
        <v>2</v>
      </c>
      <c r="J291" s="10">
        <v>2017</v>
      </c>
      <c r="K291" s="5" t="str">
        <f>"207.49"</f>
        <v>207.49</v>
      </c>
      <c r="L291" s="5"/>
      <c r="M291" s="5"/>
      <c r="N291" s="5"/>
      <c r="O291" s="5"/>
      <c r="P291" s="5"/>
      <c r="Q291" s="5"/>
      <c r="R291" s="5"/>
      <c r="S291" s="5" t="str">
        <f>"170.83"</f>
        <v>170.83</v>
      </c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13.5" customHeight="1">
      <c r="A292" s="8">
        <v>290</v>
      </c>
      <c r="B292" s="8">
        <v>8630</v>
      </c>
      <c r="C292" s="9" t="s">
        <v>444</v>
      </c>
      <c r="D292" s="8" t="s">
        <v>16</v>
      </c>
      <c r="E292" s="8" t="str">
        <f>"171.12"</f>
        <v>171.12</v>
      </c>
      <c r="F292" s="8"/>
      <c r="G292" s="3">
        <v>199.12</v>
      </c>
      <c r="H292" s="10" t="s">
        <v>18</v>
      </c>
      <c r="I292" s="8">
        <v>1</v>
      </c>
      <c r="J292" s="10">
        <v>2017</v>
      </c>
      <c r="K292" s="5" t="str">
        <f>"171.12"</f>
        <v>171.12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13.5" customHeight="1">
      <c r="A293" s="8">
        <v>291</v>
      </c>
      <c r="B293" s="8">
        <v>10722</v>
      </c>
      <c r="C293" s="9" t="s">
        <v>456</v>
      </c>
      <c r="D293" s="8" t="s">
        <v>29</v>
      </c>
      <c r="E293" s="8" t="str">
        <f>"199.82"</f>
        <v>199.82</v>
      </c>
      <c r="F293" s="8"/>
      <c r="G293" s="3">
        <v>199.82</v>
      </c>
      <c r="H293" s="10"/>
      <c r="I293" s="8">
        <v>3</v>
      </c>
      <c r="J293" s="10">
        <v>2017</v>
      </c>
      <c r="K293" s="5" t="str">
        <f>"589.62"</f>
        <v>589.62</v>
      </c>
      <c r="L293" s="5"/>
      <c r="M293" s="5"/>
      <c r="N293" s="5"/>
      <c r="O293" s="5"/>
      <c r="P293" s="5"/>
      <c r="Q293" s="5"/>
      <c r="R293" s="5"/>
      <c r="S293" s="5"/>
      <c r="T293" s="5"/>
      <c r="U293" s="5" t="str">
        <f>"527.98"</f>
        <v>527.98</v>
      </c>
      <c r="V293" s="5"/>
      <c r="W293" s="5"/>
      <c r="X293" s="5" t="str">
        <f>"213.85"</f>
        <v>213.85</v>
      </c>
      <c r="Y293" s="5"/>
      <c r="Z293" s="5"/>
      <c r="AA293" s="5"/>
      <c r="AB293" s="5" t="str">
        <f>"185.79"</f>
        <v>185.79</v>
      </c>
      <c r="AC293" s="5"/>
      <c r="AD293" s="5"/>
    </row>
    <row r="294" spans="1:30" ht="13.5" customHeight="1">
      <c r="A294" s="8">
        <v>292</v>
      </c>
      <c r="B294" s="8">
        <v>1349</v>
      </c>
      <c r="C294" s="9" t="s">
        <v>622</v>
      </c>
      <c r="D294" s="8" t="s">
        <v>318</v>
      </c>
      <c r="E294" s="8" t="str">
        <f>"200.33"</f>
        <v>200.33</v>
      </c>
      <c r="F294" s="8"/>
      <c r="G294" s="3">
        <v>200.33</v>
      </c>
      <c r="H294" s="10"/>
      <c r="I294" s="8">
        <v>5</v>
      </c>
      <c r="J294" s="10">
        <v>2017</v>
      </c>
      <c r="K294" s="5"/>
      <c r="L294" s="5"/>
      <c r="M294" s="5"/>
      <c r="N294" s="5"/>
      <c r="O294" s="5"/>
      <c r="P294" s="5"/>
      <c r="Q294" s="5"/>
      <c r="R294" s="5"/>
      <c r="S294" s="5"/>
      <c r="T294" s="5" t="str">
        <f>"199.10"</f>
        <v>199.10</v>
      </c>
      <c r="U294" s="5"/>
      <c r="V294" s="5"/>
      <c r="W294" s="5"/>
      <c r="X294" s="5"/>
      <c r="Y294" s="5"/>
      <c r="Z294" s="5" t="str">
        <f>"201.55"</f>
        <v>201.55</v>
      </c>
      <c r="AA294" s="5"/>
      <c r="AB294" s="5"/>
      <c r="AC294" s="5"/>
      <c r="AD294" s="5"/>
    </row>
    <row r="295" spans="1:30" ht="13.5" customHeight="1">
      <c r="A295" s="8">
        <v>293</v>
      </c>
      <c r="B295" s="8">
        <v>9134</v>
      </c>
      <c r="C295" s="9" t="s">
        <v>659</v>
      </c>
      <c r="D295" s="8" t="s">
        <v>177</v>
      </c>
      <c r="E295" s="8" t="str">
        <f>"172.48"</f>
        <v>172.48</v>
      </c>
      <c r="F295" s="8"/>
      <c r="G295" s="3">
        <v>200.48</v>
      </c>
      <c r="H295" s="10" t="s">
        <v>18</v>
      </c>
      <c r="I295" s="8">
        <v>1</v>
      </c>
      <c r="J295" s="10">
        <v>2017</v>
      </c>
      <c r="K295" s="5" t="str">
        <f>"172.48"</f>
        <v>172.48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13.5" customHeight="1">
      <c r="A296" s="8">
        <v>294</v>
      </c>
      <c r="B296" s="8">
        <v>2540</v>
      </c>
      <c r="C296" s="9" t="s">
        <v>608</v>
      </c>
      <c r="D296" s="8" t="s">
        <v>67</v>
      </c>
      <c r="E296" s="8" t="str">
        <f>"173.06"</f>
        <v>173.06</v>
      </c>
      <c r="F296" s="8"/>
      <c r="G296" s="3">
        <v>201.06</v>
      </c>
      <c r="H296" s="10" t="s">
        <v>18</v>
      </c>
      <c r="I296" s="8">
        <v>1</v>
      </c>
      <c r="J296" s="10">
        <v>2017</v>
      </c>
      <c r="K296" s="5" t="str">
        <f>"173.06"</f>
        <v>173.06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13.5" customHeight="1">
      <c r="A297" s="8">
        <v>295</v>
      </c>
      <c r="B297" s="8">
        <v>11039</v>
      </c>
      <c r="C297" s="9" t="s">
        <v>603</v>
      </c>
      <c r="D297" s="8" t="s">
        <v>76</v>
      </c>
      <c r="E297" s="8" t="str">
        <f>"182.85"</f>
        <v>182.85</v>
      </c>
      <c r="F297" s="8"/>
      <c r="G297" s="3">
        <v>201.25</v>
      </c>
      <c r="H297" s="10" t="s">
        <v>12</v>
      </c>
      <c r="I297" s="8">
        <v>2</v>
      </c>
      <c r="J297" s="10">
        <v>2017</v>
      </c>
      <c r="K297" s="5" t="str">
        <f>"192.44"</f>
        <v>192.44</v>
      </c>
      <c r="L297" s="5"/>
      <c r="M297" s="5"/>
      <c r="N297" s="5"/>
      <c r="O297" s="5"/>
      <c r="P297" s="5" t="str">
        <f>"173.25"</f>
        <v>173.25</v>
      </c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3.5" customHeight="1">
      <c r="A298" s="8">
        <v>296</v>
      </c>
      <c r="B298" s="8">
        <v>6370</v>
      </c>
      <c r="C298" s="9" t="s">
        <v>771</v>
      </c>
      <c r="D298" s="8" t="s">
        <v>691</v>
      </c>
      <c r="E298" s="8" t="str">
        <f>"174.05"</f>
        <v>174.05</v>
      </c>
      <c r="F298" s="8"/>
      <c r="G298" s="3">
        <v>202.05</v>
      </c>
      <c r="H298" s="10" t="s">
        <v>18</v>
      </c>
      <c r="I298" s="8">
        <v>1</v>
      </c>
      <c r="J298" s="10">
        <v>2017</v>
      </c>
      <c r="K298" s="5" t="str">
        <f>"174.05"</f>
        <v>174.05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13.5" customHeight="1">
      <c r="A299" s="8">
        <v>297</v>
      </c>
      <c r="B299" s="8">
        <v>3684</v>
      </c>
      <c r="C299" s="9" t="s">
        <v>275</v>
      </c>
      <c r="D299" s="8" t="s">
        <v>150</v>
      </c>
      <c r="E299" s="8" t="str">
        <f>"194.22"</f>
        <v>194.22</v>
      </c>
      <c r="F299" s="8"/>
      <c r="G299" s="3">
        <v>202.81</v>
      </c>
      <c r="H299" s="10"/>
      <c r="I299" s="8">
        <v>3</v>
      </c>
      <c r="J299" s="10">
        <v>2017</v>
      </c>
      <c r="K299" s="5" t="str">
        <f>"194.22"</f>
        <v>194.22</v>
      </c>
      <c r="L299" s="5"/>
      <c r="M299" s="5"/>
      <c r="N299" s="5"/>
      <c r="O299" s="5"/>
      <c r="P299" s="5"/>
      <c r="Q299" s="5"/>
      <c r="R299" s="5"/>
      <c r="S299" s="5" t="str">
        <f>"203.41"</f>
        <v>203.41</v>
      </c>
      <c r="T299" s="5"/>
      <c r="U299" s="5"/>
      <c r="V299" s="5"/>
      <c r="W299" s="5"/>
      <c r="X299" s="5" t="str">
        <f>"202.20"</f>
        <v>202.20</v>
      </c>
      <c r="Y299" s="5"/>
      <c r="Z299" s="5"/>
      <c r="AA299" s="5"/>
      <c r="AB299" s="5"/>
      <c r="AC299" s="5"/>
      <c r="AD299" s="5"/>
    </row>
    <row r="300" spans="1:30" ht="13.5" customHeight="1">
      <c r="A300" s="8">
        <v>298</v>
      </c>
      <c r="B300" s="8">
        <v>8486</v>
      </c>
      <c r="C300" s="9" t="s">
        <v>333</v>
      </c>
      <c r="D300" s="8" t="s">
        <v>16</v>
      </c>
      <c r="E300" s="8" t="str">
        <f>"151.66"</f>
        <v>151.66</v>
      </c>
      <c r="F300" s="8"/>
      <c r="G300" s="3">
        <v>203.12</v>
      </c>
      <c r="H300" s="10"/>
      <c r="I300" s="8">
        <v>3</v>
      </c>
      <c r="J300" s="10">
        <v>2017</v>
      </c>
      <c r="K300" s="5" t="str">
        <f>"151.66"</f>
        <v>151.66</v>
      </c>
      <c r="L300" s="5"/>
      <c r="M300" s="5" t="str">
        <f>"166.80"</f>
        <v>166.80</v>
      </c>
      <c r="N300" s="5"/>
      <c r="O300" s="5"/>
      <c r="P300" s="5"/>
      <c r="Q300" s="5"/>
      <c r="R300" s="5"/>
      <c r="S300" s="5"/>
      <c r="T300" s="5"/>
      <c r="U300" s="5"/>
      <c r="V300" s="5"/>
      <c r="W300" s="5" t="str">
        <f>"239.44"</f>
        <v>239.44</v>
      </c>
      <c r="X300" s="5"/>
      <c r="Y300" s="5"/>
      <c r="Z300" s="5"/>
      <c r="AA300" s="5"/>
      <c r="AB300" s="5"/>
      <c r="AC300" s="5"/>
      <c r="AD300" s="5"/>
    </row>
    <row r="301" spans="1:30" ht="13.5" customHeight="1">
      <c r="A301" s="8">
        <v>299</v>
      </c>
      <c r="B301" s="8">
        <v>5871</v>
      </c>
      <c r="C301" s="9" t="s">
        <v>263</v>
      </c>
      <c r="D301" s="8" t="s">
        <v>264</v>
      </c>
      <c r="E301" s="8" t="str">
        <f>"172.71"</f>
        <v>172.71</v>
      </c>
      <c r="F301" s="8"/>
      <c r="G301" s="3">
        <v>203.5</v>
      </c>
      <c r="H301" s="10"/>
      <c r="I301" s="8">
        <v>3</v>
      </c>
      <c r="J301" s="10">
        <v>2017</v>
      </c>
      <c r="K301" s="5" t="str">
        <f>"172.71"</f>
        <v>172.71</v>
      </c>
      <c r="L301" s="5"/>
      <c r="M301" s="5"/>
      <c r="N301" s="5" t="str">
        <f>"217.18"</f>
        <v>217.18</v>
      </c>
      <c r="O301" s="5"/>
      <c r="P301" s="5"/>
      <c r="Q301" s="5"/>
      <c r="R301" s="5"/>
      <c r="S301" s="5"/>
      <c r="T301" s="5"/>
      <c r="U301" s="5"/>
      <c r="V301" s="5"/>
      <c r="W301" s="5"/>
      <c r="X301" s="5" t="str">
        <f>"189.81"</f>
        <v>189.81</v>
      </c>
      <c r="Y301" s="5"/>
      <c r="Z301" s="5"/>
      <c r="AA301" s="5"/>
      <c r="AB301" s="5"/>
      <c r="AC301" s="5"/>
      <c r="AD301" s="5"/>
    </row>
    <row r="302" spans="1:30" ht="13.5" customHeight="1">
      <c r="A302" s="8">
        <v>300</v>
      </c>
      <c r="B302" s="8">
        <v>4409</v>
      </c>
      <c r="C302" s="9" t="s">
        <v>173</v>
      </c>
      <c r="D302" s="8" t="s">
        <v>22</v>
      </c>
      <c r="E302" s="8" t="str">
        <f>"175.53"</f>
        <v>175.53</v>
      </c>
      <c r="F302" s="8"/>
      <c r="G302" s="3">
        <v>203.53</v>
      </c>
      <c r="H302" s="10" t="s">
        <v>18</v>
      </c>
      <c r="I302" s="8">
        <v>1</v>
      </c>
      <c r="J302" s="10">
        <v>2017</v>
      </c>
      <c r="K302" s="5" t="str">
        <f>"175.53"</f>
        <v>175.53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13.5" customHeight="1">
      <c r="A303" s="8">
        <v>301</v>
      </c>
      <c r="B303" s="8">
        <v>2450</v>
      </c>
      <c r="C303" s="9" t="s">
        <v>871</v>
      </c>
      <c r="D303" s="8" t="s">
        <v>302</v>
      </c>
      <c r="E303" s="8" t="str">
        <f>"175.61"</f>
        <v>175.61</v>
      </c>
      <c r="F303" s="8"/>
      <c r="G303" s="3">
        <v>203.61</v>
      </c>
      <c r="H303" s="10" t="s">
        <v>18</v>
      </c>
      <c r="I303" s="8">
        <v>1</v>
      </c>
      <c r="J303" s="10">
        <v>2017</v>
      </c>
      <c r="K303" s="5" t="str">
        <f>"175.61"</f>
        <v>175.61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13.5" customHeight="1">
      <c r="A304" s="8">
        <v>302</v>
      </c>
      <c r="B304" s="8">
        <v>4092</v>
      </c>
      <c r="C304" s="9" t="s">
        <v>405</v>
      </c>
      <c r="D304" s="8" t="s">
        <v>247</v>
      </c>
      <c r="E304" s="8" t="str">
        <f>"182.58"</f>
        <v>182.58</v>
      </c>
      <c r="F304" s="8"/>
      <c r="G304" s="3">
        <v>203.73</v>
      </c>
      <c r="H304" s="10" t="s">
        <v>12</v>
      </c>
      <c r="I304" s="8">
        <v>2</v>
      </c>
      <c r="J304" s="10">
        <v>2017</v>
      </c>
      <c r="K304" s="5" t="str">
        <f>"189.43"</f>
        <v>189.43</v>
      </c>
      <c r="L304" s="5"/>
      <c r="M304" s="5"/>
      <c r="N304" s="5" t="str">
        <f>"175.73"</f>
        <v>175.73</v>
      </c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13.5" customHeight="1">
      <c r="A305" s="8">
        <v>303</v>
      </c>
      <c r="B305" s="8">
        <v>1343</v>
      </c>
      <c r="C305" s="9" t="s">
        <v>386</v>
      </c>
      <c r="D305" s="8" t="s">
        <v>195</v>
      </c>
      <c r="E305" s="8" t="str">
        <f>"192.39"</f>
        <v>192.39</v>
      </c>
      <c r="F305" s="8"/>
      <c r="G305" s="3">
        <v>203.91</v>
      </c>
      <c r="H305" s="10"/>
      <c r="I305" s="8">
        <v>3</v>
      </c>
      <c r="J305" s="10">
        <v>2017</v>
      </c>
      <c r="K305" s="5" t="str">
        <f>"223.47"</f>
        <v>223.47</v>
      </c>
      <c r="L305" s="5"/>
      <c r="M305" s="5"/>
      <c r="N305" s="5" t="str">
        <f>"247.04"</f>
        <v>247.04</v>
      </c>
      <c r="O305" s="5"/>
      <c r="P305" s="5"/>
      <c r="Q305" s="5"/>
      <c r="R305" s="5"/>
      <c r="S305" s="5" t="str">
        <f>"161.30"</f>
        <v>161.30</v>
      </c>
      <c r="T305" s="5"/>
      <c r="U305" s="5"/>
      <c r="V305" s="5"/>
      <c r="W305" s="5"/>
      <c r="X305" s="5"/>
      <c r="Y305" s="5" t="str">
        <f>"246.52"</f>
        <v>246.52</v>
      </c>
      <c r="Z305" s="5"/>
      <c r="AA305" s="5"/>
      <c r="AB305" s="5"/>
      <c r="AC305" s="5"/>
      <c r="AD305" s="5"/>
    </row>
    <row r="306" spans="1:30" ht="13.5" customHeight="1">
      <c r="A306" s="8">
        <v>304</v>
      </c>
      <c r="B306" s="8">
        <v>6405</v>
      </c>
      <c r="C306" s="9" t="s">
        <v>353</v>
      </c>
      <c r="D306" s="8" t="s">
        <v>128</v>
      </c>
      <c r="E306" s="8" t="str">
        <f>"203.92"</f>
        <v>203.92</v>
      </c>
      <c r="F306" s="8"/>
      <c r="G306" s="3">
        <v>203.92</v>
      </c>
      <c r="H306" s="10" t="s">
        <v>12</v>
      </c>
      <c r="I306" s="8">
        <v>4</v>
      </c>
      <c r="J306" s="10">
        <v>2018</v>
      </c>
      <c r="K306" s="5"/>
      <c r="L306" s="5"/>
      <c r="M306" s="5"/>
      <c r="N306" s="5"/>
      <c r="O306" s="5"/>
      <c r="P306" s="5"/>
      <c r="Q306" s="5"/>
      <c r="R306" s="5"/>
      <c r="S306" s="5" t="str">
        <f>"175.92"</f>
        <v>175.92</v>
      </c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13.5" customHeight="1">
      <c r="A307" s="8">
        <v>305</v>
      </c>
      <c r="B307" s="8">
        <v>10188</v>
      </c>
      <c r="C307" s="9" t="s">
        <v>510</v>
      </c>
      <c r="D307" s="8" t="s">
        <v>16</v>
      </c>
      <c r="E307" s="8" t="str">
        <f>"204.21"</f>
        <v>204.21</v>
      </c>
      <c r="F307" s="8"/>
      <c r="G307" s="3">
        <v>204.21</v>
      </c>
      <c r="H307" s="10"/>
      <c r="I307" s="8">
        <v>3</v>
      </c>
      <c r="J307" s="10">
        <v>2017</v>
      </c>
      <c r="K307" s="5" t="str">
        <f>"362.44"</f>
        <v>362.44</v>
      </c>
      <c r="L307" s="5" t="str">
        <f>"227.68"</f>
        <v>227.68</v>
      </c>
      <c r="M307" s="5"/>
      <c r="N307" s="5"/>
      <c r="O307" s="5"/>
      <c r="P307" s="5"/>
      <c r="Q307" s="5"/>
      <c r="R307" s="5"/>
      <c r="S307" s="5"/>
      <c r="T307" s="5"/>
      <c r="U307" s="5"/>
      <c r="V307" s="5" t="str">
        <f>"212.29"</f>
        <v>212.29</v>
      </c>
      <c r="W307" s="5"/>
      <c r="X307" s="5"/>
      <c r="Y307" s="5"/>
      <c r="Z307" s="5"/>
      <c r="AA307" s="5"/>
      <c r="AB307" s="5"/>
      <c r="AC307" s="5" t="str">
        <f>"203.89"</f>
        <v>203.89</v>
      </c>
      <c r="AD307" s="5" t="str">
        <f>"204.53"</f>
        <v>204.53</v>
      </c>
    </row>
    <row r="308" spans="1:30" ht="13.5" customHeight="1">
      <c r="A308" s="8">
        <v>306</v>
      </c>
      <c r="B308" s="8">
        <v>756</v>
      </c>
      <c r="C308" s="9" t="s">
        <v>541</v>
      </c>
      <c r="D308" s="8" t="s">
        <v>67</v>
      </c>
      <c r="E308" s="8" t="str">
        <f>"176.37"</f>
        <v>176.37</v>
      </c>
      <c r="F308" s="8"/>
      <c r="G308" s="3">
        <v>204.37</v>
      </c>
      <c r="H308" s="10" t="s">
        <v>18</v>
      </c>
      <c r="I308" s="8">
        <v>1</v>
      </c>
      <c r="J308" s="10">
        <v>2017</v>
      </c>
      <c r="K308" s="5" t="str">
        <f>"176.37"</f>
        <v>176.37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13.5" customHeight="1">
      <c r="A309" s="8">
        <v>307</v>
      </c>
      <c r="B309" s="8">
        <v>1405</v>
      </c>
      <c r="C309" s="9" t="s">
        <v>1196</v>
      </c>
      <c r="D309" s="8" t="s">
        <v>282</v>
      </c>
      <c r="E309" s="8" t="str">
        <f>"177.07"</f>
        <v>177.07</v>
      </c>
      <c r="F309" s="8"/>
      <c r="G309" s="3">
        <v>205.07</v>
      </c>
      <c r="H309" s="10" t="s">
        <v>18</v>
      </c>
      <c r="I309" s="8">
        <v>1</v>
      </c>
      <c r="J309" s="10">
        <v>2017</v>
      </c>
      <c r="K309" s="5" t="str">
        <f>"177.07"</f>
        <v>177.07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13.5" customHeight="1">
      <c r="A310" s="8">
        <v>308</v>
      </c>
      <c r="B310" s="8">
        <v>7633</v>
      </c>
      <c r="C310" s="9" t="s">
        <v>627</v>
      </c>
      <c r="D310" s="8" t="s">
        <v>420</v>
      </c>
      <c r="E310" s="8" t="str">
        <f>"177.16"</f>
        <v>177.16</v>
      </c>
      <c r="F310" s="8"/>
      <c r="G310" s="3">
        <v>205.16</v>
      </c>
      <c r="H310" s="10" t="s">
        <v>18</v>
      </c>
      <c r="I310" s="8">
        <v>1</v>
      </c>
      <c r="J310" s="10">
        <v>2017</v>
      </c>
      <c r="K310" s="5" t="str">
        <f>"177.16"</f>
        <v>177.16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13.5" customHeight="1">
      <c r="A311" s="8">
        <v>309</v>
      </c>
      <c r="B311" s="8">
        <v>3347</v>
      </c>
      <c r="C311" s="9" t="s">
        <v>368</v>
      </c>
      <c r="D311" s="8" t="s">
        <v>150</v>
      </c>
      <c r="E311" s="8" t="str">
        <f>"178.43"</f>
        <v>178.43</v>
      </c>
      <c r="F311" s="8"/>
      <c r="G311" s="3">
        <v>206.43</v>
      </c>
      <c r="H311" s="10" t="s">
        <v>18</v>
      </c>
      <c r="I311" s="8">
        <v>1</v>
      </c>
      <c r="J311" s="10">
        <v>2017</v>
      </c>
      <c r="K311" s="5" t="str">
        <f>"178.43"</f>
        <v>178.43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3.5" customHeight="1">
      <c r="A312" s="8">
        <v>310</v>
      </c>
      <c r="B312" s="8">
        <v>6864</v>
      </c>
      <c r="C312" s="9" t="s">
        <v>682</v>
      </c>
      <c r="D312" s="8" t="s">
        <v>76</v>
      </c>
      <c r="E312" s="8" t="str">
        <f>"178.48"</f>
        <v>178.48</v>
      </c>
      <c r="F312" s="8"/>
      <c r="G312" s="3">
        <v>206.48</v>
      </c>
      <c r="H312" s="10" t="s">
        <v>18</v>
      </c>
      <c r="I312" s="8">
        <v>1</v>
      </c>
      <c r="J312" s="10">
        <v>2017</v>
      </c>
      <c r="K312" s="5" t="str">
        <f>"178.48"</f>
        <v>178.48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3.5" customHeight="1">
      <c r="A313" s="8">
        <v>311</v>
      </c>
      <c r="B313" s="8">
        <v>4219</v>
      </c>
      <c r="C313" s="9" t="s">
        <v>586</v>
      </c>
      <c r="D313" s="8" t="s">
        <v>195</v>
      </c>
      <c r="E313" s="8" t="str">
        <f>"186.33"</f>
        <v>186.33</v>
      </c>
      <c r="F313" s="8"/>
      <c r="G313" s="3">
        <v>207.23</v>
      </c>
      <c r="H313" s="10" t="s">
        <v>12</v>
      </c>
      <c r="I313" s="8">
        <v>2</v>
      </c>
      <c r="J313" s="10">
        <v>2017</v>
      </c>
      <c r="K313" s="5" t="str">
        <f>"193.43"</f>
        <v>193.43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 t="str">
        <f>"179.23"</f>
        <v>179.23</v>
      </c>
      <c r="AB313" s="5"/>
      <c r="AC313" s="5"/>
      <c r="AD313" s="5"/>
    </row>
    <row r="314" spans="1:30" ht="13.5" customHeight="1">
      <c r="A314" s="8">
        <v>312</v>
      </c>
      <c r="B314" s="8">
        <v>8495</v>
      </c>
      <c r="C314" s="9" t="s">
        <v>649</v>
      </c>
      <c r="D314" s="8" t="s">
        <v>16</v>
      </c>
      <c r="E314" s="8" t="str">
        <f>"179.45"</f>
        <v>179.45</v>
      </c>
      <c r="F314" s="8"/>
      <c r="G314" s="3">
        <v>207.45</v>
      </c>
      <c r="H314" s="10" t="s">
        <v>18</v>
      </c>
      <c r="I314" s="8">
        <v>1</v>
      </c>
      <c r="J314" s="10">
        <v>2017</v>
      </c>
      <c r="K314" s="5" t="str">
        <f>"179.45"</f>
        <v>179.45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13.5" customHeight="1">
      <c r="A315" s="8">
        <v>313</v>
      </c>
      <c r="B315" s="8">
        <v>4225</v>
      </c>
      <c r="C315" s="9" t="s">
        <v>346</v>
      </c>
      <c r="D315" s="8" t="s">
        <v>105</v>
      </c>
      <c r="E315" s="8" t="str">
        <f>"159.90"</f>
        <v>159.90</v>
      </c>
      <c r="F315" s="8"/>
      <c r="G315" s="3">
        <v>207.89</v>
      </c>
      <c r="H315" s="10"/>
      <c r="I315" s="8">
        <v>3</v>
      </c>
      <c r="J315" s="10">
        <v>2017</v>
      </c>
      <c r="K315" s="5" t="str">
        <f>"159.90"</f>
        <v>159.90</v>
      </c>
      <c r="L315" s="5"/>
      <c r="M315" s="5"/>
      <c r="N315" s="5"/>
      <c r="O315" s="5" t="str">
        <f>"210.48"</f>
        <v>210.48</v>
      </c>
      <c r="P315" s="5"/>
      <c r="Q315" s="5"/>
      <c r="R315" s="5"/>
      <c r="S315" s="5"/>
      <c r="T315" s="5" t="str">
        <f>"205.29"</f>
        <v>205.29</v>
      </c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13.5" customHeight="1">
      <c r="A316" s="8">
        <v>314</v>
      </c>
      <c r="B316" s="8">
        <v>5551</v>
      </c>
      <c r="C316" s="9" t="s">
        <v>267</v>
      </c>
      <c r="D316" s="8" t="s">
        <v>119</v>
      </c>
      <c r="E316" s="8" t="str">
        <f>"174.63"</f>
        <v>174.63</v>
      </c>
      <c r="F316" s="8"/>
      <c r="G316" s="3">
        <v>208.12</v>
      </c>
      <c r="H316" s="10"/>
      <c r="I316" s="8">
        <v>3</v>
      </c>
      <c r="J316" s="10">
        <v>2017</v>
      </c>
      <c r="K316" s="5" t="str">
        <f>"181.85"</f>
        <v>181.85</v>
      </c>
      <c r="L316" s="5"/>
      <c r="M316" s="5"/>
      <c r="N316" s="5"/>
      <c r="O316" s="5"/>
      <c r="P316" s="5"/>
      <c r="Q316" s="5"/>
      <c r="R316" s="5"/>
      <c r="S316" s="5" t="str">
        <f>"167.41"</f>
        <v>167.41</v>
      </c>
      <c r="T316" s="5"/>
      <c r="U316" s="5"/>
      <c r="V316" s="5"/>
      <c r="W316" s="5"/>
      <c r="X316" s="5"/>
      <c r="Y316" s="5"/>
      <c r="Z316" s="5"/>
      <c r="AA316" s="5" t="str">
        <f>"248.82"</f>
        <v>248.82</v>
      </c>
      <c r="AB316" s="5"/>
      <c r="AC316" s="5"/>
      <c r="AD316" s="5"/>
    </row>
    <row r="317" spans="1:30" ht="13.5" customHeight="1">
      <c r="A317" s="8">
        <v>315</v>
      </c>
      <c r="B317" s="8">
        <v>8215</v>
      </c>
      <c r="C317" s="9" t="s">
        <v>303</v>
      </c>
      <c r="D317" s="8" t="s">
        <v>231</v>
      </c>
      <c r="E317" s="8" t="str">
        <f>"180.20"</f>
        <v>180.20</v>
      </c>
      <c r="F317" s="8"/>
      <c r="G317" s="3">
        <v>208.2</v>
      </c>
      <c r="H317" s="10" t="s">
        <v>18</v>
      </c>
      <c r="I317" s="8">
        <v>1</v>
      </c>
      <c r="J317" s="10">
        <v>2017</v>
      </c>
      <c r="K317" s="5" t="str">
        <f>"180.20"</f>
        <v>180.20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13.5" customHeight="1">
      <c r="A318" s="8">
        <v>316</v>
      </c>
      <c r="B318" s="8">
        <v>4429</v>
      </c>
      <c r="C318" s="9" t="s">
        <v>277</v>
      </c>
      <c r="D318" s="8" t="s">
        <v>270</v>
      </c>
      <c r="E318" s="8" t="str">
        <f>"208.20"</f>
        <v>208.20</v>
      </c>
      <c r="F318" s="8"/>
      <c r="G318" s="3">
        <v>208.29</v>
      </c>
      <c r="H318" s="10"/>
      <c r="I318" s="8">
        <v>3</v>
      </c>
      <c r="J318" s="10">
        <v>2017</v>
      </c>
      <c r="K318" s="5" t="str">
        <f>"215.15"</f>
        <v>215.15</v>
      </c>
      <c r="L318" s="5"/>
      <c r="M318" s="5"/>
      <c r="N318" s="5" t="str">
        <f>"215.33"</f>
        <v>215.33</v>
      </c>
      <c r="O318" s="5"/>
      <c r="P318" s="5"/>
      <c r="Q318" s="5"/>
      <c r="R318" s="5"/>
      <c r="S318" s="5"/>
      <c r="T318" s="5"/>
      <c r="U318" s="5"/>
      <c r="V318" s="5"/>
      <c r="W318" s="5"/>
      <c r="X318" s="5" t="str">
        <f>"201.24"</f>
        <v>201.24</v>
      </c>
      <c r="Y318" s="5" t="str">
        <f>"277.11"</f>
        <v>277.11</v>
      </c>
      <c r="Z318" s="5"/>
      <c r="AA318" s="5"/>
      <c r="AB318" s="5"/>
      <c r="AC318" s="5"/>
      <c r="AD318" s="5"/>
    </row>
    <row r="319" spans="1:30" ht="13.5" customHeight="1">
      <c r="A319" s="8">
        <v>317</v>
      </c>
      <c r="B319" s="8">
        <v>1821</v>
      </c>
      <c r="C319" s="9" t="s">
        <v>922</v>
      </c>
      <c r="D319" s="8" t="s">
        <v>108</v>
      </c>
      <c r="E319" s="8" t="str">
        <f>"180.33"</f>
        <v>180.33</v>
      </c>
      <c r="F319" s="8"/>
      <c r="G319" s="3">
        <v>208.33</v>
      </c>
      <c r="H319" s="10" t="s">
        <v>18</v>
      </c>
      <c r="I319" s="8">
        <v>1</v>
      </c>
      <c r="J319" s="10">
        <v>2017</v>
      </c>
      <c r="K319" s="5" t="str">
        <f>"180.33"</f>
        <v>180.33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13.5" customHeight="1">
      <c r="A320" s="8">
        <v>318</v>
      </c>
      <c r="B320" s="8">
        <v>7046</v>
      </c>
      <c r="C320" s="9" t="s">
        <v>536</v>
      </c>
      <c r="D320" s="8" t="s">
        <v>537</v>
      </c>
      <c r="E320" s="8" t="str">
        <f>"180.80"</f>
        <v>180.80</v>
      </c>
      <c r="F320" s="8"/>
      <c r="G320" s="3">
        <v>208.8</v>
      </c>
      <c r="H320" s="10" t="s">
        <v>18</v>
      </c>
      <c r="I320" s="8">
        <v>1</v>
      </c>
      <c r="J320" s="10">
        <v>2018</v>
      </c>
      <c r="K320" s="5" t="str">
        <f>"180.80"</f>
        <v>180.80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13.5" customHeight="1">
      <c r="A321" s="8">
        <v>319</v>
      </c>
      <c r="B321" s="8">
        <v>3662</v>
      </c>
      <c r="C321" s="9" t="s">
        <v>480</v>
      </c>
      <c r="D321" s="8" t="s">
        <v>231</v>
      </c>
      <c r="E321" s="8" t="str">
        <f>"140.09"</f>
        <v>140.09</v>
      </c>
      <c r="F321" s="8"/>
      <c r="G321" s="3">
        <v>209.36</v>
      </c>
      <c r="H321" s="10"/>
      <c r="I321" s="8">
        <v>3</v>
      </c>
      <c r="J321" s="10">
        <v>2017</v>
      </c>
      <c r="K321" s="5" t="str">
        <f>"140.09"</f>
        <v>140.09</v>
      </c>
      <c r="L321" s="5"/>
      <c r="M321" s="5"/>
      <c r="N321" s="5"/>
      <c r="O321" s="5" t="str">
        <f>"229.59"</f>
        <v>229.59</v>
      </c>
      <c r="P321" s="5"/>
      <c r="Q321" s="5"/>
      <c r="R321" s="5"/>
      <c r="S321" s="5"/>
      <c r="T321" s="5" t="str">
        <f>"189.13"</f>
        <v>189.13</v>
      </c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13.5" customHeight="1">
      <c r="A322" s="8">
        <v>320</v>
      </c>
      <c r="B322" s="8">
        <v>1368</v>
      </c>
      <c r="C322" s="9" t="s">
        <v>670</v>
      </c>
      <c r="D322" s="8" t="s">
        <v>342</v>
      </c>
      <c r="E322" s="8" t="str">
        <f>"181.74"</f>
        <v>181.74</v>
      </c>
      <c r="F322" s="8"/>
      <c r="G322" s="3">
        <v>209.74</v>
      </c>
      <c r="H322" s="10" t="s">
        <v>18</v>
      </c>
      <c r="I322" s="8">
        <v>1</v>
      </c>
      <c r="J322" s="10">
        <v>2018</v>
      </c>
      <c r="K322" s="5" t="str">
        <f>"181.74"</f>
        <v>181.74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13.5" customHeight="1">
      <c r="A323" s="8">
        <v>321</v>
      </c>
      <c r="B323" s="8">
        <v>11109</v>
      </c>
      <c r="C323" s="9" t="s">
        <v>518</v>
      </c>
      <c r="D323" s="8" t="s">
        <v>16</v>
      </c>
      <c r="E323" s="8" t="str">
        <f>"209.84"</f>
        <v>209.84</v>
      </c>
      <c r="F323" s="8"/>
      <c r="G323" s="3">
        <v>209.84</v>
      </c>
      <c r="H323" s="10"/>
      <c r="I323" s="8">
        <v>5</v>
      </c>
      <c r="J323" s="10">
        <v>2017</v>
      </c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 t="str">
        <f>"237.34"</f>
        <v>237.34</v>
      </c>
      <c r="W323" s="5"/>
      <c r="X323" s="5"/>
      <c r="Y323" s="5"/>
      <c r="Z323" s="5"/>
      <c r="AA323" s="5"/>
      <c r="AB323" s="5"/>
      <c r="AC323" s="5" t="str">
        <f>"207.45"</f>
        <v>207.45</v>
      </c>
      <c r="AD323" s="5" t="str">
        <f>"212.23"</f>
        <v>212.23</v>
      </c>
    </row>
    <row r="324" spans="1:30" ht="13.5" customHeight="1">
      <c r="A324" s="8">
        <v>322</v>
      </c>
      <c r="B324" s="8">
        <v>10163</v>
      </c>
      <c r="C324" s="9" t="s">
        <v>448</v>
      </c>
      <c r="D324" s="8" t="s">
        <v>16</v>
      </c>
      <c r="E324" s="8" t="str">
        <f>"209.92"</f>
        <v>209.92</v>
      </c>
      <c r="F324" s="8"/>
      <c r="G324" s="3">
        <v>209.92</v>
      </c>
      <c r="H324" s="10"/>
      <c r="I324" s="8">
        <v>3</v>
      </c>
      <c r="J324" s="10">
        <v>2017</v>
      </c>
      <c r="K324" s="5" t="str">
        <f>"249.19"</f>
        <v>249.19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 t="str">
        <f>"189.69"</f>
        <v>189.69</v>
      </c>
      <c r="W324" s="5" t="str">
        <f>"300.29"</f>
        <v>300.29</v>
      </c>
      <c r="X324" s="5"/>
      <c r="Y324" s="5"/>
      <c r="Z324" s="5"/>
      <c r="AA324" s="5"/>
      <c r="AB324" s="5"/>
      <c r="AC324" s="5" t="str">
        <f>"230.15"</f>
        <v>230.15</v>
      </c>
      <c r="AD324" s="5"/>
    </row>
    <row r="325" spans="1:30" ht="13.5" customHeight="1">
      <c r="A325" s="8">
        <v>323</v>
      </c>
      <c r="B325" s="8">
        <v>10538</v>
      </c>
      <c r="C325" s="9" t="s">
        <v>745</v>
      </c>
      <c r="D325" s="8" t="s">
        <v>16</v>
      </c>
      <c r="E325" s="8" t="str">
        <f>"182.15"</f>
        <v>182.15</v>
      </c>
      <c r="F325" s="8"/>
      <c r="G325" s="3">
        <v>210.15</v>
      </c>
      <c r="H325" s="10" t="s">
        <v>18</v>
      </c>
      <c r="I325" s="8">
        <v>1</v>
      </c>
      <c r="J325" s="10">
        <v>2017</v>
      </c>
      <c r="K325" s="5" t="str">
        <f>"182.15"</f>
        <v>182.15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3.5" customHeight="1">
      <c r="A326" s="8">
        <v>324</v>
      </c>
      <c r="B326" s="8">
        <v>1413</v>
      </c>
      <c r="C326" s="9" t="s">
        <v>587</v>
      </c>
      <c r="D326" s="8" t="s">
        <v>22</v>
      </c>
      <c r="E326" s="8" t="str">
        <f>"182.51"</f>
        <v>182.51</v>
      </c>
      <c r="F326" s="8"/>
      <c r="G326" s="3">
        <v>210.51</v>
      </c>
      <c r="H326" s="10" t="s">
        <v>18</v>
      </c>
      <c r="I326" s="8">
        <v>1</v>
      </c>
      <c r="J326" s="10">
        <v>2017</v>
      </c>
      <c r="K326" s="5" t="str">
        <f>"182.51"</f>
        <v>182.51</v>
      </c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13.5" customHeight="1">
      <c r="A327" s="8">
        <v>325</v>
      </c>
      <c r="B327" s="8">
        <v>4553</v>
      </c>
      <c r="C327" s="9" t="s">
        <v>1193</v>
      </c>
      <c r="D327" s="8" t="s">
        <v>618</v>
      </c>
      <c r="E327" s="8" t="str">
        <f>"182.58"</f>
        <v>182.58</v>
      </c>
      <c r="F327" s="8"/>
      <c r="G327" s="3">
        <v>210.58</v>
      </c>
      <c r="H327" s="10" t="s">
        <v>18</v>
      </c>
      <c r="I327" s="8">
        <v>1</v>
      </c>
      <c r="J327" s="10">
        <v>2017</v>
      </c>
      <c r="K327" s="5" t="str">
        <f>"182.58"</f>
        <v>182.58</v>
      </c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13.5" customHeight="1">
      <c r="A328" s="8">
        <v>326</v>
      </c>
      <c r="B328" s="8">
        <v>1989</v>
      </c>
      <c r="C328" s="9" t="s">
        <v>701</v>
      </c>
      <c r="D328" s="8" t="s">
        <v>22</v>
      </c>
      <c r="E328" s="8" t="str">
        <f>"183.03"</f>
        <v>183.03</v>
      </c>
      <c r="F328" s="8"/>
      <c r="G328" s="3">
        <v>211.03</v>
      </c>
      <c r="H328" s="10" t="s">
        <v>18</v>
      </c>
      <c r="I328" s="8">
        <v>1</v>
      </c>
      <c r="J328" s="10">
        <v>2017</v>
      </c>
      <c r="K328" s="5" t="str">
        <f>"183.03"</f>
        <v>183.03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13.5" customHeight="1">
      <c r="A329" s="8">
        <v>327</v>
      </c>
      <c r="B329" s="8">
        <v>10140</v>
      </c>
      <c r="C329" s="9" t="s">
        <v>533</v>
      </c>
      <c r="D329" s="8" t="s">
        <v>16</v>
      </c>
      <c r="E329" s="8" t="str">
        <f>"211.22"</f>
        <v>211.22</v>
      </c>
      <c r="F329" s="8"/>
      <c r="G329" s="3">
        <v>211.22</v>
      </c>
      <c r="H329" s="10"/>
      <c r="I329" s="8">
        <v>3</v>
      </c>
      <c r="J329" s="10">
        <v>2017</v>
      </c>
      <c r="K329" s="5" t="str">
        <f>"243.26"</f>
        <v>243.26</v>
      </c>
      <c r="L329" s="5" t="str">
        <f>"288.01"</f>
        <v>288.01</v>
      </c>
      <c r="M329" s="5" t="str">
        <f>"300.15"</f>
        <v>300.15</v>
      </c>
      <c r="N329" s="5"/>
      <c r="O329" s="5"/>
      <c r="P329" s="5"/>
      <c r="Q329" s="5"/>
      <c r="R329" s="5"/>
      <c r="S329" s="5"/>
      <c r="T329" s="5"/>
      <c r="U329" s="5"/>
      <c r="V329" s="5" t="str">
        <f>"236.12"</f>
        <v>236.12</v>
      </c>
      <c r="W329" s="5" t="str">
        <f>"435.14"</f>
        <v>435.14</v>
      </c>
      <c r="X329" s="5"/>
      <c r="Y329" s="5"/>
      <c r="Z329" s="5"/>
      <c r="AA329" s="5"/>
      <c r="AB329" s="5"/>
      <c r="AC329" s="5" t="str">
        <f>"186.32"</f>
        <v>186.32</v>
      </c>
      <c r="AD329" s="5" t="str">
        <f>"312.06"</f>
        <v>312.06</v>
      </c>
    </row>
    <row r="330" spans="1:30" ht="13.5" customHeight="1">
      <c r="A330" s="8">
        <v>328</v>
      </c>
      <c r="B330" s="8">
        <v>10655</v>
      </c>
      <c r="C330" s="9" t="s">
        <v>1249</v>
      </c>
      <c r="D330" s="8" t="s">
        <v>318</v>
      </c>
      <c r="E330" s="8"/>
      <c r="F330" s="8"/>
      <c r="G330" s="3">
        <v>211.6</v>
      </c>
      <c r="H330" s="10" t="s">
        <v>18</v>
      </c>
      <c r="I330" s="8">
        <v>1</v>
      </c>
      <c r="J330" s="10">
        <v>2017</v>
      </c>
      <c r="K330" s="5">
        <v>183.6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13.5" customHeight="1">
      <c r="A331" s="8">
        <v>329</v>
      </c>
      <c r="B331" s="8">
        <v>1166</v>
      </c>
      <c r="C331" s="9" t="s">
        <v>1197</v>
      </c>
      <c r="D331" s="8" t="s">
        <v>282</v>
      </c>
      <c r="E331" s="8" t="str">
        <f>"183.72"</f>
        <v>183.72</v>
      </c>
      <c r="F331" s="8"/>
      <c r="G331" s="3">
        <v>211.72</v>
      </c>
      <c r="H331" s="10" t="s">
        <v>18</v>
      </c>
      <c r="I331" s="8">
        <v>1</v>
      </c>
      <c r="J331" s="10">
        <v>2017</v>
      </c>
      <c r="K331" s="5" t="str">
        <f>"183.72"</f>
        <v>183.72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13.5" customHeight="1">
      <c r="A332" s="8">
        <v>330</v>
      </c>
      <c r="B332" s="8">
        <v>6282</v>
      </c>
      <c r="C332" s="9" t="s">
        <v>207</v>
      </c>
      <c r="D332" s="8" t="s">
        <v>208</v>
      </c>
      <c r="E332" s="8" t="str">
        <f>"183.95"</f>
        <v>183.95</v>
      </c>
      <c r="F332" s="8"/>
      <c r="G332" s="3">
        <v>211.95</v>
      </c>
      <c r="H332" s="10" t="s">
        <v>18</v>
      </c>
      <c r="I332" s="8">
        <v>1</v>
      </c>
      <c r="J332" s="10">
        <v>2017</v>
      </c>
      <c r="K332" s="5" t="str">
        <f>"183.95"</f>
        <v>183.95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13.5" customHeight="1">
      <c r="A333" s="8">
        <v>331</v>
      </c>
      <c r="B333" s="8">
        <v>9639</v>
      </c>
      <c r="C333" s="9" t="s">
        <v>462</v>
      </c>
      <c r="D333" s="8" t="s">
        <v>51</v>
      </c>
      <c r="E333" s="8" t="str">
        <f>"184.01"</f>
        <v>184.01</v>
      </c>
      <c r="F333" s="8"/>
      <c r="G333" s="3">
        <v>212.01</v>
      </c>
      <c r="H333" s="10" t="s">
        <v>18</v>
      </c>
      <c r="I333" s="8">
        <v>1</v>
      </c>
      <c r="J333" s="10">
        <v>2017</v>
      </c>
      <c r="K333" s="5" t="str">
        <f>"184.01"</f>
        <v>184.01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13.5" customHeight="1">
      <c r="A334" s="8">
        <v>332</v>
      </c>
      <c r="B334" s="8">
        <v>10982</v>
      </c>
      <c r="C334" s="9" t="s">
        <v>322</v>
      </c>
      <c r="D334" s="8" t="s">
        <v>323</v>
      </c>
      <c r="E334" s="8" t="str">
        <f>"212.05"</f>
        <v>212.05</v>
      </c>
      <c r="F334" s="8"/>
      <c r="G334" s="3">
        <v>212.05</v>
      </c>
      <c r="H334" s="10"/>
      <c r="I334" s="8">
        <v>5</v>
      </c>
      <c r="J334" s="10">
        <v>2017</v>
      </c>
      <c r="K334" s="5"/>
      <c r="L334" s="5"/>
      <c r="M334" s="5"/>
      <c r="N334" s="5"/>
      <c r="O334" s="5"/>
      <c r="P334" s="5"/>
      <c r="Q334" s="5" t="str">
        <f>"329.57"</f>
        <v>329.57</v>
      </c>
      <c r="R334" s="5" t="str">
        <f>"292.54"</f>
        <v>292.54</v>
      </c>
      <c r="S334" s="5"/>
      <c r="T334" s="5"/>
      <c r="U334" s="5"/>
      <c r="V334" s="5"/>
      <c r="W334" s="5"/>
      <c r="X334" s="5" t="str">
        <f>"131.55"</f>
        <v>131.55</v>
      </c>
      <c r="Y334" s="5"/>
      <c r="Z334" s="5"/>
      <c r="AA334" s="5"/>
      <c r="AB334" s="5"/>
      <c r="AC334" s="5"/>
      <c r="AD334" s="5"/>
    </row>
    <row r="335" spans="1:30" ht="13.5" customHeight="1">
      <c r="A335" s="8">
        <v>333</v>
      </c>
      <c r="B335" s="8">
        <v>10223</v>
      </c>
      <c r="C335" s="9" t="s">
        <v>163</v>
      </c>
      <c r="D335" s="8" t="s">
        <v>164</v>
      </c>
      <c r="E335" s="8" t="str">
        <f>"184.27"</f>
        <v>184.27</v>
      </c>
      <c r="F335" s="8"/>
      <c r="G335" s="3">
        <v>212.27</v>
      </c>
      <c r="H335" s="10" t="s">
        <v>18</v>
      </c>
      <c r="I335" s="8">
        <v>1</v>
      </c>
      <c r="J335" s="10">
        <v>2017</v>
      </c>
      <c r="K335" s="5" t="str">
        <f>"184.27"</f>
        <v>184.27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13.5" customHeight="1">
      <c r="A336" s="8">
        <v>334</v>
      </c>
      <c r="B336" s="8">
        <v>10723</v>
      </c>
      <c r="C336" s="9" t="s">
        <v>634</v>
      </c>
      <c r="D336" s="8" t="s">
        <v>29</v>
      </c>
      <c r="E336" s="8" t="str">
        <f>"212.40"</f>
        <v>212.40</v>
      </c>
      <c r="F336" s="8"/>
      <c r="G336" s="3">
        <v>212.4</v>
      </c>
      <c r="H336" s="10"/>
      <c r="I336" s="8">
        <v>3</v>
      </c>
      <c r="J336" s="10">
        <v>2017</v>
      </c>
      <c r="K336" s="5" t="str">
        <f>"430.55"</f>
        <v>430.55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 t="str">
        <f>"242.60"</f>
        <v>242.60</v>
      </c>
      <c r="Y336" s="5"/>
      <c r="Z336" s="5"/>
      <c r="AA336" s="5"/>
      <c r="AB336" s="5" t="str">
        <f>"182.19"</f>
        <v>182.19</v>
      </c>
      <c r="AC336" s="5"/>
      <c r="AD336" s="5"/>
    </row>
    <row r="337" spans="1:30" ht="13.5" customHeight="1">
      <c r="A337" s="8">
        <v>335</v>
      </c>
      <c r="B337" s="8">
        <v>7124</v>
      </c>
      <c r="C337" s="9" t="s">
        <v>717</v>
      </c>
      <c r="D337" s="8" t="s">
        <v>208</v>
      </c>
      <c r="E337" s="8" t="str">
        <f>"184.41"</f>
        <v>184.41</v>
      </c>
      <c r="F337" s="8"/>
      <c r="G337" s="3">
        <v>212.41</v>
      </c>
      <c r="H337" s="10" t="s">
        <v>18</v>
      </c>
      <c r="I337" s="8">
        <v>1</v>
      </c>
      <c r="J337" s="10">
        <v>2017</v>
      </c>
      <c r="K337" s="5" t="str">
        <f>"184.41"</f>
        <v>184.41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13.5" customHeight="1">
      <c r="A338" s="8">
        <v>336</v>
      </c>
      <c r="B338" s="8">
        <v>10236</v>
      </c>
      <c r="C338" s="9" t="s">
        <v>218</v>
      </c>
      <c r="D338" s="8" t="s">
        <v>16</v>
      </c>
      <c r="E338" s="8" t="str">
        <f>"123.74"</f>
        <v>123.74</v>
      </c>
      <c r="F338" s="8"/>
      <c r="G338" s="3">
        <v>213.33</v>
      </c>
      <c r="H338" s="10" t="s">
        <v>12</v>
      </c>
      <c r="I338" s="8">
        <v>2</v>
      </c>
      <c r="J338" s="10">
        <v>2017</v>
      </c>
      <c r="K338" s="5" t="str">
        <f>"123.74"</f>
        <v>123.74</v>
      </c>
      <c r="L338" s="5"/>
      <c r="M338" s="5"/>
      <c r="N338" s="5" t="str">
        <f>"185.33"</f>
        <v>185.33</v>
      </c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13.5" customHeight="1">
      <c r="A339" s="8">
        <v>337</v>
      </c>
      <c r="B339" s="8">
        <v>10871</v>
      </c>
      <c r="C339" s="9" t="s">
        <v>424</v>
      </c>
      <c r="D339" s="8" t="s">
        <v>16</v>
      </c>
      <c r="E339" s="8" t="str">
        <f>"213.55"</f>
        <v>213.55</v>
      </c>
      <c r="F339" s="8"/>
      <c r="G339" s="3">
        <v>213.55</v>
      </c>
      <c r="H339" s="10"/>
      <c r="I339" s="8">
        <v>3</v>
      </c>
      <c r="J339" s="10">
        <v>2017</v>
      </c>
      <c r="K339" s="5" t="str">
        <f>"562.28"</f>
        <v>562.28</v>
      </c>
      <c r="L339" s="5" t="str">
        <f>"236.27"</f>
        <v>236.27</v>
      </c>
      <c r="M339" s="5" t="str">
        <f>"396.35"</f>
        <v>396.35</v>
      </c>
      <c r="N339" s="5"/>
      <c r="O339" s="5"/>
      <c r="P339" s="5"/>
      <c r="Q339" s="5"/>
      <c r="R339" s="5"/>
      <c r="S339" s="5"/>
      <c r="T339" s="5"/>
      <c r="U339" s="5"/>
      <c r="V339" s="5" t="str">
        <f>"190.82"</f>
        <v>190.82</v>
      </c>
      <c r="W339" s="5"/>
      <c r="X339" s="5"/>
      <c r="Y339" s="5"/>
      <c r="Z339" s="5"/>
      <c r="AA339" s="5"/>
      <c r="AB339" s="5"/>
      <c r="AC339" s="5"/>
      <c r="AD339" s="5"/>
    </row>
    <row r="340" spans="1:30" ht="13.5" customHeight="1">
      <c r="A340" s="8">
        <v>338</v>
      </c>
      <c r="B340" s="8">
        <v>2782</v>
      </c>
      <c r="C340" s="9" t="s">
        <v>367</v>
      </c>
      <c r="D340" s="8" t="s">
        <v>155</v>
      </c>
      <c r="E340" s="8" t="str">
        <f>"185.94"</f>
        <v>185.94</v>
      </c>
      <c r="F340" s="8"/>
      <c r="G340" s="3">
        <v>213.94</v>
      </c>
      <c r="H340" s="10" t="s">
        <v>18</v>
      </c>
      <c r="I340" s="8">
        <v>1</v>
      </c>
      <c r="J340" s="10">
        <v>2018</v>
      </c>
      <c r="K340" s="5" t="str">
        <f>"185.94"</f>
        <v>185.94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13.5" customHeight="1">
      <c r="A341" s="8">
        <v>339</v>
      </c>
      <c r="B341" s="8">
        <v>8682</v>
      </c>
      <c r="C341" s="9" t="s">
        <v>288</v>
      </c>
      <c r="D341" s="8" t="s">
        <v>289</v>
      </c>
      <c r="E341" s="8" t="str">
        <f>"158.17"</f>
        <v>158.17</v>
      </c>
      <c r="F341" s="8"/>
      <c r="G341" s="3">
        <v>214.34</v>
      </c>
      <c r="H341" s="10"/>
      <c r="I341" s="8">
        <v>3</v>
      </c>
      <c r="J341" s="10">
        <v>2017</v>
      </c>
      <c r="K341" s="5" t="str">
        <f>"158.17"</f>
        <v>158.17</v>
      </c>
      <c r="L341" s="5"/>
      <c r="M341" s="5"/>
      <c r="N341" s="5"/>
      <c r="O341" s="5"/>
      <c r="P341" s="5"/>
      <c r="Q341" s="5"/>
      <c r="R341" s="5"/>
      <c r="S341" s="5" t="str">
        <f>"348.94"</f>
        <v>348.94</v>
      </c>
      <c r="T341" s="5"/>
      <c r="U341" s="5"/>
      <c r="V341" s="5"/>
      <c r="W341" s="5"/>
      <c r="X341" s="5" t="str">
        <f>"194.23"</f>
        <v>194.23</v>
      </c>
      <c r="Y341" s="5" t="str">
        <f>"270.52"</f>
        <v>270.52</v>
      </c>
      <c r="Z341" s="5"/>
      <c r="AA341" s="5" t="str">
        <f>"234.44"</f>
        <v>234.44</v>
      </c>
      <c r="AB341" s="5"/>
      <c r="AC341" s="5"/>
      <c r="AD341" s="5"/>
    </row>
    <row r="342" spans="1:30" ht="13.5" customHeight="1">
      <c r="A342" s="8">
        <v>340</v>
      </c>
      <c r="B342" s="8">
        <v>6314</v>
      </c>
      <c r="C342" s="9" t="s">
        <v>240</v>
      </c>
      <c r="D342" s="8" t="s">
        <v>241</v>
      </c>
      <c r="E342" s="8" t="str">
        <f>"177.26"</f>
        <v>177.26</v>
      </c>
      <c r="F342" s="8"/>
      <c r="G342" s="3">
        <v>214.41</v>
      </c>
      <c r="H342" s="10" t="s">
        <v>12</v>
      </c>
      <c r="I342" s="8">
        <v>2</v>
      </c>
      <c r="J342" s="10">
        <v>2017</v>
      </c>
      <c r="K342" s="5" t="str">
        <f>"177.26"</f>
        <v>177.26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 t="str">
        <f>"186.41"</f>
        <v>186.41</v>
      </c>
      <c r="Y342" s="5"/>
      <c r="Z342" s="5"/>
      <c r="AA342" s="5"/>
      <c r="AB342" s="5"/>
      <c r="AC342" s="5"/>
      <c r="AD342" s="5"/>
    </row>
    <row r="343" spans="1:30" ht="13.5" customHeight="1">
      <c r="A343" s="8">
        <v>341</v>
      </c>
      <c r="B343" s="8">
        <v>6298</v>
      </c>
      <c r="C343" s="9" t="s">
        <v>129</v>
      </c>
      <c r="D343" s="8" t="s">
        <v>29</v>
      </c>
      <c r="E343" s="8" t="str">
        <f>"135.63"</f>
        <v>135.63</v>
      </c>
      <c r="F343" s="8"/>
      <c r="G343" s="3">
        <v>214.8</v>
      </c>
      <c r="H343" s="10" t="s">
        <v>12</v>
      </c>
      <c r="I343" s="8">
        <v>2</v>
      </c>
      <c r="J343" s="10">
        <v>2017</v>
      </c>
      <c r="K343" s="5" t="str">
        <f>"135.63"</f>
        <v>135.63</v>
      </c>
      <c r="L343" s="5"/>
      <c r="M343" s="5"/>
      <c r="N343" s="5"/>
      <c r="O343" s="5"/>
      <c r="P343" s="5"/>
      <c r="Q343" s="5"/>
      <c r="R343" s="5"/>
      <c r="S343" s="5"/>
      <c r="T343" s="5"/>
      <c r="U343" s="5" t="str">
        <f>"186.80"</f>
        <v>186.80</v>
      </c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13.5" customHeight="1">
      <c r="A344" s="8">
        <v>342</v>
      </c>
      <c r="B344" s="8">
        <v>9209</v>
      </c>
      <c r="C344" s="9" t="s">
        <v>1179</v>
      </c>
      <c r="D344" s="8" t="s">
        <v>170</v>
      </c>
      <c r="E344" s="8" t="str">
        <f>"144.37"</f>
        <v>144.37</v>
      </c>
      <c r="F344" s="8"/>
      <c r="G344" s="3">
        <v>215</v>
      </c>
      <c r="H344" s="10" t="s">
        <v>12</v>
      </c>
      <c r="I344" s="8">
        <v>2</v>
      </c>
      <c r="J344" s="10">
        <v>2017</v>
      </c>
      <c r="K344" s="5" t="str">
        <f>"144.37"</f>
        <v>144.37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 t="str">
        <f>"187.00"</f>
        <v>187.00</v>
      </c>
      <c r="Y344" s="5"/>
      <c r="Z344" s="5"/>
      <c r="AA344" s="5"/>
      <c r="AB344" s="5"/>
      <c r="AC344" s="5"/>
      <c r="AD344" s="5"/>
    </row>
    <row r="345" spans="1:30" ht="13.5" customHeight="1">
      <c r="A345" s="8">
        <v>343</v>
      </c>
      <c r="B345" s="8">
        <v>5381</v>
      </c>
      <c r="C345" s="9" t="s">
        <v>581</v>
      </c>
      <c r="D345" s="8" t="s">
        <v>241</v>
      </c>
      <c r="E345" s="8" t="str">
        <f>"233.50"</f>
        <v>233.50</v>
      </c>
      <c r="F345" s="8"/>
      <c r="G345" s="3">
        <v>215.16</v>
      </c>
      <c r="H345" s="10" t="s">
        <v>12</v>
      </c>
      <c r="I345" s="8">
        <v>2</v>
      </c>
      <c r="J345" s="10">
        <v>2017</v>
      </c>
      <c r="K345" s="5" t="str">
        <f>"279.84"</f>
        <v>279.84</v>
      </c>
      <c r="L345" s="5"/>
      <c r="M345" s="5"/>
      <c r="N345" s="5"/>
      <c r="O345" s="5"/>
      <c r="P345" s="5" t="str">
        <f>"187.16"</f>
        <v>187.16</v>
      </c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13.5" customHeight="1">
      <c r="A346" s="8">
        <v>344</v>
      </c>
      <c r="B346" s="8">
        <v>9969</v>
      </c>
      <c r="C346" s="9" t="s">
        <v>404</v>
      </c>
      <c r="D346" s="8" t="s">
        <v>22</v>
      </c>
      <c r="E346" s="8" t="str">
        <f>"190.36"</f>
        <v>190.36</v>
      </c>
      <c r="F346" s="8"/>
      <c r="G346" s="3">
        <v>215.19</v>
      </c>
      <c r="H346" s="10" t="s">
        <v>12</v>
      </c>
      <c r="I346" s="8">
        <v>2</v>
      </c>
      <c r="J346" s="10">
        <v>2017</v>
      </c>
      <c r="K346" s="5" t="str">
        <f>"193.52"</f>
        <v>193.52</v>
      </c>
      <c r="L346" s="5"/>
      <c r="M346" s="5"/>
      <c r="N346" s="5"/>
      <c r="O346" s="5"/>
      <c r="P346" s="5"/>
      <c r="Q346" s="5"/>
      <c r="R346" s="5"/>
      <c r="S346" s="5" t="str">
        <f>"187.19"</f>
        <v>187.19</v>
      </c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3.5" customHeight="1">
      <c r="A347" s="8">
        <v>345</v>
      </c>
      <c r="B347" s="8">
        <v>7357</v>
      </c>
      <c r="C347" s="9" t="s">
        <v>648</v>
      </c>
      <c r="D347" s="8" t="s">
        <v>420</v>
      </c>
      <c r="E347" s="8" t="str">
        <f>"209.55"</f>
        <v>209.55</v>
      </c>
      <c r="F347" s="8"/>
      <c r="G347" s="3">
        <v>215.28</v>
      </c>
      <c r="H347" s="10"/>
      <c r="I347" s="8">
        <v>3</v>
      </c>
      <c r="J347" s="10">
        <v>2017</v>
      </c>
      <c r="K347" s="5" t="str">
        <f>"212.05"</f>
        <v>212.05</v>
      </c>
      <c r="L347" s="5"/>
      <c r="M347" s="5"/>
      <c r="N347" s="5" t="str">
        <f>"223.51"</f>
        <v>223.51</v>
      </c>
      <c r="O347" s="5"/>
      <c r="P347" s="5"/>
      <c r="Q347" s="5"/>
      <c r="R347" s="5"/>
      <c r="S347" s="5" t="str">
        <f>"207.05"</f>
        <v>207.05</v>
      </c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13.5" customHeight="1">
      <c r="A348" s="8">
        <v>346</v>
      </c>
      <c r="B348" s="8">
        <v>6471</v>
      </c>
      <c r="C348" s="9" t="s">
        <v>709</v>
      </c>
      <c r="D348" s="8" t="s">
        <v>117</v>
      </c>
      <c r="E348" s="8" t="str">
        <f>"188.01"</f>
        <v>188.01</v>
      </c>
      <c r="F348" s="8"/>
      <c r="G348" s="3">
        <v>216.01</v>
      </c>
      <c r="H348" s="10" t="s">
        <v>18</v>
      </c>
      <c r="I348" s="8">
        <v>1</v>
      </c>
      <c r="J348" s="10">
        <v>2017</v>
      </c>
      <c r="K348" s="5" t="str">
        <f>"188.01"</f>
        <v>188.01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13.5" customHeight="1">
      <c r="A349" s="8">
        <v>347</v>
      </c>
      <c r="B349" s="8">
        <v>2247</v>
      </c>
      <c r="C349" s="9" t="s">
        <v>228</v>
      </c>
      <c r="D349" s="8" t="s">
        <v>16</v>
      </c>
      <c r="E349" s="8" t="str">
        <f>"125.39"</f>
        <v>125.39</v>
      </c>
      <c r="F349" s="8"/>
      <c r="G349" s="3">
        <v>216.15</v>
      </c>
      <c r="H349" s="10"/>
      <c r="I349" s="8">
        <v>3</v>
      </c>
      <c r="J349" s="10">
        <v>2017</v>
      </c>
      <c r="K349" s="5" t="str">
        <f>"141.09"</f>
        <v>141.09</v>
      </c>
      <c r="L349" s="5"/>
      <c r="M349" s="5" t="str">
        <f>"322.61"</f>
        <v>322.61</v>
      </c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 t="str">
        <f>"109.69"</f>
        <v>109.69</v>
      </c>
    </row>
    <row r="350" spans="1:30" ht="13.5" customHeight="1">
      <c r="A350" s="8">
        <v>348</v>
      </c>
      <c r="B350" s="8">
        <v>5386</v>
      </c>
      <c r="C350" s="9" t="s">
        <v>512</v>
      </c>
      <c r="D350" s="8" t="s">
        <v>195</v>
      </c>
      <c r="E350" s="8" t="str">
        <f>"188.18"</f>
        <v>188.18</v>
      </c>
      <c r="F350" s="8"/>
      <c r="G350" s="3">
        <v>216.18</v>
      </c>
      <c r="H350" s="10" t="s">
        <v>18</v>
      </c>
      <c r="I350" s="8">
        <v>1</v>
      </c>
      <c r="J350" s="10">
        <v>2017</v>
      </c>
      <c r="K350" s="5" t="str">
        <f>"188.18"</f>
        <v>188.18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13.5" customHeight="1">
      <c r="A351" s="8">
        <v>349</v>
      </c>
      <c r="B351" s="8">
        <v>6350</v>
      </c>
      <c r="C351" s="9" t="s">
        <v>663</v>
      </c>
      <c r="D351" s="8" t="s">
        <v>664</v>
      </c>
      <c r="E351" s="8" t="str">
        <f>"188.34"</f>
        <v>188.34</v>
      </c>
      <c r="F351" s="8"/>
      <c r="G351" s="3">
        <v>216.34</v>
      </c>
      <c r="H351" s="10" t="s">
        <v>18</v>
      </c>
      <c r="I351" s="8">
        <v>1</v>
      </c>
      <c r="J351" s="10">
        <v>2017</v>
      </c>
      <c r="K351" s="5" t="str">
        <f>"188.34"</f>
        <v>188.34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13.5" customHeight="1">
      <c r="A352" s="8">
        <v>350</v>
      </c>
      <c r="B352" s="8">
        <v>5108</v>
      </c>
      <c r="C352" s="9" t="s">
        <v>1170</v>
      </c>
      <c r="D352" s="8" t="s">
        <v>17</v>
      </c>
      <c r="E352" s="8" t="str">
        <f>"188.37"</f>
        <v>188.37</v>
      </c>
      <c r="F352" s="8"/>
      <c r="G352" s="3">
        <v>216.37</v>
      </c>
      <c r="H352" s="10" t="s">
        <v>18</v>
      </c>
      <c r="I352" s="8">
        <v>1</v>
      </c>
      <c r="J352" s="10">
        <v>2017</v>
      </c>
      <c r="K352" s="5" t="str">
        <f>"188.37"</f>
        <v>188.37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13.5" customHeight="1">
      <c r="A353" s="8">
        <v>351</v>
      </c>
      <c r="B353" s="8">
        <v>5493</v>
      </c>
      <c r="C353" s="9" t="s">
        <v>305</v>
      </c>
      <c r="D353" s="8" t="s">
        <v>291</v>
      </c>
      <c r="E353" s="8" t="str">
        <f>"155.10"</f>
        <v>155.10</v>
      </c>
      <c r="F353" s="8"/>
      <c r="G353" s="3">
        <v>216.49</v>
      </c>
      <c r="H353" s="10"/>
      <c r="I353" s="8">
        <v>3</v>
      </c>
      <c r="J353" s="10">
        <v>2017</v>
      </c>
      <c r="K353" s="5" t="str">
        <f>"155.10"</f>
        <v>155.10</v>
      </c>
      <c r="L353" s="5"/>
      <c r="M353" s="5"/>
      <c r="N353" s="5"/>
      <c r="O353" s="5"/>
      <c r="P353" s="5"/>
      <c r="Q353" s="5"/>
      <c r="R353" s="5"/>
      <c r="S353" s="5" t="str">
        <f>"190.32"</f>
        <v>190.32</v>
      </c>
      <c r="T353" s="5"/>
      <c r="U353" s="5"/>
      <c r="V353" s="5"/>
      <c r="W353" s="5"/>
      <c r="X353" s="5" t="str">
        <f>"254.99"</f>
        <v>254.99</v>
      </c>
      <c r="Y353" s="5"/>
      <c r="Z353" s="5"/>
      <c r="AA353" s="5" t="str">
        <f>"242.66"</f>
        <v>242.66</v>
      </c>
      <c r="AB353" s="5"/>
      <c r="AC353" s="5"/>
      <c r="AD353" s="5"/>
    </row>
    <row r="354" spans="1:30" ht="13.5" customHeight="1">
      <c r="A354" s="8">
        <v>352</v>
      </c>
      <c r="B354" s="8">
        <v>1616</v>
      </c>
      <c r="C354" s="9" t="s">
        <v>414</v>
      </c>
      <c r="D354" s="8" t="s">
        <v>67</v>
      </c>
      <c r="E354" s="8" t="str">
        <f>"121.39"</f>
        <v>121.39</v>
      </c>
      <c r="F354" s="8"/>
      <c r="G354" s="3">
        <v>216.72</v>
      </c>
      <c r="H354" s="10" t="s">
        <v>12</v>
      </c>
      <c r="I354" s="8">
        <v>2</v>
      </c>
      <c r="J354" s="10">
        <v>2017</v>
      </c>
      <c r="K354" s="5" t="str">
        <f>"121.39"</f>
        <v>121.39</v>
      </c>
      <c r="L354" s="5"/>
      <c r="M354" s="5"/>
      <c r="N354" s="5"/>
      <c r="O354" s="5" t="str">
        <f>"188.72"</f>
        <v>188.72</v>
      </c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13.5" customHeight="1">
      <c r="A355" s="8">
        <v>353</v>
      </c>
      <c r="B355" s="8">
        <v>4189</v>
      </c>
      <c r="C355" s="9" t="s">
        <v>1195</v>
      </c>
      <c r="D355" s="8" t="s">
        <v>282</v>
      </c>
      <c r="E355" s="8" t="str">
        <f>"189.67"</f>
        <v>189.67</v>
      </c>
      <c r="F355" s="8"/>
      <c r="G355" s="3">
        <v>217.67</v>
      </c>
      <c r="H355" s="10" t="s">
        <v>18</v>
      </c>
      <c r="I355" s="8">
        <v>1</v>
      </c>
      <c r="J355" s="10">
        <v>2017</v>
      </c>
      <c r="K355" s="5" t="str">
        <f>"189.67"</f>
        <v>189.67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13.5" customHeight="1">
      <c r="A356" s="8">
        <v>354</v>
      </c>
      <c r="B356" s="8">
        <v>11423</v>
      </c>
      <c r="C356" s="9" t="s">
        <v>317</v>
      </c>
      <c r="D356" s="8" t="s">
        <v>318</v>
      </c>
      <c r="E356" s="8" t="str">
        <f>"217.91"</f>
        <v>217.91</v>
      </c>
      <c r="F356" s="8"/>
      <c r="G356" s="3">
        <v>217.91</v>
      </c>
      <c r="H356" s="10" t="s">
        <v>12</v>
      </c>
      <c r="I356" s="8">
        <v>4</v>
      </c>
      <c r="J356" s="10">
        <v>2017</v>
      </c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 t="str">
        <f>"189.91"</f>
        <v>189.91</v>
      </c>
      <c r="AB356" s="5"/>
      <c r="AC356" s="5"/>
      <c r="AD356" s="5"/>
    </row>
    <row r="357" spans="1:30" ht="13.5" customHeight="1">
      <c r="A357" s="8">
        <v>355</v>
      </c>
      <c r="B357" s="8">
        <v>3039</v>
      </c>
      <c r="C357" s="9" t="s">
        <v>542</v>
      </c>
      <c r="D357" s="8" t="s">
        <v>213</v>
      </c>
      <c r="E357" s="8" t="str">
        <f>"154.09"</f>
        <v>154.09</v>
      </c>
      <c r="F357" s="8"/>
      <c r="G357" s="3">
        <v>218.24</v>
      </c>
      <c r="H357" s="10"/>
      <c r="I357" s="8">
        <v>3</v>
      </c>
      <c r="J357" s="10">
        <v>2018</v>
      </c>
      <c r="K357" s="5" t="str">
        <f>"154.09"</f>
        <v>154.09</v>
      </c>
      <c r="L357" s="5"/>
      <c r="M357" s="5"/>
      <c r="N357" s="5"/>
      <c r="O357" s="5" t="str">
        <f>"179.83"</f>
        <v>179.83</v>
      </c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 t="str">
        <f>"256.64"</f>
        <v>256.64</v>
      </c>
      <c r="AA357" s="5"/>
      <c r="AB357" s="5"/>
      <c r="AC357" s="5"/>
      <c r="AD357" s="5"/>
    </row>
    <row r="358" spans="1:30" ht="13.5" customHeight="1">
      <c r="A358" s="8">
        <v>356</v>
      </c>
      <c r="B358" s="8">
        <v>6859</v>
      </c>
      <c r="C358" s="9" t="s">
        <v>286</v>
      </c>
      <c r="D358" s="8" t="s">
        <v>287</v>
      </c>
      <c r="E358" s="8" t="str">
        <f>"218.29"</f>
        <v>218.29</v>
      </c>
      <c r="F358" s="8"/>
      <c r="G358" s="3">
        <v>218.29</v>
      </c>
      <c r="H358" s="10"/>
      <c r="I358" s="8">
        <v>3</v>
      </c>
      <c r="J358" s="10">
        <v>2017</v>
      </c>
      <c r="K358" s="5" t="str">
        <f>"246.06"</f>
        <v>246.06</v>
      </c>
      <c r="L358" s="5"/>
      <c r="M358" s="5"/>
      <c r="N358" s="5" t="str">
        <f>"222.73"</f>
        <v>222.73</v>
      </c>
      <c r="O358" s="5"/>
      <c r="P358" s="5"/>
      <c r="Q358" s="5"/>
      <c r="R358" s="5"/>
      <c r="S358" s="5"/>
      <c r="T358" s="5"/>
      <c r="U358" s="5"/>
      <c r="V358" s="5"/>
      <c r="W358" s="5"/>
      <c r="X358" s="5" t="str">
        <f>"213.85"</f>
        <v>213.85</v>
      </c>
      <c r="Y358" s="5"/>
      <c r="Z358" s="5"/>
      <c r="AA358" s="5"/>
      <c r="AB358" s="5"/>
      <c r="AC358" s="5"/>
      <c r="AD358" s="5"/>
    </row>
    <row r="359" spans="1:30" ht="13.5" customHeight="1">
      <c r="A359" s="8">
        <v>357</v>
      </c>
      <c r="B359" s="8">
        <v>10444</v>
      </c>
      <c r="C359" s="9" t="s">
        <v>271</v>
      </c>
      <c r="D359" s="8" t="s">
        <v>16</v>
      </c>
      <c r="E359" s="8" t="str">
        <f>"218.40"</f>
        <v>218.40</v>
      </c>
      <c r="F359" s="8"/>
      <c r="G359" s="3">
        <v>218.4</v>
      </c>
      <c r="H359" s="10"/>
      <c r="I359" s="8">
        <v>3</v>
      </c>
      <c r="J359" s="10">
        <v>2017</v>
      </c>
      <c r="K359" s="5" t="str">
        <f>"303.14"</f>
        <v>303.14</v>
      </c>
      <c r="L359" s="5"/>
      <c r="M359" s="5"/>
      <c r="N359" s="5"/>
      <c r="O359" s="5"/>
      <c r="P359" s="5"/>
      <c r="Q359" s="5"/>
      <c r="R359" s="5" t="str">
        <f>"359.36"</f>
        <v>359.36</v>
      </c>
      <c r="S359" s="5"/>
      <c r="T359" s="5"/>
      <c r="U359" s="5" t="str">
        <f>"356.76"</f>
        <v>356.76</v>
      </c>
      <c r="V359" s="5"/>
      <c r="W359" s="5"/>
      <c r="X359" s="5"/>
      <c r="Y359" s="5"/>
      <c r="Z359" s="5"/>
      <c r="AA359" s="5"/>
      <c r="AB359" s="5"/>
      <c r="AC359" s="5" t="str">
        <f>"208.37"</f>
        <v>208.37</v>
      </c>
      <c r="AD359" s="5" t="str">
        <f>"228.42"</f>
        <v>228.42</v>
      </c>
    </row>
    <row r="360" spans="1:30" ht="13.5" customHeight="1">
      <c r="A360" s="8">
        <v>358</v>
      </c>
      <c r="B360" s="8">
        <v>2037</v>
      </c>
      <c r="C360" s="9" t="s">
        <v>433</v>
      </c>
      <c r="D360" s="8" t="s">
        <v>378</v>
      </c>
      <c r="E360" s="8" t="str">
        <f>"221.57"</f>
        <v>221.57</v>
      </c>
      <c r="F360" s="8"/>
      <c r="G360" s="3">
        <v>218.47</v>
      </c>
      <c r="H360" s="10" t="s">
        <v>12</v>
      </c>
      <c r="I360" s="8">
        <v>2</v>
      </c>
      <c r="J360" s="10">
        <v>2017</v>
      </c>
      <c r="K360" s="5" t="str">
        <f>"252.66"</f>
        <v>252.66</v>
      </c>
      <c r="L360" s="5"/>
      <c r="M360" s="5"/>
      <c r="N360" s="5"/>
      <c r="O360" s="5"/>
      <c r="P360" s="5"/>
      <c r="Q360" s="5"/>
      <c r="R360" s="5"/>
      <c r="S360" s="5" t="str">
        <f>"190.47"</f>
        <v>190.47</v>
      </c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ht="13.5" customHeight="1">
      <c r="A361" s="8">
        <v>359</v>
      </c>
      <c r="B361" s="8">
        <v>10435</v>
      </c>
      <c r="C361" s="9" t="s">
        <v>329</v>
      </c>
      <c r="D361" s="8" t="s">
        <v>29</v>
      </c>
      <c r="E361" s="8" t="str">
        <f>"218.59"</f>
        <v>218.59</v>
      </c>
      <c r="F361" s="8"/>
      <c r="G361" s="3">
        <v>218.59</v>
      </c>
      <c r="H361" s="10"/>
      <c r="I361" s="8">
        <v>3</v>
      </c>
      <c r="J361" s="10">
        <v>2017</v>
      </c>
      <c r="K361" s="5" t="str">
        <f>"532.15"</f>
        <v>532.15</v>
      </c>
      <c r="L361" s="5"/>
      <c r="M361" s="5"/>
      <c r="N361" s="5"/>
      <c r="O361" s="5"/>
      <c r="P361" s="5"/>
      <c r="Q361" s="5"/>
      <c r="R361" s="5"/>
      <c r="S361" s="5"/>
      <c r="T361" s="5"/>
      <c r="U361" s="5" t="str">
        <f>"966.42"</f>
        <v>966.42</v>
      </c>
      <c r="V361" s="5"/>
      <c r="W361" s="5"/>
      <c r="X361" s="5"/>
      <c r="Y361" s="5"/>
      <c r="Z361" s="5"/>
      <c r="AA361" s="5"/>
      <c r="AB361" s="5"/>
      <c r="AC361" s="5" t="str">
        <f>"246.98"</f>
        <v>246.98</v>
      </c>
      <c r="AD361" s="5" t="str">
        <f>"190.19"</f>
        <v>190.19</v>
      </c>
    </row>
    <row r="362" spans="1:30" ht="13.5" customHeight="1">
      <c r="A362" s="8">
        <v>360</v>
      </c>
      <c r="B362" s="8">
        <v>2192</v>
      </c>
      <c r="C362" s="9" t="s">
        <v>491</v>
      </c>
      <c r="D362" s="8" t="s">
        <v>16</v>
      </c>
      <c r="E362" s="8" t="str">
        <f>"219.20"</f>
        <v>219.20</v>
      </c>
      <c r="F362" s="8"/>
      <c r="G362" s="3">
        <v>219.2</v>
      </c>
      <c r="H362" s="10"/>
      <c r="I362" s="8">
        <v>3</v>
      </c>
      <c r="J362" s="10">
        <v>2017</v>
      </c>
      <c r="K362" s="5" t="str">
        <f>"227.95"</f>
        <v>227.95</v>
      </c>
      <c r="L362" s="5" t="str">
        <f>"215.55"</f>
        <v>215.55</v>
      </c>
      <c r="M362" s="5" t="str">
        <f>"248.22"</f>
        <v>248.22</v>
      </c>
      <c r="N362" s="5"/>
      <c r="O362" s="5"/>
      <c r="P362" s="5"/>
      <c r="Q362" s="5"/>
      <c r="R362" s="5"/>
      <c r="S362" s="5"/>
      <c r="T362" s="5"/>
      <c r="U362" s="5"/>
      <c r="V362" s="5" t="str">
        <f>"222.85"</f>
        <v>222.85</v>
      </c>
      <c r="W362" s="5"/>
      <c r="X362" s="5"/>
      <c r="Y362" s="5"/>
      <c r="Z362" s="5"/>
      <c r="AA362" s="5"/>
      <c r="AB362" s="5"/>
      <c r="AC362" s="5"/>
      <c r="AD362" s="5"/>
    </row>
    <row r="363" spans="1:30" ht="13.5" customHeight="1">
      <c r="A363" s="8">
        <v>361</v>
      </c>
      <c r="B363" s="8">
        <v>2221</v>
      </c>
      <c r="C363" s="9" t="s">
        <v>776</v>
      </c>
      <c r="D363" s="8" t="s">
        <v>16</v>
      </c>
      <c r="E363" s="8" t="str">
        <f>"218.03"</f>
        <v>218.03</v>
      </c>
      <c r="F363" s="8"/>
      <c r="G363" s="3">
        <v>219.25</v>
      </c>
      <c r="H363" s="10"/>
      <c r="I363" s="8">
        <v>3</v>
      </c>
      <c r="J363" s="10">
        <v>2017</v>
      </c>
      <c r="K363" s="5" t="str">
        <f>"245.06"</f>
        <v>245.06</v>
      </c>
      <c r="L363" s="5" t="str">
        <f>"247.49"</f>
        <v>247.49</v>
      </c>
      <c r="M363" s="5" t="str">
        <f>"274.33"</f>
        <v>274.33</v>
      </c>
      <c r="N363" s="5"/>
      <c r="O363" s="5"/>
      <c r="P363" s="5"/>
      <c r="Q363" s="5"/>
      <c r="R363" s="5"/>
      <c r="S363" s="5"/>
      <c r="T363" s="5"/>
      <c r="U363" s="5"/>
      <c r="V363" s="5" t="str">
        <f>"191.00"</f>
        <v>191.00</v>
      </c>
      <c r="W363" s="5" t="str">
        <f>"325.58"</f>
        <v>325.58</v>
      </c>
      <c r="X363" s="5"/>
      <c r="Y363" s="5"/>
      <c r="Z363" s="5"/>
      <c r="AA363" s="5"/>
      <c r="AB363" s="5"/>
      <c r="AC363" s="5"/>
      <c r="AD363" s="5"/>
    </row>
    <row r="364" spans="1:30" ht="13.5" customHeight="1">
      <c r="A364" s="8">
        <v>361</v>
      </c>
      <c r="B364" s="8">
        <v>11008</v>
      </c>
      <c r="C364" s="9" t="s">
        <v>387</v>
      </c>
      <c r="D364" s="8" t="s">
        <v>42</v>
      </c>
      <c r="E364" s="8" t="str">
        <f>"219.25"</f>
        <v>219.25</v>
      </c>
      <c r="F364" s="8"/>
      <c r="G364" s="3">
        <v>219.25</v>
      </c>
      <c r="H364" s="10"/>
      <c r="I364" s="8">
        <v>3</v>
      </c>
      <c r="J364" s="10">
        <v>2017</v>
      </c>
      <c r="K364" s="5" t="str">
        <f>"242.82"</f>
        <v>242.82</v>
      </c>
      <c r="L364" s="5"/>
      <c r="M364" s="5"/>
      <c r="N364" s="5"/>
      <c r="O364" s="5"/>
      <c r="P364" s="5" t="str">
        <f>"239.96"</f>
        <v>239.96</v>
      </c>
      <c r="Q364" s="5"/>
      <c r="R364" s="5"/>
      <c r="S364" s="5"/>
      <c r="T364" s="5"/>
      <c r="U364" s="5"/>
      <c r="V364" s="5"/>
      <c r="W364" s="5"/>
      <c r="X364" s="5"/>
      <c r="Y364" s="5" t="str">
        <f>"198.53"</f>
        <v>198.53</v>
      </c>
      <c r="Z364" s="5"/>
      <c r="AA364" s="5"/>
      <c r="AB364" s="5"/>
      <c r="AC364" s="5"/>
      <c r="AD364" s="5"/>
    </row>
    <row r="365" spans="1:30" ht="13.5" customHeight="1">
      <c r="A365" s="8">
        <v>363</v>
      </c>
      <c r="B365" s="8">
        <v>2264</v>
      </c>
      <c r="C365" s="9" t="s">
        <v>599</v>
      </c>
      <c r="D365" s="8" t="s">
        <v>16</v>
      </c>
      <c r="E365" s="8" t="str">
        <f>"219.66"</f>
        <v>219.66</v>
      </c>
      <c r="F365" s="8"/>
      <c r="G365" s="3">
        <v>219.66</v>
      </c>
      <c r="H365" s="10"/>
      <c r="I365" s="8">
        <v>3</v>
      </c>
      <c r="J365" s="10">
        <v>2017</v>
      </c>
      <c r="K365" s="5" t="str">
        <f>"251.53"</f>
        <v>251.53</v>
      </c>
      <c r="L365" s="5" t="str">
        <f>"264.77"</f>
        <v>264.77</v>
      </c>
      <c r="M365" s="5" t="str">
        <f>"241.62"</f>
        <v>241.62</v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 t="str">
        <f>"350.37"</f>
        <v>350.37</v>
      </c>
      <c r="AB365" s="5"/>
      <c r="AC365" s="5" t="str">
        <f>"200.41"</f>
        <v>200.41</v>
      </c>
      <c r="AD365" s="5" t="str">
        <f>"238.90"</f>
        <v>238.90</v>
      </c>
    </row>
    <row r="366" spans="1:30" ht="13.5" customHeight="1">
      <c r="A366" s="8">
        <v>364</v>
      </c>
      <c r="B366" s="8">
        <v>7566</v>
      </c>
      <c r="C366" s="9" t="s">
        <v>369</v>
      </c>
      <c r="D366" s="8" t="s">
        <v>169</v>
      </c>
      <c r="E366" s="8" t="str">
        <f>"219.90"</f>
        <v>219.90</v>
      </c>
      <c r="F366" s="8"/>
      <c r="G366" s="3">
        <v>219.9</v>
      </c>
      <c r="H366" s="10"/>
      <c r="I366" s="8">
        <v>3</v>
      </c>
      <c r="J366" s="10">
        <v>2017</v>
      </c>
      <c r="K366" s="5" t="str">
        <f>"238.37"</f>
        <v>238.37</v>
      </c>
      <c r="L366" s="5"/>
      <c r="M366" s="5"/>
      <c r="N366" s="5" t="str">
        <f>"215.33"</f>
        <v>215.33</v>
      </c>
      <c r="O366" s="5"/>
      <c r="P366" s="5"/>
      <c r="Q366" s="5"/>
      <c r="R366" s="5"/>
      <c r="S366" s="5"/>
      <c r="T366" s="5"/>
      <c r="U366" s="5"/>
      <c r="V366" s="5"/>
      <c r="W366" s="5"/>
      <c r="X366" s="5" t="str">
        <f>"224.46"</f>
        <v>224.46</v>
      </c>
      <c r="Y366" s="5"/>
      <c r="Z366" s="5"/>
      <c r="AA366" s="5"/>
      <c r="AB366" s="5"/>
      <c r="AC366" s="5"/>
      <c r="AD366" s="5"/>
    </row>
    <row r="367" spans="1:30" ht="13.5" customHeight="1">
      <c r="A367" s="8">
        <v>365</v>
      </c>
      <c r="B367" s="8">
        <v>5122</v>
      </c>
      <c r="C367" s="9" t="s">
        <v>360</v>
      </c>
      <c r="D367" s="8" t="s">
        <v>270</v>
      </c>
      <c r="E367" s="8" t="str">
        <f>"204.20"</f>
        <v>204.20</v>
      </c>
      <c r="F367" s="8"/>
      <c r="G367" s="3">
        <v>220.14</v>
      </c>
      <c r="H367" s="10"/>
      <c r="I367" s="8">
        <v>3</v>
      </c>
      <c r="J367" s="10">
        <v>2017</v>
      </c>
      <c r="K367" s="5" t="str">
        <f>"215.81"</f>
        <v>215.81</v>
      </c>
      <c r="L367" s="5"/>
      <c r="M367" s="5"/>
      <c r="N367" s="5"/>
      <c r="O367" s="5"/>
      <c r="P367" s="5"/>
      <c r="Q367" s="5"/>
      <c r="R367" s="5"/>
      <c r="S367" s="5" t="str">
        <f>"192.58"</f>
        <v>192.58</v>
      </c>
      <c r="T367" s="5"/>
      <c r="U367" s="5"/>
      <c r="V367" s="5"/>
      <c r="W367" s="5"/>
      <c r="X367" s="5" t="str">
        <f>"247.69"</f>
        <v>247.69</v>
      </c>
      <c r="Y367" s="5" t="str">
        <f>"249.42"</f>
        <v>249.42</v>
      </c>
      <c r="Z367" s="5"/>
      <c r="AA367" s="5"/>
      <c r="AB367" s="5"/>
      <c r="AC367" s="5"/>
      <c r="AD367" s="5"/>
    </row>
    <row r="368" spans="1:30" ht="13.5" customHeight="1">
      <c r="A368" s="8">
        <v>366</v>
      </c>
      <c r="B368" s="8">
        <v>4951</v>
      </c>
      <c r="C368" s="9" t="s">
        <v>222</v>
      </c>
      <c r="D368" s="8" t="s">
        <v>223</v>
      </c>
      <c r="E368" s="8" t="str">
        <f>"192.16"</f>
        <v>192.16</v>
      </c>
      <c r="F368" s="8"/>
      <c r="G368" s="3">
        <v>220.16</v>
      </c>
      <c r="H368" s="10" t="s">
        <v>18</v>
      </c>
      <c r="I368" s="8">
        <v>1</v>
      </c>
      <c r="J368" s="10">
        <v>2017</v>
      </c>
      <c r="K368" s="5" t="str">
        <f>"192.16"</f>
        <v>192.16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13.5" customHeight="1">
      <c r="A369" s="8">
        <v>367</v>
      </c>
      <c r="B369" s="8">
        <v>5503</v>
      </c>
      <c r="C369" s="9" t="s">
        <v>568</v>
      </c>
      <c r="D369" s="8" t="s">
        <v>247</v>
      </c>
      <c r="E369" s="8" t="str">
        <f>"192.83"</f>
        <v>192.83</v>
      </c>
      <c r="F369" s="8"/>
      <c r="G369" s="3">
        <v>220.83</v>
      </c>
      <c r="H369" s="10" t="s">
        <v>18</v>
      </c>
      <c r="I369" s="8">
        <v>1</v>
      </c>
      <c r="J369" s="10">
        <v>2017</v>
      </c>
      <c r="K369" s="5" t="str">
        <f>"192.83"</f>
        <v>192.83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13.5" customHeight="1">
      <c r="A370" s="8">
        <v>368</v>
      </c>
      <c r="B370" s="8">
        <v>3007</v>
      </c>
      <c r="C370" s="9" t="s">
        <v>233</v>
      </c>
      <c r="D370" s="8" t="s">
        <v>121</v>
      </c>
      <c r="E370" s="8" t="str">
        <f>"193.27"</f>
        <v>193.27</v>
      </c>
      <c r="F370" s="8"/>
      <c r="G370" s="3">
        <v>221.27</v>
      </c>
      <c r="H370" s="10" t="s">
        <v>18</v>
      </c>
      <c r="I370" s="8">
        <v>1</v>
      </c>
      <c r="J370" s="10">
        <v>2017</v>
      </c>
      <c r="K370" s="5" t="str">
        <f>"193.27"</f>
        <v>193.27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13.5" customHeight="1">
      <c r="A371" s="8">
        <v>369</v>
      </c>
      <c r="B371" s="8">
        <v>5234</v>
      </c>
      <c r="C371" s="9" t="s">
        <v>120</v>
      </c>
      <c r="D371" s="8" t="s">
        <v>121</v>
      </c>
      <c r="E371" s="8" t="str">
        <f>"163.39"</f>
        <v>163.39</v>
      </c>
      <c r="F371" s="8"/>
      <c r="G371" s="3">
        <v>221.61</v>
      </c>
      <c r="H371" s="10"/>
      <c r="I371" s="8">
        <v>3</v>
      </c>
      <c r="J371" s="10">
        <v>2017</v>
      </c>
      <c r="K371" s="5" t="str">
        <f>"163.39"</f>
        <v>163.39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 t="str">
        <f>"204.78"</f>
        <v>204.78</v>
      </c>
      <c r="Y371" s="5" t="str">
        <f>"238.44"</f>
        <v>238.44</v>
      </c>
      <c r="Z371" s="5"/>
      <c r="AA371" s="5"/>
      <c r="AB371" s="5"/>
      <c r="AC371" s="5"/>
      <c r="AD371" s="5"/>
    </row>
    <row r="372" spans="1:30" ht="13.5" customHeight="1">
      <c r="A372" s="8">
        <v>370</v>
      </c>
      <c r="B372" s="8">
        <v>10436</v>
      </c>
      <c r="C372" s="9" t="s">
        <v>252</v>
      </c>
      <c r="D372" s="8" t="s">
        <v>29</v>
      </c>
      <c r="E372" s="8" t="str">
        <f>"222.21"</f>
        <v>222.21</v>
      </c>
      <c r="F372" s="8"/>
      <c r="G372" s="3">
        <v>222.21</v>
      </c>
      <c r="H372" s="10"/>
      <c r="I372" s="8">
        <v>3</v>
      </c>
      <c r="J372" s="10">
        <v>2017</v>
      </c>
      <c r="K372" s="5" t="str">
        <f>"341.54"</f>
        <v>341.54</v>
      </c>
      <c r="L372" s="5"/>
      <c r="M372" s="5"/>
      <c r="N372" s="5"/>
      <c r="O372" s="5"/>
      <c r="P372" s="5"/>
      <c r="Q372" s="5"/>
      <c r="R372" s="5"/>
      <c r="S372" s="5"/>
      <c r="T372" s="5"/>
      <c r="U372" s="5" t="str">
        <f>"557.32"</f>
        <v>557.32</v>
      </c>
      <c r="V372" s="5"/>
      <c r="W372" s="5"/>
      <c r="X372" s="5"/>
      <c r="Y372" s="5"/>
      <c r="Z372" s="5"/>
      <c r="AA372" s="5"/>
      <c r="AB372" s="5" t="str">
        <f>"213.72"</f>
        <v>213.72</v>
      </c>
      <c r="AC372" s="5" t="str">
        <f>"247.90"</f>
        <v>247.90</v>
      </c>
      <c r="AD372" s="5" t="str">
        <f>"230.70"</f>
        <v>230.70</v>
      </c>
    </row>
    <row r="373" spans="1:30" ht="13.5" customHeight="1">
      <c r="A373" s="8">
        <v>371</v>
      </c>
      <c r="B373" s="8">
        <v>10282</v>
      </c>
      <c r="C373" s="9" t="s">
        <v>669</v>
      </c>
      <c r="D373" s="8" t="s">
        <v>22</v>
      </c>
      <c r="E373" s="8" t="str">
        <f>"210.03"</f>
        <v>210.03</v>
      </c>
      <c r="F373" s="8"/>
      <c r="G373" s="3">
        <v>222.68</v>
      </c>
      <c r="H373" s="10" t="s">
        <v>12</v>
      </c>
      <c r="I373" s="8">
        <v>2</v>
      </c>
      <c r="J373" s="10">
        <v>2017</v>
      </c>
      <c r="K373" s="5" t="str">
        <f>"225.38"</f>
        <v>225.38</v>
      </c>
      <c r="L373" s="5"/>
      <c r="M373" s="5"/>
      <c r="N373" s="5"/>
      <c r="O373" s="5"/>
      <c r="P373" s="5" t="str">
        <f>"194.68"</f>
        <v>194.68</v>
      </c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13.5" customHeight="1">
      <c r="A374" s="8">
        <v>372</v>
      </c>
      <c r="B374" s="8">
        <v>1781</v>
      </c>
      <c r="C374" s="9" t="s">
        <v>672</v>
      </c>
      <c r="D374" s="8" t="s">
        <v>673</v>
      </c>
      <c r="E374" s="8" t="str">
        <f>"194.87"</f>
        <v>194.87</v>
      </c>
      <c r="F374" s="8"/>
      <c r="G374" s="3">
        <v>222.87</v>
      </c>
      <c r="H374" s="10" t="s">
        <v>18</v>
      </c>
      <c r="I374" s="8">
        <v>1</v>
      </c>
      <c r="J374" s="10">
        <v>2017</v>
      </c>
      <c r="K374" s="5" t="str">
        <f>"194.87"</f>
        <v>194.87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13.5" customHeight="1">
      <c r="A375" s="8">
        <v>373</v>
      </c>
      <c r="B375" s="8">
        <v>2491</v>
      </c>
      <c r="C375" s="9" t="s">
        <v>135</v>
      </c>
      <c r="D375" s="8" t="s">
        <v>119</v>
      </c>
      <c r="E375" s="8" t="str">
        <f>"195.13"</f>
        <v>195.13</v>
      </c>
      <c r="F375" s="8"/>
      <c r="G375" s="3">
        <v>223.13</v>
      </c>
      <c r="H375" s="10" t="s">
        <v>18</v>
      </c>
      <c r="I375" s="8">
        <v>1</v>
      </c>
      <c r="J375" s="10">
        <v>2017</v>
      </c>
      <c r="K375" s="5" t="str">
        <f>"195.13"</f>
        <v>195.13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13.5" customHeight="1">
      <c r="A376" s="8">
        <v>374</v>
      </c>
      <c r="B376" s="8">
        <v>5368</v>
      </c>
      <c r="C376" s="9" t="s">
        <v>521</v>
      </c>
      <c r="D376" s="8" t="s">
        <v>394</v>
      </c>
      <c r="E376" s="8" t="str">
        <f>"195.68"</f>
        <v>195.68</v>
      </c>
      <c r="F376" s="8"/>
      <c r="G376" s="3">
        <v>223.68</v>
      </c>
      <c r="H376" s="10" t="s">
        <v>18</v>
      </c>
      <c r="I376" s="8">
        <v>1</v>
      </c>
      <c r="J376" s="10">
        <v>2017</v>
      </c>
      <c r="K376" s="5" t="str">
        <f>"195.68"</f>
        <v>195.68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13.5" customHeight="1">
      <c r="A377" s="8">
        <v>375</v>
      </c>
      <c r="B377" s="8">
        <v>6556</v>
      </c>
      <c r="C377" s="9" t="s">
        <v>719</v>
      </c>
      <c r="D377" s="8" t="s">
        <v>58</v>
      </c>
      <c r="E377" s="8" t="str">
        <f>"136.74"</f>
        <v>136.74</v>
      </c>
      <c r="F377" s="8"/>
      <c r="G377" s="3">
        <v>224.09</v>
      </c>
      <c r="H377" s="10" t="s">
        <v>12</v>
      </c>
      <c r="I377" s="8">
        <v>2</v>
      </c>
      <c r="J377" s="10">
        <v>2017</v>
      </c>
      <c r="K377" s="5" t="str">
        <f>"136.74"</f>
        <v>136.74</v>
      </c>
      <c r="L377" s="5"/>
      <c r="M377" s="5"/>
      <c r="N377" s="5"/>
      <c r="O377" s="5" t="str">
        <f>"196.09"</f>
        <v>196.09</v>
      </c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13.5" customHeight="1">
      <c r="A378" s="8">
        <v>376</v>
      </c>
      <c r="B378" s="8">
        <v>538</v>
      </c>
      <c r="C378" s="9" t="s">
        <v>1141</v>
      </c>
      <c r="D378" s="8" t="s">
        <v>213</v>
      </c>
      <c r="E378" s="8" t="str">
        <f>"196.48"</f>
        <v>196.48</v>
      </c>
      <c r="F378" s="8"/>
      <c r="G378" s="3">
        <v>224.48</v>
      </c>
      <c r="H378" s="10" t="s">
        <v>18</v>
      </c>
      <c r="I378" s="8">
        <v>1</v>
      </c>
      <c r="J378" s="10">
        <v>2018</v>
      </c>
      <c r="K378" s="5" t="str">
        <f>"196.48"</f>
        <v>196.48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13.5" customHeight="1">
      <c r="A379" s="8">
        <v>377</v>
      </c>
      <c r="B379" s="8">
        <v>11344</v>
      </c>
      <c r="C379" s="9" t="s">
        <v>601</v>
      </c>
      <c r="D379" s="8" t="s">
        <v>24</v>
      </c>
      <c r="E379" s="8" t="str">
        <f>"224.64"</f>
        <v>224.64</v>
      </c>
      <c r="F379" s="8"/>
      <c r="G379" s="3">
        <v>224.64</v>
      </c>
      <c r="H379" s="10"/>
      <c r="I379" s="8">
        <v>5</v>
      </c>
      <c r="J379" s="10">
        <v>2017</v>
      </c>
      <c r="K379" s="5"/>
      <c r="L379" s="5"/>
      <c r="M379" s="5"/>
      <c r="N379" s="5"/>
      <c r="O379" s="5" t="str">
        <f>"225.35"</f>
        <v>225.35</v>
      </c>
      <c r="P379" s="5"/>
      <c r="Q379" s="5"/>
      <c r="R379" s="5"/>
      <c r="S379" s="5"/>
      <c r="T379" s="5" t="str">
        <f>"223.93"</f>
        <v>223.93</v>
      </c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13.5" customHeight="1">
      <c r="A380" s="8">
        <v>378</v>
      </c>
      <c r="B380" s="8">
        <v>2331</v>
      </c>
      <c r="C380" s="9" t="s">
        <v>470</v>
      </c>
      <c r="D380" s="8" t="s">
        <v>16</v>
      </c>
      <c r="E380" s="8" t="str">
        <f>"196.65"</f>
        <v>196.65</v>
      </c>
      <c r="F380" s="8"/>
      <c r="G380" s="3">
        <v>224.65</v>
      </c>
      <c r="H380" s="10" t="s">
        <v>18</v>
      </c>
      <c r="I380" s="8">
        <v>1</v>
      </c>
      <c r="J380" s="10">
        <v>2017</v>
      </c>
      <c r="K380" s="5" t="str">
        <f>"196.65"</f>
        <v>196.65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13.5" customHeight="1">
      <c r="A381" s="8">
        <v>379</v>
      </c>
      <c r="B381" s="8">
        <v>10249</v>
      </c>
      <c r="C381" s="9" t="s">
        <v>1188</v>
      </c>
      <c r="D381" s="8" t="s">
        <v>81</v>
      </c>
      <c r="E381" s="8" t="str">
        <f>"196.77"</f>
        <v>196.77</v>
      </c>
      <c r="F381" s="8"/>
      <c r="G381" s="3">
        <v>224.77</v>
      </c>
      <c r="H381" s="10" t="s">
        <v>18</v>
      </c>
      <c r="I381" s="8">
        <v>1</v>
      </c>
      <c r="J381" s="10">
        <v>2017</v>
      </c>
      <c r="K381" s="5" t="str">
        <f>"196.77"</f>
        <v>196.77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ht="13.5" customHeight="1">
      <c r="A382" s="8">
        <v>380</v>
      </c>
      <c r="B382" s="8">
        <v>3087</v>
      </c>
      <c r="C382" s="9" t="s">
        <v>523</v>
      </c>
      <c r="D382" s="8" t="s">
        <v>134</v>
      </c>
      <c r="E382" s="8" t="str">
        <f>"197.89"</f>
        <v>197.89</v>
      </c>
      <c r="F382" s="8"/>
      <c r="G382" s="3">
        <v>225.89</v>
      </c>
      <c r="H382" s="10" t="s">
        <v>18</v>
      </c>
      <c r="I382" s="8">
        <v>1</v>
      </c>
      <c r="J382" s="10">
        <v>2018</v>
      </c>
      <c r="K382" s="5" t="str">
        <f>"197.89"</f>
        <v>197.89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ht="13.5" customHeight="1">
      <c r="A383" s="8">
        <v>381</v>
      </c>
      <c r="B383" s="8">
        <v>3192</v>
      </c>
      <c r="C383" s="9" t="s">
        <v>234</v>
      </c>
      <c r="D383" s="8" t="s">
        <v>16</v>
      </c>
      <c r="E383" s="8" t="str">
        <f>"115.34"</f>
        <v>115.34</v>
      </c>
      <c r="F383" s="8"/>
      <c r="G383" s="3">
        <v>225.92</v>
      </c>
      <c r="H383" s="10" t="s">
        <v>12</v>
      </c>
      <c r="I383" s="8">
        <v>2</v>
      </c>
      <c r="J383" s="10">
        <v>2017</v>
      </c>
      <c r="K383" s="5" t="str">
        <f>"115.34"</f>
        <v>115.34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 t="str">
        <f>"197.92"</f>
        <v>197.92</v>
      </c>
      <c r="X383" s="5"/>
      <c r="Y383" s="5"/>
      <c r="Z383" s="5"/>
      <c r="AA383" s="5"/>
      <c r="AB383" s="5"/>
      <c r="AC383" s="5"/>
      <c r="AD383" s="5"/>
    </row>
    <row r="384" spans="1:30" ht="13.5" customHeight="1">
      <c r="A384" s="8">
        <v>382</v>
      </c>
      <c r="B384" s="8">
        <v>6853</v>
      </c>
      <c r="C384" s="9" t="s">
        <v>311</v>
      </c>
      <c r="D384" s="8" t="s">
        <v>117</v>
      </c>
      <c r="E384" s="8" t="str">
        <f>"198.18"</f>
        <v>198.18</v>
      </c>
      <c r="F384" s="8"/>
      <c r="G384" s="3">
        <v>226.18</v>
      </c>
      <c r="H384" s="10" t="s">
        <v>18</v>
      </c>
      <c r="I384" s="8">
        <v>1</v>
      </c>
      <c r="J384" s="10">
        <v>2017</v>
      </c>
      <c r="K384" s="5" t="str">
        <f>"198.18"</f>
        <v>198.18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ht="13.5" customHeight="1">
      <c r="A385" s="8">
        <v>383</v>
      </c>
      <c r="B385" s="8">
        <v>10627</v>
      </c>
      <c r="C385" s="9" t="s">
        <v>443</v>
      </c>
      <c r="D385" s="8" t="s">
        <v>16</v>
      </c>
      <c r="E385" s="8" t="str">
        <f>"217.93"</f>
        <v>217.93</v>
      </c>
      <c r="F385" s="8"/>
      <c r="G385" s="3">
        <v>226.3</v>
      </c>
      <c r="H385" s="10"/>
      <c r="I385" s="8">
        <v>3</v>
      </c>
      <c r="J385" s="10">
        <v>2017</v>
      </c>
      <c r="K385" s="5" t="str">
        <f>"305.52"</f>
        <v>305.52</v>
      </c>
      <c r="L385" s="5" t="str">
        <f>"442.16"</f>
        <v>442.16</v>
      </c>
      <c r="M385" s="5" t="str">
        <f>"322.25"</f>
        <v>322.25</v>
      </c>
      <c r="N385" s="5"/>
      <c r="O385" s="5"/>
      <c r="P385" s="5"/>
      <c r="Q385" s="5"/>
      <c r="R385" s="5"/>
      <c r="S385" s="5"/>
      <c r="T385" s="5"/>
      <c r="U385" s="5"/>
      <c r="V385" s="5" t="str">
        <f>"130.34"</f>
        <v>130.34</v>
      </c>
      <c r="W385" s="5" t="str">
        <f>"421.45"</f>
        <v>421.45</v>
      </c>
      <c r="X385" s="5"/>
      <c r="Y385" s="5"/>
      <c r="Z385" s="5"/>
      <c r="AA385" s="5"/>
      <c r="AB385" s="5"/>
      <c r="AC385" s="5"/>
      <c r="AD385" s="5"/>
    </row>
    <row r="386" spans="1:30" ht="13.5" customHeight="1">
      <c r="A386" s="8">
        <v>384</v>
      </c>
      <c r="B386" s="8">
        <v>1092</v>
      </c>
      <c r="C386" s="9" t="s">
        <v>667</v>
      </c>
      <c r="D386" s="8" t="s">
        <v>615</v>
      </c>
      <c r="E386" s="8" t="str">
        <f>"187.07"</f>
        <v>187.07</v>
      </c>
      <c r="F386" s="8"/>
      <c r="G386" s="3">
        <v>226.54</v>
      </c>
      <c r="H386" s="10" t="s">
        <v>12</v>
      </c>
      <c r="I386" s="8">
        <v>2</v>
      </c>
      <c r="J386" s="10">
        <v>2017</v>
      </c>
      <c r="K386" s="5" t="str">
        <f>"187.07"</f>
        <v>187.07</v>
      </c>
      <c r="L386" s="5"/>
      <c r="M386" s="5"/>
      <c r="N386" s="5"/>
      <c r="O386" s="5" t="str">
        <f>"198.54"</f>
        <v>198.54</v>
      </c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ht="13.5" customHeight="1">
      <c r="A387" s="8">
        <v>385</v>
      </c>
      <c r="B387" s="8">
        <v>1208</v>
      </c>
      <c r="C387" s="9" t="s">
        <v>423</v>
      </c>
      <c r="D387" s="8" t="s">
        <v>231</v>
      </c>
      <c r="E387" s="8" t="str">
        <f>"198.61"</f>
        <v>198.61</v>
      </c>
      <c r="F387" s="8"/>
      <c r="G387" s="3">
        <v>226.61</v>
      </c>
      <c r="H387" s="10" t="s">
        <v>18</v>
      </c>
      <c r="I387" s="8">
        <v>1</v>
      </c>
      <c r="J387" s="10">
        <v>2017</v>
      </c>
      <c r="K387" s="5" t="str">
        <f>"198.61"</f>
        <v>198.61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13.5" customHeight="1">
      <c r="A388" s="8">
        <v>386</v>
      </c>
      <c r="B388" s="8">
        <v>10614</v>
      </c>
      <c r="C388" s="9" t="s">
        <v>629</v>
      </c>
      <c r="D388" s="8" t="s">
        <v>16</v>
      </c>
      <c r="E388" s="8" t="str">
        <f>"198.68"</f>
        <v>198.68</v>
      </c>
      <c r="F388" s="8"/>
      <c r="G388" s="3">
        <v>226.68</v>
      </c>
      <c r="H388" s="10" t="s">
        <v>18</v>
      </c>
      <c r="I388" s="8">
        <v>1</v>
      </c>
      <c r="J388" s="10">
        <v>2017</v>
      </c>
      <c r="K388" s="5" t="str">
        <f>"198.68"</f>
        <v>198.68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13.5" customHeight="1">
      <c r="A389" s="8">
        <v>387</v>
      </c>
      <c r="B389" s="8">
        <v>1510</v>
      </c>
      <c r="C389" s="9" t="s">
        <v>1177</v>
      </c>
      <c r="D389" s="8" t="s">
        <v>85</v>
      </c>
      <c r="E389" s="8" t="str">
        <f>"227.71"</f>
        <v>227.71</v>
      </c>
      <c r="F389" s="8"/>
      <c r="G389" s="3">
        <v>227.71</v>
      </c>
      <c r="H389" s="10" t="s">
        <v>12</v>
      </c>
      <c r="I389" s="8">
        <v>2</v>
      </c>
      <c r="J389" s="10">
        <v>2017</v>
      </c>
      <c r="K389" s="5" t="str">
        <f>"255.70"</f>
        <v>255.70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 t="str">
        <f>"199.71"</f>
        <v>199.71</v>
      </c>
      <c r="AA389" s="5"/>
      <c r="AB389" s="5"/>
      <c r="AC389" s="5"/>
      <c r="AD389" s="5"/>
    </row>
    <row r="390" spans="1:30" ht="13.5" customHeight="1">
      <c r="A390" s="8">
        <v>388</v>
      </c>
      <c r="B390" s="8">
        <v>7594</v>
      </c>
      <c r="C390" s="9" t="s">
        <v>492</v>
      </c>
      <c r="D390" s="8" t="s">
        <v>44</v>
      </c>
      <c r="E390" s="8" t="str">
        <f>"153.58"</f>
        <v>153.58</v>
      </c>
      <c r="F390" s="8"/>
      <c r="G390" s="3">
        <v>227.98</v>
      </c>
      <c r="H390" s="10"/>
      <c r="I390" s="8">
        <v>3</v>
      </c>
      <c r="J390" s="10">
        <v>2017</v>
      </c>
      <c r="K390" s="5" t="str">
        <f>"153.58"</f>
        <v>153.58</v>
      </c>
      <c r="L390" s="5"/>
      <c r="M390" s="5"/>
      <c r="N390" s="5"/>
      <c r="O390" s="5" t="str">
        <f>"227.73"</f>
        <v>227.73</v>
      </c>
      <c r="P390" s="5"/>
      <c r="Q390" s="5"/>
      <c r="R390" s="5"/>
      <c r="S390" s="5"/>
      <c r="T390" s="5" t="str">
        <f>"228.23"</f>
        <v>228.23</v>
      </c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ht="13.5" customHeight="1">
      <c r="A391" s="8">
        <v>389</v>
      </c>
      <c r="B391" s="8">
        <v>9812</v>
      </c>
      <c r="C391" s="9" t="s">
        <v>339</v>
      </c>
      <c r="D391" s="8" t="s">
        <v>340</v>
      </c>
      <c r="E391" s="8" t="str">
        <f>"201.39"</f>
        <v>201.39</v>
      </c>
      <c r="F391" s="8"/>
      <c r="G391" s="3">
        <v>229.39</v>
      </c>
      <c r="H391" s="10" t="s">
        <v>18</v>
      </c>
      <c r="I391" s="8">
        <v>1</v>
      </c>
      <c r="J391" s="10">
        <v>2017</v>
      </c>
      <c r="K391" s="5" t="str">
        <f>"201.39"</f>
        <v>201.39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ht="13.5" customHeight="1">
      <c r="A392" s="8">
        <v>390</v>
      </c>
      <c r="B392" s="8">
        <v>10860</v>
      </c>
      <c r="C392" s="9" t="s">
        <v>1160</v>
      </c>
      <c r="D392" s="8" t="s">
        <v>16</v>
      </c>
      <c r="E392" s="8" t="str">
        <f>"201.40"</f>
        <v>201.40</v>
      </c>
      <c r="F392" s="8"/>
      <c r="G392" s="3">
        <v>229.4</v>
      </c>
      <c r="H392" s="10" t="s">
        <v>18</v>
      </c>
      <c r="I392" s="8">
        <v>1</v>
      </c>
      <c r="J392" s="10">
        <v>2017</v>
      </c>
      <c r="K392" s="5" t="str">
        <f>"201.40"</f>
        <v>201.40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13.5" customHeight="1">
      <c r="A393" s="8">
        <v>391</v>
      </c>
      <c r="B393" s="8">
        <v>5111</v>
      </c>
      <c r="C393" s="9" t="s">
        <v>461</v>
      </c>
      <c r="D393" s="8" t="s">
        <v>22</v>
      </c>
      <c r="E393" s="8" t="str">
        <f>"201.58"</f>
        <v>201.58</v>
      </c>
      <c r="F393" s="8"/>
      <c r="G393" s="3">
        <v>229.58</v>
      </c>
      <c r="H393" s="10" t="s">
        <v>18</v>
      </c>
      <c r="I393" s="8">
        <v>1</v>
      </c>
      <c r="J393" s="10">
        <v>2017</v>
      </c>
      <c r="K393" s="5" t="str">
        <f>"201.58"</f>
        <v>201.58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13.5" customHeight="1">
      <c r="A394" s="8">
        <v>392</v>
      </c>
      <c r="B394" s="8">
        <v>10343</v>
      </c>
      <c r="C394" s="9" t="s">
        <v>357</v>
      </c>
      <c r="D394" s="8" t="s">
        <v>16</v>
      </c>
      <c r="E394" s="8" t="str">
        <f>"136.01"</f>
        <v>136.01</v>
      </c>
      <c r="F394" s="8"/>
      <c r="G394" s="3">
        <v>230.02</v>
      </c>
      <c r="H394" s="10" t="s">
        <v>12</v>
      </c>
      <c r="I394" s="8">
        <v>2</v>
      </c>
      <c r="J394" s="10">
        <v>2017</v>
      </c>
      <c r="K394" s="5" t="str">
        <f>"136.01"</f>
        <v>136.01</v>
      </c>
      <c r="L394" s="5"/>
      <c r="M394" s="5" t="str">
        <f>"202.02"</f>
        <v>202.02</v>
      </c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13.5" customHeight="1">
      <c r="A395" s="8">
        <v>393</v>
      </c>
      <c r="B395" s="8">
        <v>10579</v>
      </c>
      <c r="C395" s="9" t="s">
        <v>556</v>
      </c>
      <c r="D395" s="8" t="s">
        <v>16</v>
      </c>
      <c r="E395" s="8" t="str">
        <f>"202.28"</f>
        <v>202.28</v>
      </c>
      <c r="F395" s="8"/>
      <c r="G395" s="3">
        <v>230.28</v>
      </c>
      <c r="H395" s="10" t="s">
        <v>18</v>
      </c>
      <c r="I395" s="8">
        <v>1</v>
      </c>
      <c r="J395" s="10">
        <v>2017</v>
      </c>
      <c r="K395" s="5" t="str">
        <f>"202.28"</f>
        <v>202.28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13.5" customHeight="1">
      <c r="A396" s="8">
        <v>394</v>
      </c>
      <c r="B396" s="8">
        <v>8568</v>
      </c>
      <c r="C396" s="9" t="s">
        <v>644</v>
      </c>
      <c r="D396" s="8" t="s">
        <v>67</v>
      </c>
      <c r="E396" s="8" t="str">
        <f>"202.31"</f>
        <v>202.31</v>
      </c>
      <c r="F396" s="8"/>
      <c r="G396" s="3">
        <v>230.31</v>
      </c>
      <c r="H396" s="10" t="s">
        <v>18</v>
      </c>
      <c r="I396" s="8">
        <v>1</v>
      </c>
      <c r="J396" s="10">
        <v>2017</v>
      </c>
      <c r="K396" s="5" t="str">
        <f>"202.31"</f>
        <v>202.31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13.5" customHeight="1">
      <c r="A397" s="8">
        <v>395</v>
      </c>
      <c r="B397" s="8">
        <v>1645</v>
      </c>
      <c r="C397" s="9" t="s">
        <v>442</v>
      </c>
      <c r="D397" s="8" t="s">
        <v>342</v>
      </c>
      <c r="E397" s="8" t="str">
        <f>"230.39"</f>
        <v>230.39</v>
      </c>
      <c r="F397" s="8"/>
      <c r="G397" s="3">
        <v>230.39</v>
      </c>
      <c r="H397" s="10" t="s">
        <v>12</v>
      </c>
      <c r="I397" s="8">
        <v>4</v>
      </c>
      <c r="J397" s="10">
        <v>2018</v>
      </c>
      <c r="K397" s="5"/>
      <c r="L397" s="5"/>
      <c r="M397" s="5"/>
      <c r="N397" s="5"/>
      <c r="O397" s="5" t="str">
        <f>"202.39"</f>
        <v>202.39</v>
      </c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ht="13.5" customHeight="1">
      <c r="A398" s="8">
        <v>396</v>
      </c>
      <c r="B398" s="8">
        <v>5162</v>
      </c>
      <c r="C398" s="9" t="s">
        <v>476</v>
      </c>
      <c r="D398" s="8" t="s">
        <v>477</v>
      </c>
      <c r="E398" s="8" t="str">
        <f>"203.37"</f>
        <v>203.37</v>
      </c>
      <c r="F398" s="8"/>
      <c r="G398" s="3">
        <v>231.37</v>
      </c>
      <c r="H398" s="10" t="s">
        <v>18</v>
      </c>
      <c r="I398" s="8">
        <v>1</v>
      </c>
      <c r="J398" s="10">
        <v>2017</v>
      </c>
      <c r="K398" s="5" t="str">
        <f>"203.37"</f>
        <v>203.37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ht="13.5" customHeight="1">
      <c r="A399" s="8">
        <v>397</v>
      </c>
      <c r="B399" s="8">
        <v>2356</v>
      </c>
      <c r="C399" s="9" t="s">
        <v>471</v>
      </c>
      <c r="D399" s="8" t="s">
        <v>16</v>
      </c>
      <c r="E399" s="8" t="str">
        <f>"203.38"</f>
        <v>203.38</v>
      </c>
      <c r="F399" s="8"/>
      <c r="G399" s="3">
        <v>231.38</v>
      </c>
      <c r="H399" s="10" t="s">
        <v>18</v>
      </c>
      <c r="I399" s="8">
        <v>1</v>
      </c>
      <c r="J399" s="10">
        <v>2017</v>
      </c>
      <c r="K399" s="5" t="str">
        <f>"203.38"</f>
        <v>203.38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13.5" customHeight="1">
      <c r="A400" s="8">
        <v>398</v>
      </c>
      <c r="B400" s="8">
        <v>3219</v>
      </c>
      <c r="C400" s="9" t="s">
        <v>612</v>
      </c>
      <c r="D400" s="8" t="s">
        <v>613</v>
      </c>
      <c r="E400" s="8" t="str">
        <f>"203.84"</f>
        <v>203.84</v>
      </c>
      <c r="F400" s="8"/>
      <c r="G400" s="3">
        <v>231.84</v>
      </c>
      <c r="H400" s="10" t="s">
        <v>18</v>
      </c>
      <c r="I400" s="8">
        <v>1</v>
      </c>
      <c r="J400" s="10">
        <v>2017</v>
      </c>
      <c r="K400" s="5" t="str">
        <f>"203.84"</f>
        <v>203.84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13.5" customHeight="1">
      <c r="A401" s="8">
        <v>399</v>
      </c>
      <c r="B401" s="8">
        <v>3377</v>
      </c>
      <c r="C401" s="9" t="s">
        <v>555</v>
      </c>
      <c r="D401" s="8" t="s">
        <v>431</v>
      </c>
      <c r="E401" s="8" t="str">
        <f>"233.81"</f>
        <v>233.81</v>
      </c>
      <c r="F401" s="8"/>
      <c r="G401" s="3">
        <v>232.25</v>
      </c>
      <c r="H401" s="10" t="s">
        <v>12</v>
      </c>
      <c r="I401" s="8">
        <v>2</v>
      </c>
      <c r="J401" s="10">
        <v>2017</v>
      </c>
      <c r="K401" s="5" t="str">
        <f>"263.37"</f>
        <v>263.37</v>
      </c>
      <c r="L401" s="5"/>
      <c r="M401" s="5"/>
      <c r="N401" s="5"/>
      <c r="O401" s="5" t="str">
        <f>"204.25"</f>
        <v>204.25</v>
      </c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ht="13.5" customHeight="1">
      <c r="A402" s="8">
        <v>400</v>
      </c>
      <c r="B402" s="8">
        <v>2320</v>
      </c>
      <c r="C402" s="9" t="s">
        <v>522</v>
      </c>
      <c r="D402" s="8" t="s">
        <v>16</v>
      </c>
      <c r="E402" s="8" t="str">
        <f>"208.47"</f>
        <v>208.47</v>
      </c>
      <c r="F402" s="8"/>
      <c r="G402" s="3">
        <v>232.6</v>
      </c>
      <c r="H402" s="10"/>
      <c r="I402" s="8">
        <v>3</v>
      </c>
      <c r="J402" s="10">
        <v>2017</v>
      </c>
      <c r="K402" s="5" t="str">
        <f>"211.72"</f>
        <v>211.72</v>
      </c>
      <c r="L402" s="5"/>
      <c r="M402" s="5" t="str">
        <f>"303.81"</f>
        <v>303.81</v>
      </c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 t="str">
        <f>"205.21"</f>
        <v>205.21</v>
      </c>
      <c r="Z402" s="5"/>
      <c r="AA402" s="5" t="str">
        <f>"259.99"</f>
        <v>259.99</v>
      </c>
      <c r="AB402" s="5"/>
      <c r="AC402" s="5"/>
      <c r="AD402" s="5"/>
    </row>
    <row r="403" spans="1:30" ht="13.5" customHeight="1">
      <c r="A403" s="8">
        <v>401</v>
      </c>
      <c r="B403" s="8">
        <v>141</v>
      </c>
      <c r="C403" s="9" t="s">
        <v>172</v>
      </c>
      <c r="D403" s="8" t="s">
        <v>110</v>
      </c>
      <c r="E403" s="8" t="str">
        <f>"204.90"</f>
        <v>204.90</v>
      </c>
      <c r="F403" s="8"/>
      <c r="G403" s="3">
        <v>232.9</v>
      </c>
      <c r="H403" s="10" t="s">
        <v>18</v>
      </c>
      <c r="I403" s="8">
        <v>1</v>
      </c>
      <c r="J403" s="10">
        <v>2017</v>
      </c>
      <c r="K403" s="5" t="str">
        <f>"204.90"</f>
        <v>204.90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13.5" customHeight="1">
      <c r="A404" s="8">
        <v>402</v>
      </c>
      <c r="B404" s="8">
        <v>11128</v>
      </c>
      <c r="C404" s="9" t="s">
        <v>469</v>
      </c>
      <c r="D404" s="8" t="s">
        <v>29</v>
      </c>
      <c r="E404" s="8" t="str">
        <f>"233.25"</f>
        <v>233.25</v>
      </c>
      <c r="F404" s="8"/>
      <c r="G404" s="3">
        <v>233.25</v>
      </c>
      <c r="H404" s="10" t="s">
        <v>12</v>
      </c>
      <c r="I404" s="8">
        <v>4</v>
      </c>
      <c r="J404" s="10">
        <v>2017</v>
      </c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 t="str">
        <f>"205.25"</f>
        <v>205.25</v>
      </c>
      <c r="AC404" s="5"/>
      <c r="AD404" s="5"/>
    </row>
    <row r="405" spans="1:30" ht="13.5" customHeight="1">
      <c r="A405" s="8">
        <v>403</v>
      </c>
      <c r="B405" s="8">
        <v>2766</v>
      </c>
      <c r="C405" s="9" t="s">
        <v>554</v>
      </c>
      <c r="D405" s="8" t="s">
        <v>55</v>
      </c>
      <c r="E405" s="8" t="str">
        <f>"205.68"</f>
        <v>205.68</v>
      </c>
      <c r="F405" s="8"/>
      <c r="G405" s="3">
        <v>233.68</v>
      </c>
      <c r="H405" s="10" t="s">
        <v>18</v>
      </c>
      <c r="I405" s="8">
        <v>1</v>
      </c>
      <c r="J405" s="10">
        <v>2017</v>
      </c>
      <c r="K405" s="5" t="str">
        <f>"205.68"</f>
        <v>205.68</v>
      </c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13.5" customHeight="1">
      <c r="A406" s="8">
        <v>404</v>
      </c>
      <c r="B406" s="8">
        <v>5728</v>
      </c>
      <c r="C406" s="9" t="s">
        <v>425</v>
      </c>
      <c r="D406" s="8" t="s">
        <v>29</v>
      </c>
      <c r="E406" s="8" t="str">
        <f>"233.88"</f>
        <v>233.88</v>
      </c>
      <c r="F406" s="8"/>
      <c r="G406" s="3">
        <v>233.88</v>
      </c>
      <c r="H406" s="10"/>
      <c r="I406" s="8">
        <v>3</v>
      </c>
      <c r="J406" s="10">
        <v>2017</v>
      </c>
      <c r="K406" s="5" t="str">
        <f>"247.70"</f>
        <v>247.70</v>
      </c>
      <c r="L406" s="5"/>
      <c r="M406" s="5"/>
      <c r="N406" s="5"/>
      <c r="O406" s="5"/>
      <c r="P406" s="5"/>
      <c r="Q406" s="5" t="str">
        <f>"244.52"</f>
        <v>244.52</v>
      </c>
      <c r="R406" s="5" t="str">
        <f>"242.37"</f>
        <v>242.37</v>
      </c>
      <c r="S406" s="5"/>
      <c r="T406" s="5"/>
      <c r="U406" s="5" t="str">
        <f>"225.38"</f>
        <v>225.38</v>
      </c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13.5" customHeight="1">
      <c r="A407" s="8">
        <v>405</v>
      </c>
      <c r="B407" s="8">
        <v>11010</v>
      </c>
      <c r="C407" s="9" t="s">
        <v>592</v>
      </c>
      <c r="D407" s="8" t="s">
        <v>237</v>
      </c>
      <c r="E407" s="8" t="str">
        <f>"206.16"</f>
        <v>206.16</v>
      </c>
      <c r="F407" s="8"/>
      <c r="G407" s="3">
        <v>234.16</v>
      </c>
      <c r="H407" s="10" t="s">
        <v>18</v>
      </c>
      <c r="I407" s="8">
        <v>1</v>
      </c>
      <c r="J407" s="10">
        <v>2017</v>
      </c>
      <c r="K407" s="5" t="str">
        <f>"206.16"</f>
        <v>206.16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ht="13.5" customHeight="1">
      <c r="A408" s="8">
        <v>406</v>
      </c>
      <c r="B408" s="8">
        <v>3655</v>
      </c>
      <c r="C408" s="9" t="s">
        <v>156</v>
      </c>
      <c r="D408" s="8" t="s">
        <v>76</v>
      </c>
      <c r="E408" s="8" t="str">
        <f>"288.11"</f>
        <v>288.11</v>
      </c>
      <c r="F408" s="8"/>
      <c r="G408" s="3">
        <v>234.23</v>
      </c>
      <c r="H408" s="10" t="s">
        <v>12</v>
      </c>
      <c r="I408" s="8">
        <v>2</v>
      </c>
      <c r="J408" s="10">
        <v>2017</v>
      </c>
      <c r="K408" s="5" t="str">
        <f>"369.99"</f>
        <v>369.99</v>
      </c>
      <c r="L408" s="5"/>
      <c r="M408" s="5"/>
      <c r="N408" s="5" t="str">
        <f>"206.23"</f>
        <v>206.23</v>
      </c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ht="13.5" customHeight="1">
      <c r="A409" s="8">
        <v>407</v>
      </c>
      <c r="B409" s="8">
        <v>7852</v>
      </c>
      <c r="C409" s="9" t="s">
        <v>993</v>
      </c>
      <c r="D409" s="8" t="s">
        <v>76</v>
      </c>
      <c r="E409" s="8" t="str">
        <f>"206.63"</f>
        <v>206.63</v>
      </c>
      <c r="F409" s="8"/>
      <c r="G409" s="3">
        <v>234.63</v>
      </c>
      <c r="H409" s="10" t="s">
        <v>18</v>
      </c>
      <c r="I409" s="8">
        <v>1</v>
      </c>
      <c r="J409" s="10">
        <v>2017</v>
      </c>
      <c r="K409" s="5" t="str">
        <f>"206.63"</f>
        <v>206.63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13.5" customHeight="1">
      <c r="A410" s="8">
        <v>408</v>
      </c>
      <c r="B410" s="8">
        <v>6862</v>
      </c>
      <c r="C410" s="9" t="s">
        <v>312</v>
      </c>
      <c r="D410" s="8" t="s">
        <v>29</v>
      </c>
      <c r="E410" s="8" t="str">
        <f>"234.66"</f>
        <v>234.66</v>
      </c>
      <c r="F410" s="8"/>
      <c r="G410" s="3">
        <v>234.66</v>
      </c>
      <c r="H410" s="10"/>
      <c r="I410" s="8">
        <v>3</v>
      </c>
      <c r="J410" s="10">
        <v>2017</v>
      </c>
      <c r="K410" s="5" t="str">
        <f>"524.86"</f>
        <v>524.86</v>
      </c>
      <c r="L410" s="5"/>
      <c r="M410" s="5"/>
      <c r="N410" s="5"/>
      <c r="O410" s="5"/>
      <c r="P410" s="5"/>
      <c r="Q410" s="5"/>
      <c r="R410" s="5" t="str">
        <f>"272.08"</f>
        <v>272.08</v>
      </c>
      <c r="S410" s="5"/>
      <c r="T410" s="5"/>
      <c r="U410" s="5" t="str">
        <f>"394.06"</f>
        <v>394.06</v>
      </c>
      <c r="V410" s="5"/>
      <c r="W410" s="5"/>
      <c r="X410" s="5"/>
      <c r="Y410" s="5"/>
      <c r="Z410" s="5"/>
      <c r="AA410" s="5"/>
      <c r="AB410" s="5"/>
      <c r="AC410" s="5" t="str">
        <f>"254.03"</f>
        <v>254.03</v>
      </c>
      <c r="AD410" s="5" t="str">
        <f>"215.29"</f>
        <v>215.29</v>
      </c>
    </row>
    <row r="411" spans="1:30" ht="13.5" customHeight="1">
      <c r="A411" s="8">
        <v>409</v>
      </c>
      <c r="B411" s="8">
        <v>4325</v>
      </c>
      <c r="C411" s="9" t="s">
        <v>422</v>
      </c>
      <c r="D411" s="8" t="s">
        <v>413</v>
      </c>
      <c r="E411" s="8" t="str">
        <f>"270.45"</f>
        <v>270.45</v>
      </c>
      <c r="F411" s="8"/>
      <c r="G411" s="3">
        <v>235.99</v>
      </c>
      <c r="H411" s="10" t="s">
        <v>12</v>
      </c>
      <c r="I411" s="8">
        <v>2</v>
      </c>
      <c r="J411" s="10">
        <v>2018</v>
      </c>
      <c r="K411" s="5" t="str">
        <f>"332.91"</f>
        <v>332.91</v>
      </c>
      <c r="L411" s="5"/>
      <c r="M411" s="5"/>
      <c r="N411" s="5"/>
      <c r="O411" s="5"/>
      <c r="P411" s="5"/>
      <c r="Q411" s="5"/>
      <c r="R411" s="5"/>
      <c r="S411" s="5" t="str">
        <f>"207.99"</f>
        <v>207.99</v>
      </c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13.5" customHeight="1">
      <c r="A412" s="8">
        <v>410</v>
      </c>
      <c r="B412" s="8">
        <v>2291</v>
      </c>
      <c r="C412" s="9" t="s">
        <v>625</v>
      </c>
      <c r="D412" s="8" t="s">
        <v>16</v>
      </c>
      <c r="E412" s="8" t="str">
        <f>"208.16"</f>
        <v>208.16</v>
      </c>
      <c r="F412" s="8"/>
      <c r="G412" s="3">
        <v>236.16</v>
      </c>
      <c r="H412" s="10" t="s">
        <v>18</v>
      </c>
      <c r="I412" s="8">
        <v>1</v>
      </c>
      <c r="J412" s="10">
        <v>2017</v>
      </c>
      <c r="K412" s="5" t="str">
        <f>"208.16"</f>
        <v>208.16</v>
      </c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ht="13.5" customHeight="1">
      <c r="A413" s="8">
        <v>411</v>
      </c>
      <c r="B413" s="8">
        <v>6384</v>
      </c>
      <c r="C413" s="9" t="s">
        <v>308</v>
      </c>
      <c r="D413" s="8" t="s">
        <v>150</v>
      </c>
      <c r="E413" s="8" t="str">
        <f>"209.77"</f>
        <v>209.77</v>
      </c>
      <c r="F413" s="8"/>
      <c r="G413" s="3">
        <v>237.05</v>
      </c>
      <c r="H413" s="10"/>
      <c r="I413" s="8">
        <v>3</v>
      </c>
      <c r="J413" s="10">
        <v>2017</v>
      </c>
      <c r="K413" s="5" t="str">
        <f>"209.77"</f>
        <v>209.77</v>
      </c>
      <c r="L413" s="5"/>
      <c r="M413" s="5"/>
      <c r="N413" s="5" t="str">
        <f>"246.68"</f>
        <v>246.68</v>
      </c>
      <c r="O413" s="5"/>
      <c r="P413" s="5"/>
      <c r="Q413" s="5"/>
      <c r="R413" s="5"/>
      <c r="S413" s="5"/>
      <c r="T413" s="5"/>
      <c r="U413" s="5"/>
      <c r="V413" s="5"/>
      <c r="W413" s="5"/>
      <c r="X413" s="5" t="str">
        <f>"227.41"</f>
        <v>227.41</v>
      </c>
      <c r="Y413" s="5"/>
      <c r="Z413" s="5"/>
      <c r="AA413" s="5"/>
      <c r="AB413" s="5"/>
      <c r="AC413" s="5"/>
      <c r="AD413" s="5"/>
    </row>
    <row r="414" spans="1:30" ht="13.5" customHeight="1">
      <c r="A414" s="8">
        <v>412</v>
      </c>
      <c r="B414" s="8">
        <v>3369</v>
      </c>
      <c r="C414" s="9" t="s">
        <v>684</v>
      </c>
      <c r="D414" s="8" t="s">
        <v>164</v>
      </c>
      <c r="E414" s="8" t="str">
        <f>"209.88"</f>
        <v>209.88</v>
      </c>
      <c r="F414" s="8"/>
      <c r="G414" s="3">
        <v>237.88</v>
      </c>
      <c r="H414" s="10" t="s">
        <v>18</v>
      </c>
      <c r="I414" s="8">
        <v>1</v>
      </c>
      <c r="J414" s="10">
        <v>2017</v>
      </c>
      <c r="K414" s="5" t="str">
        <f>"209.88"</f>
        <v>209.88</v>
      </c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13.5" customHeight="1">
      <c r="A415" s="8">
        <v>413</v>
      </c>
      <c r="B415" s="8">
        <v>7602</v>
      </c>
      <c r="C415" s="9" t="s">
        <v>1202</v>
      </c>
      <c r="D415" s="8" t="s">
        <v>615</v>
      </c>
      <c r="E415" s="8" t="str">
        <f>"209.93"</f>
        <v>209.93</v>
      </c>
      <c r="F415" s="8"/>
      <c r="G415" s="3">
        <v>237.93</v>
      </c>
      <c r="H415" s="10" t="s">
        <v>18</v>
      </c>
      <c r="I415" s="8">
        <v>1</v>
      </c>
      <c r="J415" s="10">
        <v>2017</v>
      </c>
      <c r="K415" s="5" t="str">
        <f>"209.93"</f>
        <v>209.93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13.5" customHeight="1">
      <c r="A416" s="8">
        <v>414</v>
      </c>
      <c r="B416" s="8">
        <v>2982</v>
      </c>
      <c r="C416" s="9" t="s">
        <v>696</v>
      </c>
      <c r="D416" s="8" t="s">
        <v>618</v>
      </c>
      <c r="E416" s="8" t="str">
        <f>"160.77"</f>
        <v>160.77</v>
      </c>
      <c r="F416" s="8"/>
      <c r="G416" s="3">
        <v>238.42</v>
      </c>
      <c r="H416" s="10" t="s">
        <v>12</v>
      </c>
      <c r="I416" s="8">
        <v>2</v>
      </c>
      <c r="J416" s="10">
        <v>2017</v>
      </c>
      <c r="K416" s="5" t="str">
        <f>"160.77"</f>
        <v>160.77</v>
      </c>
      <c r="L416" s="5"/>
      <c r="M416" s="5"/>
      <c r="N416" s="5"/>
      <c r="O416" s="5" t="str">
        <f>"210.42"</f>
        <v>210.42</v>
      </c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13.5" customHeight="1">
      <c r="A417" s="8">
        <v>415</v>
      </c>
      <c r="B417" s="8">
        <v>4595</v>
      </c>
      <c r="C417" s="9" t="s">
        <v>509</v>
      </c>
      <c r="D417" s="8" t="s">
        <v>150</v>
      </c>
      <c r="E417" s="8" t="str">
        <f>"244.35"</f>
        <v>244.35</v>
      </c>
      <c r="F417" s="8"/>
      <c r="G417" s="3">
        <v>239.28</v>
      </c>
      <c r="H417" s="10" t="s">
        <v>12</v>
      </c>
      <c r="I417" s="8">
        <v>2</v>
      </c>
      <c r="J417" s="10">
        <v>2017</v>
      </c>
      <c r="K417" s="5" t="str">
        <f>"277.41"</f>
        <v>277.41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 t="str">
        <f>"211.28"</f>
        <v>211.28</v>
      </c>
      <c r="Z417" s="5"/>
      <c r="AA417" s="5"/>
      <c r="AB417" s="5"/>
      <c r="AC417" s="5"/>
      <c r="AD417" s="5"/>
    </row>
    <row r="418" spans="1:30" ht="13.5" customHeight="1">
      <c r="A418" s="8">
        <v>416</v>
      </c>
      <c r="B418" s="8">
        <v>10709</v>
      </c>
      <c r="C418" s="9" t="s">
        <v>508</v>
      </c>
      <c r="D418" s="8" t="s">
        <v>16</v>
      </c>
      <c r="E418" s="8" t="str">
        <f>"223.62"</f>
        <v>223.62</v>
      </c>
      <c r="F418" s="8"/>
      <c r="G418" s="3">
        <v>239.6</v>
      </c>
      <c r="H418" s="10" t="s">
        <v>12</v>
      </c>
      <c r="I418" s="8">
        <v>2</v>
      </c>
      <c r="J418" s="10">
        <v>2017</v>
      </c>
      <c r="K418" s="5" t="str">
        <f>"235.64"</f>
        <v>235.64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 t="str">
        <f>"211.60"</f>
        <v>211.60</v>
      </c>
      <c r="W418" s="5"/>
      <c r="X418" s="5"/>
      <c r="Y418" s="5"/>
      <c r="Z418" s="5"/>
      <c r="AA418" s="5"/>
      <c r="AB418" s="5"/>
      <c r="AC418" s="5"/>
      <c r="AD418" s="5"/>
    </row>
    <row r="419" spans="1:30" ht="13.5" customHeight="1">
      <c r="A419" s="8">
        <v>417</v>
      </c>
      <c r="B419" s="8">
        <v>7625</v>
      </c>
      <c r="C419" s="9" t="s">
        <v>417</v>
      </c>
      <c r="D419" s="8" t="s">
        <v>62</v>
      </c>
      <c r="E419" s="8" t="str">
        <f>"239.68"</f>
        <v>239.68</v>
      </c>
      <c r="F419" s="8"/>
      <c r="G419" s="3">
        <v>239.68</v>
      </c>
      <c r="H419" s="10"/>
      <c r="I419" s="8">
        <v>3</v>
      </c>
      <c r="J419" s="10">
        <v>2017</v>
      </c>
      <c r="K419" s="5" t="str">
        <f>"273.78"</f>
        <v>273.78</v>
      </c>
      <c r="L419" s="5"/>
      <c r="M419" s="5"/>
      <c r="N419" s="5" t="str">
        <f>"258.77"</f>
        <v>258.77</v>
      </c>
      <c r="O419" s="5"/>
      <c r="P419" s="5"/>
      <c r="Q419" s="5"/>
      <c r="R419" s="5"/>
      <c r="S419" s="5"/>
      <c r="T419" s="5"/>
      <c r="U419" s="5"/>
      <c r="V419" s="5"/>
      <c r="W419" s="5"/>
      <c r="X419" s="5" t="str">
        <f>"247.69"</f>
        <v>247.69</v>
      </c>
      <c r="Y419" s="5" t="str">
        <f>"231.67"</f>
        <v>231.67</v>
      </c>
      <c r="Z419" s="5"/>
      <c r="AA419" s="5"/>
      <c r="AB419" s="5"/>
      <c r="AC419" s="5"/>
      <c r="AD419" s="5"/>
    </row>
    <row r="420" spans="1:30" ht="13.5" customHeight="1">
      <c r="A420" s="8">
        <v>418</v>
      </c>
      <c r="B420" s="8">
        <v>10966</v>
      </c>
      <c r="C420" s="9" t="s">
        <v>561</v>
      </c>
      <c r="D420" s="8" t="s">
        <v>549</v>
      </c>
      <c r="E420" s="8" t="str">
        <f>"222.32"</f>
        <v>222.32</v>
      </c>
      <c r="F420" s="8"/>
      <c r="G420" s="3">
        <v>239.85</v>
      </c>
      <c r="H420" s="10" t="s">
        <v>12</v>
      </c>
      <c r="I420" s="8">
        <v>2</v>
      </c>
      <c r="J420" s="10">
        <v>2018</v>
      </c>
      <c r="K420" s="5" t="str">
        <f>"232.78"</f>
        <v>232.78</v>
      </c>
      <c r="L420" s="5"/>
      <c r="M420" s="5"/>
      <c r="N420" s="5"/>
      <c r="O420" s="5"/>
      <c r="P420" s="5" t="str">
        <f>"211.85"</f>
        <v>211.85</v>
      </c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13.5" customHeight="1">
      <c r="A421" s="8">
        <v>419</v>
      </c>
      <c r="B421" s="8">
        <v>10944</v>
      </c>
      <c r="C421" s="9" t="s">
        <v>446</v>
      </c>
      <c r="D421" s="8" t="s">
        <v>213</v>
      </c>
      <c r="E421" s="8" t="str">
        <f>"223.94"</f>
        <v>223.94</v>
      </c>
      <c r="F421" s="8"/>
      <c r="G421" s="3">
        <v>239.86</v>
      </c>
      <c r="H421" s="10" t="s">
        <v>12</v>
      </c>
      <c r="I421" s="8">
        <v>2</v>
      </c>
      <c r="J421" s="10">
        <v>2018</v>
      </c>
      <c r="K421" s="5" t="str">
        <f>"236.02"</f>
        <v>236.02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 t="str">
        <f>"211.86"</f>
        <v>211.86</v>
      </c>
      <c r="Y421" s="5"/>
      <c r="Z421" s="5"/>
      <c r="AA421" s="5"/>
      <c r="AB421" s="5"/>
      <c r="AC421" s="5"/>
      <c r="AD421" s="5"/>
    </row>
    <row r="422" spans="1:30" ht="13.5" customHeight="1">
      <c r="A422" s="8">
        <v>420</v>
      </c>
      <c r="B422" s="8">
        <v>10117</v>
      </c>
      <c r="C422" s="9" t="s">
        <v>605</v>
      </c>
      <c r="D422" s="8" t="s">
        <v>16</v>
      </c>
      <c r="E422" s="8" t="str">
        <f>"240.13"</f>
        <v>240.13</v>
      </c>
      <c r="F422" s="8"/>
      <c r="G422" s="3">
        <v>240.13</v>
      </c>
      <c r="H422" s="10"/>
      <c r="I422" s="8">
        <v>3</v>
      </c>
      <c r="J422" s="10">
        <v>2017</v>
      </c>
      <c r="K422" s="5" t="str">
        <f>"344.45"</f>
        <v>344.45</v>
      </c>
      <c r="L422" s="5" t="str">
        <f>"389.79"</f>
        <v>389.79</v>
      </c>
      <c r="M422" s="5" t="str">
        <f>"367.15"</f>
        <v>367.15</v>
      </c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 t="str">
        <f>"228.30"</f>
        <v>228.30</v>
      </c>
      <c r="Y422" s="5"/>
      <c r="Z422" s="5"/>
      <c r="AA422" s="5"/>
      <c r="AB422" s="5"/>
      <c r="AC422" s="5" t="str">
        <f>"280.29"</f>
        <v>280.29</v>
      </c>
      <c r="AD422" s="5" t="str">
        <f>"251.95"</f>
        <v>251.95</v>
      </c>
    </row>
    <row r="423" spans="1:30" ht="13.5" customHeight="1">
      <c r="A423" s="8">
        <v>421</v>
      </c>
      <c r="B423" s="8">
        <v>11023</v>
      </c>
      <c r="C423" s="9" t="s">
        <v>389</v>
      </c>
      <c r="D423" s="8" t="s">
        <v>270</v>
      </c>
      <c r="E423" s="8" t="str">
        <f>"219.80"</f>
        <v>219.80</v>
      </c>
      <c r="F423" s="8"/>
      <c r="G423" s="3">
        <v>240.15</v>
      </c>
      <c r="H423" s="10" t="s">
        <v>12</v>
      </c>
      <c r="I423" s="8">
        <v>2</v>
      </c>
      <c r="J423" s="10">
        <v>2017</v>
      </c>
      <c r="K423" s="5" t="str">
        <f>"227.45"</f>
        <v>227.45</v>
      </c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 t="str">
        <f>"212.15"</f>
        <v>212.15</v>
      </c>
      <c r="Y423" s="5"/>
      <c r="Z423" s="5"/>
      <c r="AA423" s="5"/>
      <c r="AB423" s="5"/>
      <c r="AC423" s="5"/>
      <c r="AD423" s="5"/>
    </row>
    <row r="424" spans="1:30" ht="13.5" customHeight="1">
      <c r="A424" s="8">
        <v>422</v>
      </c>
      <c r="B424" s="8">
        <v>4873</v>
      </c>
      <c r="C424" s="9" t="s">
        <v>590</v>
      </c>
      <c r="D424" s="8" t="s">
        <v>231</v>
      </c>
      <c r="E424" s="8" t="str">
        <f>"215.28"</f>
        <v>215.28</v>
      </c>
      <c r="F424" s="8"/>
      <c r="G424" s="3">
        <v>240.57</v>
      </c>
      <c r="H424" s="10"/>
      <c r="I424" s="8">
        <v>3</v>
      </c>
      <c r="J424" s="10">
        <v>2017</v>
      </c>
      <c r="K424" s="5" t="str">
        <f>"215.28"</f>
        <v>215.28</v>
      </c>
      <c r="L424" s="5"/>
      <c r="M424" s="5"/>
      <c r="N424" s="5"/>
      <c r="O424" s="5" t="str">
        <f>"255.60"</f>
        <v>255.60</v>
      </c>
      <c r="P424" s="5"/>
      <c r="Q424" s="5"/>
      <c r="R424" s="5"/>
      <c r="S424" s="5"/>
      <c r="T424" s="5" t="str">
        <f>"225.53"</f>
        <v>225.53</v>
      </c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13.5" customHeight="1">
      <c r="A425" s="8">
        <v>423</v>
      </c>
      <c r="B425" s="8">
        <v>10577</v>
      </c>
      <c r="C425" s="9" t="s">
        <v>350</v>
      </c>
      <c r="D425" s="8" t="s">
        <v>16</v>
      </c>
      <c r="E425" s="8" t="str">
        <f>"201.64"</f>
        <v>201.64</v>
      </c>
      <c r="F425" s="8"/>
      <c r="G425" s="3">
        <v>241.35</v>
      </c>
      <c r="H425" s="10"/>
      <c r="I425" s="8">
        <v>3</v>
      </c>
      <c r="J425" s="10">
        <v>2017</v>
      </c>
      <c r="K425" s="5" t="str">
        <f>"201.64"</f>
        <v>201.64</v>
      </c>
      <c r="L425" s="5"/>
      <c r="M425" s="5" t="str">
        <f>"262.35"</f>
        <v>262.35</v>
      </c>
      <c r="N425" s="5"/>
      <c r="O425" s="5"/>
      <c r="P425" s="5"/>
      <c r="Q425" s="5"/>
      <c r="R425" s="5"/>
      <c r="S425" s="5"/>
      <c r="T425" s="5"/>
      <c r="U425" s="5"/>
      <c r="V425" s="5"/>
      <c r="W425" s="5" t="str">
        <f>"220.35"</f>
        <v>220.35</v>
      </c>
      <c r="X425" s="5"/>
      <c r="Y425" s="5"/>
      <c r="Z425" s="5"/>
      <c r="AA425" s="5"/>
      <c r="AB425" s="5"/>
      <c r="AC425" s="5"/>
      <c r="AD425" s="5"/>
    </row>
    <row r="426" spans="1:30" ht="13.5" customHeight="1">
      <c r="A426" s="8">
        <v>424</v>
      </c>
      <c r="B426" s="8">
        <v>10530</v>
      </c>
      <c r="C426" s="9" t="s">
        <v>347</v>
      </c>
      <c r="D426" s="8" t="s">
        <v>291</v>
      </c>
      <c r="E426" s="8" t="str">
        <f>"121.96"</f>
        <v>121.96</v>
      </c>
      <c r="F426" s="8"/>
      <c r="G426" s="3">
        <v>241.5</v>
      </c>
      <c r="H426" s="10"/>
      <c r="I426" s="8">
        <v>3</v>
      </c>
      <c r="J426" s="10">
        <v>2017</v>
      </c>
      <c r="K426" s="5" t="str">
        <f>"121.96"</f>
        <v>121.96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 t="str">
        <f>"324.48"</f>
        <v>324.48</v>
      </c>
      <c r="Z426" s="5"/>
      <c r="AA426" s="5" t="str">
        <f>"158.52"</f>
        <v>158.52</v>
      </c>
      <c r="AB426" s="5"/>
      <c r="AC426" s="5"/>
      <c r="AD426" s="5"/>
    </row>
    <row r="427" spans="1:30" ht="13.5" customHeight="1">
      <c r="A427" s="8">
        <v>425</v>
      </c>
      <c r="B427" s="8">
        <v>5379</v>
      </c>
      <c r="C427" s="9" t="s">
        <v>637</v>
      </c>
      <c r="D427" s="8" t="s">
        <v>363</v>
      </c>
      <c r="E427" s="8" t="str">
        <f>"230.25"</f>
        <v>230.25</v>
      </c>
      <c r="F427" s="8"/>
      <c r="G427" s="3">
        <v>241.67</v>
      </c>
      <c r="H427" s="10" t="s">
        <v>12</v>
      </c>
      <c r="I427" s="8">
        <v>2</v>
      </c>
      <c r="J427" s="10">
        <v>2017</v>
      </c>
      <c r="K427" s="5" t="str">
        <f>"246.83"</f>
        <v>246.83</v>
      </c>
      <c r="L427" s="5"/>
      <c r="M427" s="5"/>
      <c r="N427" s="5"/>
      <c r="O427" s="5"/>
      <c r="P427" s="5" t="str">
        <f>"213.67"</f>
        <v>213.67</v>
      </c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13.5" customHeight="1">
      <c r="A428" s="8">
        <v>426</v>
      </c>
      <c r="B428" s="8">
        <v>3432</v>
      </c>
      <c r="C428" s="9" t="s">
        <v>238</v>
      </c>
      <c r="D428" s="8" t="s">
        <v>14</v>
      </c>
      <c r="E428" s="8" t="str">
        <f>"201.22"</f>
        <v>201.22</v>
      </c>
      <c r="F428" s="8"/>
      <c r="G428" s="3">
        <v>242.08</v>
      </c>
      <c r="H428" s="10"/>
      <c r="I428" s="8">
        <v>3</v>
      </c>
      <c r="J428" s="10">
        <v>2017</v>
      </c>
      <c r="K428" s="5" t="str">
        <f>"201.22"</f>
        <v>201.22</v>
      </c>
      <c r="L428" s="5"/>
      <c r="M428" s="5"/>
      <c r="N428" s="5" t="str">
        <f>"277.04"</f>
        <v>277.04</v>
      </c>
      <c r="O428" s="5"/>
      <c r="P428" s="5"/>
      <c r="Q428" s="5"/>
      <c r="R428" s="5"/>
      <c r="S428" s="5" t="str">
        <f>"207.12"</f>
        <v>207.12</v>
      </c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13.5" customHeight="1">
      <c r="A429" s="8">
        <v>427</v>
      </c>
      <c r="B429" s="8">
        <v>805</v>
      </c>
      <c r="C429" s="9" t="s">
        <v>307</v>
      </c>
      <c r="D429" s="8" t="s">
        <v>108</v>
      </c>
      <c r="E429" s="8" t="str">
        <f>"196.03"</f>
        <v>196.03</v>
      </c>
      <c r="F429" s="8"/>
      <c r="G429" s="3">
        <v>242.27</v>
      </c>
      <c r="H429" s="10" t="s">
        <v>12</v>
      </c>
      <c r="I429" s="8">
        <v>2</v>
      </c>
      <c r="J429" s="10">
        <v>2017</v>
      </c>
      <c r="K429" s="5" t="str">
        <f>"196.03"</f>
        <v>196.03</v>
      </c>
      <c r="L429" s="5"/>
      <c r="M429" s="5"/>
      <c r="N429" s="5" t="str">
        <f>"214.27"</f>
        <v>214.27</v>
      </c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13.5" customHeight="1">
      <c r="A430" s="8">
        <v>428</v>
      </c>
      <c r="B430" s="8">
        <v>4858</v>
      </c>
      <c r="C430" s="9" t="s">
        <v>160</v>
      </c>
      <c r="D430" s="8" t="s">
        <v>161</v>
      </c>
      <c r="E430" s="8" t="str">
        <f>"214.44"</f>
        <v>214.44</v>
      </c>
      <c r="F430" s="8"/>
      <c r="G430" s="3">
        <v>242.44</v>
      </c>
      <c r="H430" s="10" t="s">
        <v>18</v>
      </c>
      <c r="I430" s="8">
        <v>1</v>
      </c>
      <c r="J430" s="10">
        <v>2017</v>
      </c>
      <c r="K430" s="5" t="str">
        <f>"214.44"</f>
        <v>214.44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13.5" customHeight="1">
      <c r="A431" s="8">
        <v>429</v>
      </c>
      <c r="B431" s="8">
        <v>6414</v>
      </c>
      <c r="C431" s="9" t="s">
        <v>597</v>
      </c>
      <c r="D431" s="8" t="s">
        <v>504</v>
      </c>
      <c r="E431" s="8" t="str">
        <f>"195.19"</f>
        <v>195.19</v>
      </c>
      <c r="F431" s="8"/>
      <c r="G431" s="3">
        <v>242.66</v>
      </c>
      <c r="H431" s="10" t="s">
        <v>12</v>
      </c>
      <c r="I431" s="8">
        <v>2</v>
      </c>
      <c r="J431" s="10">
        <v>2017</v>
      </c>
      <c r="K431" s="5" t="str">
        <f>"195.19"</f>
        <v>195.19</v>
      </c>
      <c r="L431" s="5"/>
      <c r="M431" s="5"/>
      <c r="N431" s="5"/>
      <c r="O431" s="5" t="str">
        <f>"214.66"</f>
        <v>214.66</v>
      </c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13.5" customHeight="1">
      <c r="A432" s="8">
        <v>430</v>
      </c>
      <c r="B432" s="8">
        <v>347</v>
      </c>
      <c r="C432" s="9" t="s">
        <v>1216</v>
      </c>
      <c r="D432" s="8" t="s">
        <v>552</v>
      </c>
      <c r="E432" s="8" t="str">
        <f>"215.26"</f>
        <v>215.26</v>
      </c>
      <c r="F432" s="8"/>
      <c r="G432" s="3">
        <v>243.26</v>
      </c>
      <c r="H432" s="10" t="s">
        <v>18</v>
      </c>
      <c r="I432" s="8">
        <v>1</v>
      </c>
      <c r="J432" s="10">
        <v>2017</v>
      </c>
      <c r="K432" s="5" t="str">
        <f>"215.26"</f>
        <v>215.26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13.5" customHeight="1">
      <c r="A433" s="8">
        <v>431</v>
      </c>
      <c r="B433" s="8">
        <v>10841</v>
      </c>
      <c r="C433" s="9" t="s">
        <v>571</v>
      </c>
      <c r="D433" s="8" t="s">
        <v>16</v>
      </c>
      <c r="E433" s="8" t="str">
        <f>"223.60"</f>
        <v>223.60</v>
      </c>
      <c r="F433" s="8"/>
      <c r="G433" s="3">
        <v>243.31</v>
      </c>
      <c r="H433" s="10"/>
      <c r="I433" s="8">
        <v>3</v>
      </c>
      <c r="J433" s="10">
        <v>2017</v>
      </c>
      <c r="K433" s="5" t="str">
        <f>"232.10"</f>
        <v>232.10</v>
      </c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 t="str">
        <f>"215.09"</f>
        <v>215.09</v>
      </c>
      <c r="W433" s="5" t="str">
        <f>"271.53"</f>
        <v>271.53</v>
      </c>
      <c r="X433" s="5"/>
      <c r="Y433" s="5"/>
      <c r="Z433" s="5"/>
      <c r="AA433" s="5"/>
      <c r="AB433" s="5"/>
      <c r="AC433" s="5"/>
      <c r="AD433" s="5"/>
    </row>
    <row r="434" spans="1:30" ht="13.5" customHeight="1">
      <c r="A434" s="8">
        <v>432</v>
      </c>
      <c r="B434" s="8">
        <v>5356</v>
      </c>
      <c r="C434" s="9" t="s">
        <v>723</v>
      </c>
      <c r="D434" s="8" t="s">
        <v>171</v>
      </c>
      <c r="E434" s="8" t="str">
        <f>"215.48"</f>
        <v>215.48</v>
      </c>
      <c r="F434" s="8"/>
      <c r="G434" s="3">
        <v>243.48</v>
      </c>
      <c r="H434" s="10" t="s">
        <v>18</v>
      </c>
      <c r="I434" s="8">
        <v>1</v>
      </c>
      <c r="J434" s="10">
        <v>2017</v>
      </c>
      <c r="K434" s="5" t="str">
        <f>"215.48"</f>
        <v>215.48</v>
      </c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13.5" customHeight="1">
      <c r="A435" s="8">
        <v>433</v>
      </c>
      <c r="B435" s="8">
        <v>4885</v>
      </c>
      <c r="C435" s="9" t="s">
        <v>638</v>
      </c>
      <c r="D435" s="8" t="s">
        <v>76</v>
      </c>
      <c r="E435" s="8" t="str">
        <f>"216.14"</f>
        <v>216.14</v>
      </c>
      <c r="F435" s="8"/>
      <c r="G435" s="3">
        <v>244.14</v>
      </c>
      <c r="H435" s="10" t="s">
        <v>18</v>
      </c>
      <c r="I435" s="8">
        <v>1</v>
      </c>
      <c r="J435" s="10">
        <v>2017</v>
      </c>
      <c r="K435" s="5" t="str">
        <f>"216.14"</f>
        <v>216.14</v>
      </c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13.5" customHeight="1">
      <c r="A436" s="8">
        <v>434</v>
      </c>
      <c r="B436" s="8">
        <v>10459</v>
      </c>
      <c r="C436" s="9" t="s">
        <v>436</v>
      </c>
      <c r="D436" s="8" t="s">
        <v>16</v>
      </c>
      <c r="E436" s="8" t="str">
        <f>"451.27"</f>
        <v>451.27</v>
      </c>
      <c r="F436" s="8"/>
      <c r="G436" s="3">
        <v>244.88</v>
      </c>
      <c r="H436" s="10" t="s">
        <v>12</v>
      </c>
      <c r="I436" s="8">
        <v>2</v>
      </c>
      <c r="J436" s="10">
        <v>2017</v>
      </c>
      <c r="K436" s="5" t="str">
        <f>"685.66"</f>
        <v>685.66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 t="str">
        <f>"216.88"</f>
        <v>216.88</v>
      </c>
      <c r="AD436" s="5"/>
    </row>
    <row r="437" spans="1:30" ht="13.5" customHeight="1">
      <c r="A437" s="8">
        <v>435</v>
      </c>
      <c r="B437" s="8">
        <v>10645</v>
      </c>
      <c r="C437" s="9" t="s">
        <v>466</v>
      </c>
      <c r="D437" s="8" t="s">
        <v>16</v>
      </c>
      <c r="E437" s="8" t="str">
        <f>"216.99"</f>
        <v>216.99</v>
      </c>
      <c r="F437" s="8"/>
      <c r="G437" s="3">
        <v>244.99</v>
      </c>
      <c r="H437" s="10" t="s">
        <v>18</v>
      </c>
      <c r="I437" s="8">
        <v>1</v>
      </c>
      <c r="J437" s="10">
        <v>2017</v>
      </c>
      <c r="K437" s="5" t="str">
        <f>"216.99"</f>
        <v>216.99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13.5" customHeight="1">
      <c r="A438" s="8">
        <v>436</v>
      </c>
      <c r="B438" s="8">
        <v>6656</v>
      </c>
      <c r="C438" s="9" t="s">
        <v>769</v>
      </c>
      <c r="D438" s="8" t="s">
        <v>770</v>
      </c>
      <c r="E438" s="8" t="str">
        <f>"217.02"</f>
        <v>217.02</v>
      </c>
      <c r="F438" s="8"/>
      <c r="G438" s="3">
        <v>245.02</v>
      </c>
      <c r="H438" s="10" t="s">
        <v>18</v>
      </c>
      <c r="I438" s="8">
        <v>1</v>
      </c>
      <c r="J438" s="10">
        <v>2018</v>
      </c>
      <c r="K438" s="5" t="str">
        <f>"217.02"</f>
        <v>217.02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13.5" customHeight="1">
      <c r="A439" s="8">
        <v>437</v>
      </c>
      <c r="B439" s="8">
        <v>6657</v>
      </c>
      <c r="C439" s="9" t="s">
        <v>713</v>
      </c>
      <c r="D439" s="8" t="s">
        <v>67</v>
      </c>
      <c r="E439" s="8" t="str">
        <f>"217.23"</f>
        <v>217.23</v>
      </c>
      <c r="F439" s="8"/>
      <c r="G439" s="3">
        <v>245.23</v>
      </c>
      <c r="H439" s="10" t="s">
        <v>18</v>
      </c>
      <c r="I439" s="8">
        <v>1</v>
      </c>
      <c r="J439" s="10">
        <v>2017</v>
      </c>
      <c r="K439" s="5" t="str">
        <f>"217.23"</f>
        <v>217.23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13.5" customHeight="1">
      <c r="A440" s="8">
        <v>438</v>
      </c>
      <c r="B440" s="8">
        <v>9765</v>
      </c>
      <c r="C440" s="9" t="s">
        <v>1189</v>
      </c>
      <c r="D440" s="8" t="s">
        <v>55</v>
      </c>
      <c r="E440" s="8" t="str">
        <f>"217.80"</f>
        <v>217.80</v>
      </c>
      <c r="F440" s="8"/>
      <c r="G440" s="3">
        <v>245.8</v>
      </c>
      <c r="H440" s="10" t="s">
        <v>18</v>
      </c>
      <c r="I440" s="8">
        <v>1</v>
      </c>
      <c r="J440" s="10">
        <v>2017</v>
      </c>
      <c r="K440" s="5" t="str">
        <f>"217.80"</f>
        <v>217.80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13.5" customHeight="1">
      <c r="A441" s="8">
        <v>439</v>
      </c>
      <c r="B441" s="8">
        <v>2329</v>
      </c>
      <c r="C441" s="9" t="s">
        <v>633</v>
      </c>
      <c r="D441" s="8" t="s">
        <v>24</v>
      </c>
      <c r="E441" s="8" t="str">
        <f>"222.06"</f>
        <v>222.06</v>
      </c>
      <c r="F441" s="8"/>
      <c r="G441" s="3">
        <v>246.05</v>
      </c>
      <c r="H441" s="10" t="s">
        <v>12</v>
      </c>
      <c r="I441" s="8">
        <v>2</v>
      </c>
      <c r="J441" s="10">
        <v>2017</v>
      </c>
      <c r="K441" s="5" t="str">
        <f>"226.06"</f>
        <v>226.06</v>
      </c>
      <c r="L441" s="5"/>
      <c r="M441" s="5"/>
      <c r="N441" s="5"/>
      <c r="O441" s="5" t="str">
        <f>"218.05"</f>
        <v>218.05</v>
      </c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13.5" customHeight="1">
      <c r="A442" s="8">
        <v>440</v>
      </c>
      <c r="B442" s="8">
        <v>4158</v>
      </c>
      <c r="C442" s="9" t="s">
        <v>50</v>
      </c>
      <c r="D442" s="8" t="s">
        <v>51</v>
      </c>
      <c r="E442" s="8" t="str">
        <f>"218.57"</f>
        <v>218.57</v>
      </c>
      <c r="F442" s="8"/>
      <c r="G442" s="3">
        <v>246.57</v>
      </c>
      <c r="H442" s="10" t="s">
        <v>18</v>
      </c>
      <c r="I442" s="8">
        <v>1</v>
      </c>
      <c r="J442" s="10">
        <v>2017</v>
      </c>
      <c r="K442" s="5" t="str">
        <f>"218.57"</f>
        <v>218.57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13.5" customHeight="1">
      <c r="A443" s="8">
        <v>441</v>
      </c>
      <c r="B443" s="8">
        <v>77</v>
      </c>
      <c r="C443" s="9" t="s">
        <v>707</v>
      </c>
      <c r="D443" s="8" t="s">
        <v>708</v>
      </c>
      <c r="E443" s="8" t="str">
        <f>"186.77"</f>
        <v>186.77</v>
      </c>
      <c r="F443" s="8"/>
      <c r="G443" s="3">
        <v>246.87</v>
      </c>
      <c r="H443" s="10"/>
      <c r="I443" s="8">
        <v>3</v>
      </c>
      <c r="J443" s="10">
        <v>2017</v>
      </c>
      <c r="K443" s="5" t="str">
        <f>"186.77"</f>
        <v>186.77</v>
      </c>
      <c r="L443" s="5"/>
      <c r="M443" s="5"/>
      <c r="N443" s="5"/>
      <c r="O443" s="5" t="str">
        <f>"215.92"</f>
        <v>215.92</v>
      </c>
      <c r="P443" s="5"/>
      <c r="Q443" s="5"/>
      <c r="R443" s="5"/>
      <c r="S443" s="5"/>
      <c r="T443" s="5" t="str">
        <f>"277.81"</f>
        <v>277.81</v>
      </c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13.5" customHeight="1">
      <c r="A444" s="8">
        <v>442</v>
      </c>
      <c r="B444" s="8">
        <v>6122</v>
      </c>
      <c r="C444" s="9" t="s">
        <v>766</v>
      </c>
      <c r="D444" s="8" t="s">
        <v>363</v>
      </c>
      <c r="E444" s="8" t="str">
        <f>"219.01"</f>
        <v>219.01</v>
      </c>
      <c r="F444" s="8"/>
      <c r="G444" s="3">
        <v>247.01</v>
      </c>
      <c r="H444" s="10" t="s">
        <v>18</v>
      </c>
      <c r="I444" s="8">
        <v>1</v>
      </c>
      <c r="J444" s="10">
        <v>2017</v>
      </c>
      <c r="K444" s="5" t="str">
        <f>"219.01"</f>
        <v>219.01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13.5" customHeight="1">
      <c r="A445" s="8">
        <v>443</v>
      </c>
      <c r="B445" s="8">
        <v>5337</v>
      </c>
      <c r="C445" s="9" t="s">
        <v>623</v>
      </c>
      <c r="D445" s="8" t="s">
        <v>131</v>
      </c>
      <c r="E445" s="8" t="str">
        <f>"247.65"</f>
        <v>247.65</v>
      </c>
      <c r="F445" s="8"/>
      <c r="G445" s="3">
        <v>247.65</v>
      </c>
      <c r="H445" s="10"/>
      <c r="I445" s="8">
        <v>3</v>
      </c>
      <c r="J445" s="10">
        <v>2018</v>
      </c>
      <c r="K445" s="5" t="str">
        <f>"301.75"</f>
        <v>301.75</v>
      </c>
      <c r="L445" s="5"/>
      <c r="M445" s="5"/>
      <c r="N445" s="5"/>
      <c r="O445" s="5"/>
      <c r="P445" s="5" t="str">
        <f>"284.49"</f>
        <v>284.49</v>
      </c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 t="str">
        <f>"210.81"</f>
        <v>210.81</v>
      </c>
      <c r="AC445" s="5"/>
      <c r="AD445" s="5"/>
    </row>
    <row r="446" spans="1:30" ht="13.5" customHeight="1">
      <c r="A446" s="8">
        <v>444</v>
      </c>
      <c r="B446" s="8">
        <v>2200</v>
      </c>
      <c r="C446" s="9" t="s">
        <v>697</v>
      </c>
      <c r="D446" s="8" t="s">
        <v>16</v>
      </c>
      <c r="E446" s="8" t="str">
        <f>"219.73"</f>
        <v>219.73</v>
      </c>
      <c r="F446" s="8"/>
      <c r="G446" s="3">
        <v>247.73</v>
      </c>
      <c r="H446" s="10" t="s">
        <v>18</v>
      </c>
      <c r="I446" s="8">
        <v>1</v>
      </c>
      <c r="J446" s="10">
        <v>2017</v>
      </c>
      <c r="K446" s="5" t="str">
        <f>"219.73"</f>
        <v>219.73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13.5" customHeight="1">
      <c r="A447" s="8">
        <v>445</v>
      </c>
      <c r="B447" s="8">
        <v>11254</v>
      </c>
      <c r="C447" s="9" t="s">
        <v>341</v>
      </c>
      <c r="D447" s="8" t="s">
        <v>16</v>
      </c>
      <c r="E447" s="8" t="str">
        <f>"247.82"</f>
        <v>247.82</v>
      </c>
      <c r="F447" s="8"/>
      <c r="G447" s="3">
        <v>247.82</v>
      </c>
      <c r="H447" s="10"/>
      <c r="I447" s="8">
        <v>5</v>
      </c>
      <c r="J447" s="10">
        <v>2017</v>
      </c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 t="str">
        <f>"242.58"</f>
        <v>242.58</v>
      </c>
      <c r="W447" s="5" t="str">
        <f>"253.05"</f>
        <v>253.05</v>
      </c>
      <c r="X447" s="5"/>
      <c r="Y447" s="5"/>
      <c r="Z447" s="5"/>
      <c r="AA447" s="5"/>
      <c r="AB447" s="5"/>
      <c r="AC447" s="5"/>
      <c r="AD447" s="5"/>
    </row>
    <row r="448" spans="1:30" ht="13.5" customHeight="1">
      <c r="A448" s="8">
        <v>446</v>
      </c>
      <c r="B448" s="8">
        <v>2671</v>
      </c>
      <c r="C448" s="9" t="s">
        <v>1139</v>
      </c>
      <c r="D448" s="8" t="s">
        <v>128</v>
      </c>
      <c r="E448" s="8" t="str">
        <f>"220.42"</f>
        <v>220.42</v>
      </c>
      <c r="F448" s="8"/>
      <c r="G448" s="3">
        <v>248.42</v>
      </c>
      <c r="H448" s="10" t="s">
        <v>18</v>
      </c>
      <c r="I448" s="8">
        <v>1</v>
      </c>
      <c r="J448" s="10">
        <v>2018</v>
      </c>
      <c r="K448" s="5" t="str">
        <f>"220.42"</f>
        <v>220.42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13.5" customHeight="1">
      <c r="A449" s="8">
        <v>447</v>
      </c>
      <c r="B449" s="8">
        <v>10400</v>
      </c>
      <c r="C449" s="9" t="s">
        <v>916</v>
      </c>
      <c r="D449" s="8" t="s">
        <v>29</v>
      </c>
      <c r="E449" s="8" t="str">
        <f>"443.63"</f>
        <v>443.63</v>
      </c>
      <c r="F449" s="8"/>
      <c r="G449" s="3">
        <v>249.23</v>
      </c>
      <c r="H449" s="10" t="s">
        <v>12</v>
      </c>
      <c r="I449" s="8">
        <v>2</v>
      </c>
      <c r="J449" s="10">
        <v>2017</v>
      </c>
      <c r="K449" s="5" t="str">
        <f>"666.03"</f>
        <v>666.03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 t="str">
        <f>"221.23"</f>
        <v>221.23</v>
      </c>
      <c r="AC449" s="5"/>
      <c r="AD449" s="5"/>
    </row>
    <row r="450" spans="1:30" ht="13.5" customHeight="1">
      <c r="A450" s="8">
        <v>448</v>
      </c>
      <c r="B450" s="8">
        <v>2625</v>
      </c>
      <c r="C450" s="9" t="s">
        <v>503</v>
      </c>
      <c r="D450" s="8" t="s">
        <v>504</v>
      </c>
      <c r="E450" s="8" t="str">
        <f>"208.87"</f>
        <v>208.87</v>
      </c>
      <c r="F450" s="8"/>
      <c r="G450" s="3">
        <v>249.76</v>
      </c>
      <c r="H450" s="10"/>
      <c r="I450" s="8">
        <v>3</v>
      </c>
      <c r="J450" s="10">
        <v>2017</v>
      </c>
      <c r="K450" s="5" t="str">
        <f>"208.87"</f>
        <v>208.87</v>
      </c>
      <c r="L450" s="5"/>
      <c r="M450" s="5"/>
      <c r="N450" s="5" t="str">
        <f>"260.97"</f>
        <v>260.97</v>
      </c>
      <c r="O450" s="5"/>
      <c r="P450" s="5"/>
      <c r="Q450" s="5"/>
      <c r="R450" s="5"/>
      <c r="S450" s="5"/>
      <c r="T450" s="5"/>
      <c r="U450" s="5"/>
      <c r="V450" s="5"/>
      <c r="W450" s="5"/>
      <c r="X450" s="5" t="str">
        <f>"238.55"</f>
        <v>238.55</v>
      </c>
      <c r="Y450" s="5"/>
      <c r="Z450" s="5"/>
      <c r="AA450" s="5"/>
      <c r="AB450" s="5"/>
      <c r="AC450" s="5"/>
      <c r="AD450" s="5"/>
    </row>
    <row r="451" spans="1:30" ht="13.5" customHeight="1">
      <c r="A451" s="8">
        <v>449</v>
      </c>
      <c r="B451" s="8">
        <v>8006</v>
      </c>
      <c r="C451" s="9" t="s">
        <v>678</v>
      </c>
      <c r="D451" s="8" t="s">
        <v>165</v>
      </c>
      <c r="E451" s="8" t="str">
        <f>"222.27"</f>
        <v>222.27</v>
      </c>
      <c r="F451" s="8"/>
      <c r="G451" s="3">
        <v>250.27</v>
      </c>
      <c r="H451" s="10" t="s">
        <v>18</v>
      </c>
      <c r="I451" s="8">
        <v>1</v>
      </c>
      <c r="J451" s="10">
        <v>2017</v>
      </c>
      <c r="K451" s="5" t="str">
        <f>"222.27"</f>
        <v>222.27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13.5" customHeight="1">
      <c r="A452" s="8">
        <v>450</v>
      </c>
      <c r="B452" s="8">
        <v>4846</v>
      </c>
      <c r="C452" s="9" t="s">
        <v>327</v>
      </c>
      <c r="D452" s="8" t="s">
        <v>67</v>
      </c>
      <c r="E452" s="8" t="str">
        <f>"250.54"</f>
        <v>250.54</v>
      </c>
      <c r="F452" s="8"/>
      <c r="G452" s="3">
        <v>250.54</v>
      </c>
      <c r="H452" s="10"/>
      <c r="I452" s="8">
        <v>3</v>
      </c>
      <c r="J452" s="10">
        <v>2017</v>
      </c>
      <c r="K452" s="5" t="str">
        <f>"300.29"</f>
        <v>300.29</v>
      </c>
      <c r="L452" s="5"/>
      <c r="M452" s="5"/>
      <c r="N452" s="5"/>
      <c r="O452" s="5"/>
      <c r="P452" s="5"/>
      <c r="Q452" s="5"/>
      <c r="R452" s="5"/>
      <c r="S452" s="5" t="str">
        <f>"221.30"</f>
        <v>221.30</v>
      </c>
      <c r="T452" s="5"/>
      <c r="U452" s="5"/>
      <c r="V452" s="5"/>
      <c r="W452" s="5"/>
      <c r="X452" s="5" t="str">
        <f>"279.77"</f>
        <v>279.77</v>
      </c>
      <c r="Y452" s="5"/>
      <c r="Z452" s="5"/>
      <c r="AA452" s="5"/>
      <c r="AB452" s="5"/>
      <c r="AC452" s="5"/>
      <c r="AD452" s="5"/>
    </row>
    <row r="453" spans="1:30" ht="13.5" customHeight="1">
      <c r="A453" s="8">
        <v>451</v>
      </c>
      <c r="B453" s="8">
        <v>10599</v>
      </c>
      <c r="C453" s="9" t="s">
        <v>671</v>
      </c>
      <c r="D453" s="8" t="s">
        <v>16</v>
      </c>
      <c r="E453" s="8" t="str">
        <f>"235.12"</f>
        <v>235.12</v>
      </c>
      <c r="F453" s="8"/>
      <c r="G453" s="3">
        <v>250.74</v>
      </c>
      <c r="H453" s="10"/>
      <c r="I453" s="8">
        <v>3</v>
      </c>
      <c r="J453" s="10">
        <v>2017</v>
      </c>
      <c r="K453" s="5" t="str">
        <f>"238.14"</f>
        <v>238.14</v>
      </c>
      <c r="L453" s="5" t="str">
        <f>"269.38"</f>
        <v>269.38</v>
      </c>
      <c r="M453" s="5" t="str">
        <f>"301.45"</f>
        <v>301.45</v>
      </c>
      <c r="N453" s="5"/>
      <c r="O453" s="5"/>
      <c r="P453" s="5"/>
      <c r="Q453" s="5"/>
      <c r="R453" s="5"/>
      <c r="S453" s="5"/>
      <c r="T453" s="5"/>
      <c r="U453" s="5"/>
      <c r="V453" s="5" t="str">
        <f>"232.10"</f>
        <v>232.10</v>
      </c>
      <c r="W453" s="5" t="str">
        <f>"299.29"</f>
        <v>299.29</v>
      </c>
      <c r="X453" s="5"/>
      <c r="Y453" s="5"/>
      <c r="Z453" s="5"/>
      <c r="AA453" s="5"/>
      <c r="AB453" s="5"/>
      <c r="AC453" s="5"/>
      <c r="AD453" s="5"/>
    </row>
    <row r="454" spans="1:30" ht="13.5" customHeight="1">
      <c r="A454" s="8">
        <v>452</v>
      </c>
      <c r="B454" s="8">
        <v>4167</v>
      </c>
      <c r="C454" s="9" t="s">
        <v>500</v>
      </c>
      <c r="D454" s="8" t="s">
        <v>501</v>
      </c>
      <c r="E454" s="8" t="str">
        <f>"223.83"</f>
        <v>223.83</v>
      </c>
      <c r="F454" s="8"/>
      <c r="G454" s="3">
        <v>251.83</v>
      </c>
      <c r="H454" s="10" t="s">
        <v>18</v>
      </c>
      <c r="I454" s="8">
        <v>1</v>
      </c>
      <c r="J454" s="10">
        <v>2017</v>
      </c>
      <c r="K454" s="5" t="str">
        <f>"223.83"</f>
        <v>223.83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13.5" customHeight="1">
      <c r="A455" s="8">
        <v>453</v>
      </c>
      <c r="B455" s="8">
        <v>6392</v>
      </c>
      <c r="C455" s="9" t="s">
        <v>810</v>
      </c>
      <c r="D455" s="8" t="s">
        <v>213</v>
      </c>
      <c r="E455" s="8" t="str">
        <f>"223.87"</f>
        <v>223.87</v>
      </c>
      <c r="F455" s="8"/>
      <c r="G455" s="3">
        <v>251.87</v>
      </c>
      <c r="H455" s="10" t="s">
        <v>18</v>
      </c>
      <c r="I455" s="8">
        <v>1</v>
      </c>
      <c r="J455" s="10">
        <v>2018</v>
      </c>
      <c r="K455" s="5" t="str">
        <f>"223.87"</f>
        <v>223.87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13.5" customHeight="1">
      <c r="A456" s="8">
        <v>454</v>
      </c>
      <c r="B456" s="8">
        <v>10969</v>
      </c>
      <c r="C456" s="9" t="s">
        <v>761</v>
      </c>
      <c r="D456" s="8" t="s">
        <v>22</v>
      </c>
      <c r="E456" s="8" t="str">
        <f>"237.75"</f>
        <v>237.75</v>
      </c>
      <c r="F456" s="8"/>
      <c r="G456" s="3">
        <v>252.39</v>
      </c>
      <c r="H456" s="10" t="s">
        <v>12</v>
      </c>
      <c r="I456" s="8">
        <v>2</v>
      </c>
      <c r="J456" s="10">
        <v>2017</v>
      </c>
      <c r="K456" s="5" t="str">
        <f>"251.10"</f>
        <v>251.10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 t="str">
        <f>"224.39"</f>
        <v>224.39</v>
      </c>
      <c r="Y456" s="5"/>
      <c r="Z456" s="5"/>
      <c r="AA456" s="5"/>
      <c r="AB456" s="5"/>
      <c r="AC456" s="5"/>
      <c r="AD456" s="5"/>
    </row>
    <row r="457" spans="1:30" ht="13.5" customHeight="1">
      <c r="A457" s="8">
        <v>455</v>
      </c>
      <c r="B457" s="8">
        <v>10467</v>
      </c>
      <c r="C457" s="9" t="s">
        <v>397</v>
      </c>
      <c r="D457" s="8" t="s">
        <v>29</v>
      </c>
      <c r="E457" s="8" t="str">
        <f>"252.59"</f>
        <v>252.59</v>
      </c>
      <c r="F457" s="8"/>
      <c r="G457" s="3">
        <v>252.59</v>
      </c>
      <c r="H457" s="10"/>
      <c r="I457" s="8">
        <v>3</v>
      </c>
      <c r="J457" s="10">
        <v>2017</v>
      </c>
      <c r="K457" s="5" t="str">
        <f>"849.76"</f>
        <v>849.76</v>
      </c>
      <c r="L457" s="5"/>
      <c r="M457" s="5"/>
      <c r="N457" s="5"/>
      <c r="O457" s="5"/>
      <c r="P457" s="5"/>
      <c r="Q457" s="5"/>
      <c r="R457" s="5"/>
      <c r="S457" s="5"/>
      <c r="T457" s="5"/>
      <c r="U457" s="5" t="str">
        <f>"635.12"</f>
        <v>635.12</v>
      </c>
      <c r="V457" s="5"/>
      <c r="W457" s="5"/>
      <c r="X457" s="5"/>
      <c r="Y457" s="5"/>
      <c r="Z457" s="5"/>
      <c r="AA457" s="5"/>
      <c r="AB457" s="5"/>
      <c r="AC457" s="5" t="str">
        <f>"268.85"</f>
        <v>268.85</v>
      </c>
      <c r="AD457" s="5" t="str">
        <f>"236.33"</f>
        <v>236.33</v>
      </c>
    </row>
    <row r="458" spans="1:30" ht="13.5" customHeight="1">
      <c r="A458" s="8">
        <v>456</v>
      </c>
      <c r="B458" s="8">
        <v>10292</v>
      </c>
      <c r="C458" s="9" t="s">
        <v>712</v>
      </c>
      <c r="D458" s="8" t="s">
        <v>76</v>
      </c>
      <c r="E458" s="8" t="str">
        <f>"225.23"</f>
        <v>225.23</v>
      </c>
      <c r="F458" s="8"/>
      <c r="G458" s="3">
        <v>253.23</v>
      </c>
      <c r="H458" s="10" t="s">
        <v>18</v>
      </c>
      <c r="I458" s="8">
        <v>1</v>
      </c>
      <c r="J458" s="10">
        <v>2017</v>
      </c>
      <c r="K458" s="5" t="str">
        <f>"225.23"</f>
        <v>225.23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ht="13.5" customHeight="1">
      <c r="A459" s="8">
        <v>457</v>
      </c>
      <c r="B459" s="8">
        <v>1970</v>
      </c>
      <c r="C459" s="9" t="s">
        <v>558</v>
      </c>
      <c r="D459" s="8" t="s">
        <v>289</v>
      </c>
      <c r="E459" s="8" t="str">
        <f>"214.74"</f>
        <v>214.74</v>
      </c>
      <c r="F459" s="8"/>
      <c r="G459" s="3">
        <v>253.5</v>
      </c>
      <c r="H459" s="10" t="s">
        <v>12</v>
      </c>
      <c r="I459" s="8">
        <v>2</v>
      </c>
      <c r="J459" s="10">
        <v>2017</v>
      </c>
      <c r="K459" s="5" t="str">
        <f>"214.74"</f>
        <v>214.74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 t="str">
        <f>"225.50"</f>
        <v>225.50</v>
      </c>
      <c r="Y459" s="5"/>
      <c r="Z459" s="5"/>
      <c r="AA459" s="5"/>
      <c r="AB459" s="5"/>
      <c r="AC459" s="5"/>
      <c r="AD459" s="5"/>
    </row>
    <row r="460" spans="1:30" ht="13.5" customHeight="1">
      <c r="A460" s="8">
        <v>458</v>
      </c>
      <c r="B460" s="8">
        <v>10578</v>
      </c>
      <c r="C460" s="9" t="s">
        <v>692</v>
      </c>
      <c r="D460" s="8" t="s">
        <v>16</v>
      </c>
      <c r="E460" s="8" t="str">
        <f>"225.91"</f>
        <v>225.91</v>
      </c>
      <c r="F460" s="8"/>
      <c r="G460" s="3">
        <v>253.91</v>
      </c>
      <c r="H460" s="10" t="s">
        <v>18</v>
      </c>
      <c r="I460" s="8">
        <v>1</v>
      </c>
      <c r="J460" s="10">
        <v>2017</v>
      </c>
      <c r="K460" s="5" t="str">
        <f>"225.91"</f>
        <v>225.91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ht="13.5" customHeight="1">
      <c r="A461" s="8">
        <v>459</v>
      </c>
      <c r="B461" s="8">
        <v>10714</v>
      </c>
      <c r="C461" s="9" t="s">
        <v>746</v>
      </c>
      <c r="D461" s="8" t="s">
        <v>190</v>
      </c>
      <c r="E461" s="8" t="str">
        <f>"226.28"</f>
        <v>226.28</v>
      </c>
      <c r="F461" s="8"/>
      <c r="G461" s="3">
        <v>254.28</v>
      </c>
      <c r="H461" s="10" t="s">
        <v>18</v>
      </c>
      <c r="I461" s="8">
        <v>1</v>
      </c>
      <c r="J461" s="10">
        <v>2017</v>
      </c>
      <c r="K461" s="5" t="str">
        <f>"226.28"</f>
        <v>226.28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ht="13.5" customHeight="1">
      <c r="A462" s="8">
        <v>460</v>
      </c>
      <c r="B462" s="8">
        <v>2018</v>
      </c>
      <c r="C462" s="9" t="s">
        <v>657</v>
      </c>
      <c r="D462" s="8" t="s">
        <v>103</v>
      </c>
      <c r="E462" s="8" t="str">
        <f>"226.55"</f>
        <v>226.55</v>
      </c>
      <c r="F462" s="8"/>
      <c r="G462" s="3">
        <v>254.55</v>
      </c>
      <c r="H462" s="10" t="s">
        <v>18</v>
      </c>
      <c r="I462" s="8">
        <v>1</v>
      </c>
      <c r="J462" s="10">
        <v>2017</v>
      </c>
      <c r="K462" s="5" t="str">
        <f>"226.55"</f>
        <v>226.55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ht="13.5" customHeight="1">
      <c r="A463" s="8">
        <v>461</v>
      </c>
      <c r="B463" s="8">
        <v>10616</v>
      </c>
      <c r="C463" s="9" t="s">
        <v>666</v>
      </c>
      <c r="D463" s="8" t="s">
        <v>16</v>
      </c>
      <c r="E463" s="8" t="str">
        <f>"247.49"</f>
        <v>247.49</v>
      </c>
      <c r="F463" s="8"/>
      <c r="G463" s="3">
        <v>254.79</v>
      </c>
      <c r="H463" s="10"/>
      <c r="I463" s="8">
        <v>3</v>
      </c>
      <c r="J463" s="10">
        <v>2017</v>
      </c>
      <c r="K463" s="5" t="str">
        <f>"263.66"</f>
        <v>263.66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 t="str">
        <f>"231.32"</f>
        <v>231.32</v>
      </c>
      <c r="W463" s="5" t="str">
        <f>"278.26"</f>
        <v>278.26</v>
      </c>
      <c r="X463" s="5"/>
      <c r="Y463" s="5"/>
      <c r="Z463" s="5"/>
      <c r="AA463" s="5"/>
      <c r="AB463" s="5"/>
      <c r="AC463" s="5"/>
      <c r="AD463" s="5"/>
    </row>
    <row r="464" spans="1:30" ht="13.5" customHeight="1">
      <c r="A464" s="8">
        <v>461</v>
      </c>
      <c r="B464" s="8">
        <v>8413</v>
      </c>
      <c r="C464" s="9" t="s">
        <v>570</v>
      </c>
      <c r="D464" s="8" t="s">
        <v>169</v>
      </c>
      <c r="E464" s="8" t="str">
        <f>"226.79"</f>
        <v>226.79</v>
      </c>
      <c r="F464" s="8"/>
      <c r="G464" s="3">
        <v>254.79</v>
      </c>
      <c r="H464" s="10" t="s">
        <v>18</v>
      </c>
      <c r="I464" s="8">
        <v>1</v>
      </c>
      <c r="J464" s="10">
        <v>2017</v>
      </c>
      <c r="K464" s="5" t="str">
        <f>"226.79"</f>
        <v>226.79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ht="13.5" customHeight="1">
      <c r="A465" s="8">
        <v>463</v>
      </c>
      <c r="B465" s="8">
        <v>503</v>
      </c>
      <c r="C465" s="9" t="s">
        <v>359</v>
      </c>
      <c r="D465" s="8" t="s">
        <v>169</v>
      </c>
      <c r="E465" s="8" t="str">
        <f>"248.95"</f>
        <v>248.95</v>
      </c>
      <c r="F465" s="8"/>
      <c r="G465" s="3">
        <v>255.22</v>
      </c>
      <c r="H465" s="10"/>
      <c r="I465" s="8">
        <v>3</v>
      </c>
      <c r="J465" s="10">
        <v>2017</v>
      </c>
      <c r="K465" s="5" t="str">
        <f>"260.53"</f>
        <v>260.53</v>
      </c>
      <c r="L465" s="5"/>
      <c r="M465" s="5"/>
      <c r="N465" s="5" t="str">
        <f>"273.06"</f>
        <v>273.06</v>
      </c>
      <c r="O465" s="5"/>
      <c r="P465" s="5"/>
      <c r="Q465" s="5"/>
      <c r="R465" s="5"/>
      <c r="S465" s="5"/>
      <c r="T465" s="5"/>
      <c r="U465" s="5"/>
      <c r="V465" s="5"/>
      <c r="W465" s="5"/>
      <c r="X465" s="5" t="str">
        <f>"237.37"</f>
        <v>237.37</v>
      </c>
      <c r="Y465" s="5"/>
      <c r="Z465" s="5"/>
      <c r="AA465" s="5"/>
      <c r="AB465" s="5"/>
      <c r="AC465" s="5"/>
      <c r="AD465" s="5"/>
    </row>
    <row r="466" spans="1:30" ht="13.5" customHeight="1">
      <c r="A466" s="8">
        <v>464</v>
      </c>
      <c r="B466" s="8">
        <v>2300</v>
      </c>
      <c r="C466" s="9" t="s">
        <v>573</v>
      </c>
      <c r="D466" s="8" t="s">
        <v>16</v>
      </c>
      <c r="E466" s="8" t="str">
        <f>"216.25"</f>
        <v>216.25</v>
      </c>
      <c r="F466" s="8"/>
      <c r="G466" s="3">
        <v>255.63</v>
      </c>
      <c r="H466" s="10"/>
      <c r="I466" s="8">
        <v>3</v>
      </c>
      <c r="J466" s="10">
        <v>2017</v>
      </c>
      <c r="K466" s="5" t="str">
        <f>"216.25"</f>
        <v>216.25</v>
      </c>
      <c r="L466" s="5"/>
      <c r="M466" s="5" t="str">
        <f>"233.30"</f>
        <v>233.30</v>
      </c>
      <c r="N466" s="5"/>
      <c r="O466" s="5"/>
      <c r="P466" s="5"/>
      <c r="Q466" s="5"/>
      <c r="R466" s="5"/>
      <c r="S466" s="5"/>
      <c r="T466" s="5"/>
      <c r="U466" s="5"/>
      <c r="V466" s="5"/>
      <c r="W466" s="5" t="str">
        <f>"277.95"</f>
        <v>277.95</v>
      </c>
      <c r="X466" s="5"/>
      <c r="Y466" s="5"/>
      <c r="Z466" s="5"/>
      <c r="AA466" s="5"/>
      <c r="AB466" s="5"/>
      <c r="AC466" s="5"/>
      <c r="AD466" s="5"/>
    </row>
    <row r="467" spans="1:30" ht="13.5" customHeight="1">
      <c r="A467" s="8">
        <v>465</v>
      </c>
      <c r="B467" s="8">
        <v>3026</v>
      </c>
      <c r="C467" s="9" t="s">
        <v>454</v>
      </c>
      <c r="D467" s="8" t="s">
        <v>302</v>
      </c>
      <c r="E467" s="8" t="str">
        <f>"227.81"</f>
        <v>227.81</v>
      </c>
      <c r="F467" s="8"/>
      <c r="G467" s="3">
        <v>255.81</v>
      </c>
      <c r="H467" s="10" t="s">
        <v>18</v>
      </c>
      <c r="I467" s="8">
        <v>1</v>
      </c>
      <c r="J467" s="10">
        <v>2017</v>
      </c>
      <c r="K467" s="5" t="str">
        <f>"227.81"</f>
        <v>227.81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ht="13.5" customHeight="1">
      <c r="A468" s="8">
        <v>466</v>
      </c>
      <c r="B468" s="8">
        <v>11289</v>
      </c>
      <c r="C468" s="9" t="s">
        <v>375</v>
      </c>
      <c r="D468" s="8" t="s">
        <v>16</v>
      </c>
      <c r="E468" s="8" t="str">
        <f>"255.90"</f>
        <v>255.90</v>
      </c>
      <c r="F468" s="8"/>
      <c r="G468" s="3">
        <v>255.9</v>
      </c>
      <c r="H468" s="10"/>
      <c r="I468" s="8">
        <v>5</v>
      </c>
      <c r="J468" s="10">
        <v>2017</v>
      </c>
      <c r="K468" s="5"/>
      <c r="L468" s="5" t="str">
        <f>"444.61"</f>
        <v>444.61</v>
      </c>
      <c r="M468" s="5" t="str">
        <f>"408.98"</f>
        <v>408.98</v>
      </c>
      <c r="N468" s="5"/>
      <c r="O468" s="5"/>
      <c r="P468" s="5"/>
      <c r="Q468" s="5"/>
      <c r="R468" s="5"/>
      <c r="S468" s="5"/>
      <c r="T468" s="5"/>
      <c r="U468" s="5"/>
      <c r="V468" s="5" t="str">
        <f>"299.13"</f>
        <v>299.13</v>
      </c>
      <c r="W468" s="5" t="str">
        <f>"339.80"</f>
        <v>339.80</v>
      </c>
      <c r="X468" s="5"/>
      <c r="Y468" s="5"/>
      <c r="Z468" s="5"/>
      <c r="AA468" s="5"/>
      <c r="AB468" s="5"/>
      <c r="AC468" s="5" t="str">
        <f>"275.53"</f>
        <v>275.53</v>
      </c>
      <c r="AD468" s="5" t="str">
        <f>"236.26"</f>
        <v>236.26</v>
      </c>
    </row>
    <row r="469" spans="1:30" ht="13.5" customHeight="1">
      <c r="A469" s="8">
        <v>467</v>
      </c>
      <c r="B469" s="8">
        <v>11429</v>
      </c>
      <c r="C469" s="9" t="s">
        <v>326</v>
      </c>
      <c r="D469" s="8" t="s">
        <v>16</v>
      </c>
      <c r="E469" s="8" t="str">
        <f>"256.22"</f>
        <v>256.22</v>
      </c>
      <c r="F469" s="8"/>
      <c r="G469" s="3">
        <v>256.22000000000003</v>
      </c>
      <c r="H469" s="10" t="s">
        <v>12</v>
      </c>
      <c r="I469" s="8">
        <v>4</v>
      </c>
      <c r="J469" s="10">
        <v>2017</v>
      </c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 t="str">
        <f>"228.22"</f>
        <v>228.22</v>
      </c>
      <c r="AD469" s="5"/>
    </row>
    <row r="470" spans="1:30" ht="13.5" customHeight="1">
      <c r="A470" s="8">
        <v>468</v>
      </c>
      <c r="B470" s="8">
        <v>10135</v>
      </c>
      <c r="C470" s="9" t="s">
        <v>611</v>
      </c>
      <c r="D470" s="8" t="s">
        <v>16</v>
      </c>
      <c r="E470" s="8" t="str">
        <f>"256.26"</f>
        <v>256.26</v>
      </c>
      <c r="F470" s="8"/>
      <c r="G470" s="3">
        <v>256.26</v>
      </c>
      <c r="H470" s="10"/>
      <c r="I470" s="8">
        <v>3</v>
      </c>
      <c r="J470" s="10">
        <v>2017</v>
      </c>
      <c r="K470" s="5" t="str">
        <f>"716.90"</f>
        <v>716.90</v>
      </c>
      <c r="L470" s="5" t="str">
        <f>"434.93"</f>
        <v>434.93</v>
      </c>
      <c r="M470" s="5" t="str">
        <f>"424.18"</f>
        <v>424.18</v>
      </c>
      <c r="N470" s="5"/>
      <c r="O470" s="5"/>
      <c r="P470" s="5"/>
      <c r="Q470" s="5"/>
      <c r="R470" s="5"/>
      <c r="S470" s="5"/>
      <c r="T470" s="5"/>
      <c r="U470" s="5"/>
      <c r="V470" s="5" t="str">
        <f>"244.24"</f>
        <v>244.24</v>
      </c>
      <c r="W470" s="5" t="str">
        <f>"327.43"</f>
        <v>327.43</v>
      </c>
      <c r="X470" s="5"/>
      <c r="Y470" s="5"/>
      <c r="Z470" s="5"/>
      <c r="AA470" s="5"/>
      <c r="AB470" s="5"/>
      <c r="AC470" s="5" t="str">
        <f>"270.50"</f>
        <v>270.50</v>
      </c>
      <c r="AD470" s="5" t="str">
        <f>"268.28"</f>
        <v>268.28</v>
      </c>
    </row>
    <row r="471" spans="1:30" ht="13.5" customHeight="1">
      <c r="A471" s="8">
        <v>469</v>
      </c>
      <c r="B471" s="8">
        <v>2577</v>
      </c>
      <c r="C471" s="9" t="s">
        <v>857</v>
      </c>
      <c r="D471" s="8" t="s">
        <v>487</v>
      </c>
      <c r="E471" s="8" t="str">
        <f>"219.87"</f>
        <v>219.87</v>
      </c>
      <c r="F471" s="8"/>
      <c r="G471" s="3">
        <v>256.55</v>
      </c>
      <c r="H471" s="10"/>
      <c r="I471" s="8">
        <v>3</v>
      </c>
      <c r="J471" s="10">
        <v>2017</v>
      </c>
      <c r="K471" s="5" t="str">
        <f>"246.46"</f>
        <v>246.46</v>
      </c>
      <c r="L471" s="5"/>
      <c r="M471" s="5"/>
      <c r="N471" s="5"/>
      <c r="O471" s="5"/>
      <c r="P471" s="5"/>
      <c r="Q471" s="5"/>
      <c r="R471" s="5"/>
      <c r="S471" s="5"/>
      <c r="T471" s="5" t="str">
        <f>"193.28"</f>
        <v>193.28</v>
      </c>
      <c r="U471" s="5"/>
      <c r="V471" s="5"/>
      <c r="W471" s="5"/>
      <c r="X471" s="5"/>
      <c r="Y471" s="5"/>
      <c r="Z471" s="5"/>
      <c r="AA471" s="5" t="str">
        <f>"319.81"</f>
        <v>319.81</v>
      </c>
      <c r="AB471" s="5"/>
      <c r="AC471" s="5"/>
      <c r="AD471" s="5"/>
    </row>
    <row r="472" spans="1:30" ht="13.5" customHeight="1">
      <c r="A472" s="8">
        <v>470</v>
      </c>
      <c r="B472" s="8">
        <v>2146</v>
      </c>
      <c r="C472" s="9" t="s">
        <v>858</v>
      </c>
      <c r="D472" s="8" t="s">
        <v>489</v>
      </c>
      <c r="E472" s="8" t="str">
        <f>"228.95"</f>
        <v>228.95</v>
      </c>
      <c r="F472" s="8"/>
      <c r="G472" s="3">
        <v>256.95</v>
      </c>
      <c r="H472" s="10" t="s">
        <v>18</v>
      </c>
      <c r="I472" s="8">
        <v>1</v>
      </c>
      <c r="J472" s="10">
        <v>2017</v>
      </c>
      <c r="K472" s="5" t="str">
        <f>"228.95"</f>
        <v>228.95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ht="13.5" customHeight="1">
      <c r="A473" s="8">
        <v>471</v>
      </c>
      <c r="B473" s="8">
        <v>1546</v>
      </c>
      <c r="C473" s="9" t="s">
        <v>483</v>
      </c>
      <c r="D473" s="8" t="s">
        <v>117</v>
      </c>
      <c r="E473" s="8" t="str">
        <f>"229.29"</f>
        <v>229.29</v>
      </c>
      <c r="F473" s="8"/>
      <c r="G473" s="3">
        <v>257.29000000000002</v>
      </c>
      <c r="H473" s="10" t="s">
        <v>18</v>
      </c>
      <c r="I473" s="8">
        <v>1</v>
      </c>
      <c r="J473" s="10">
        <v>2017</v>
      </c>
      <c r="K473" s="5" t="str">
        <f>"229.29"</f>
        <v>229.29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ht="13.5" customHeight="1">
      <c r="A474" s="8">
        <v>472</v>
      </c>
      <c r="B474" s="8">
        <v>10691</v>
      </c>
      <c r="C474" s="9" t="s">
        <v>310</v>
      </c>
      <c r="D474" s="8" t="s">
        <v>29</v>
      </c>
      <c r="E474" s="8" t="str">
        <f>"251.27"</f>
        <v>251.27</v>
      </c>
      <c r="F474" s="8"/>
      <c r="G474" s="3">
        <v>257.54000000000002</v>
      </c>
      <c r="H474" s="10"/>
      <c r="I474" s="8">
        <v>3</v>
      </c>
      <c r="J474" s="10">
        <v>2017</v>
      </c>
      <c r="K474" s="5" t="str">
        <f>"309.41"</f>
        <v>309.41</v>
      </c>
      <c r="L474" s="5"/>
      <c r="M474" s="5"/>
      <c r="N474" s="5"/>
      <c r="O474" s="5"/>
      <c r="P474" s="5"/>
      <c r="Q474" s="5"/>
      <c r="R474" s="5" t="str">
        <f>"321.94"</f>
        <v>321.94</v>
      </c>
      <c r="S474" s="5"/>
      <c r="T474" s="5"/>
      <c r="U474" s="5" t="str">
        <f>"436.80"</f>
        <v>436.80</v>
      </c>
      <c r="V474" s="5"/>
      <c r="W474" s="5"/>
      <c r="X474" s="5" t="str">
        <f>"193.13"</f>
        <v>193.13</v>
      </c>
      <c r="Y474" s="5"/>
      <c r="Z474" s="5"/>
      <c r="AA474" s="5"/>
      <c r="AB474" s="5"/>
      <c r="AC474" s="5"/>
      <c r="AD474" s="5"/>
    </row>
    <row r="475" spans="1:30" ht="13.5" customHeight="1">
      <c r="A475" s="8">
        <v>473</v>
      </c>
      <c r="B475" s="8">
        <v>10515</v>
      </c>
      <c r="C475" s="9" t="s">
        <v>1137</v>
      </c>
      <c r="D475" s="8" t="s">
        <v>391</v>
      </c>
      <c r="E475" s="8" t="str">
        <f>"229.55"</f>
        <v>229.55</v>
      </c>
      <c r="F475" s="8"/>
      <c r="G475" s="3">
        <v>257.55</v>
      </c>
      <c r="H475" s="10" t="s">
        <v>18</v>
      </c>
      <c r="I475" s="8">
        <v>1</v>
      </c>
      <c r="J475" s="10">
        <v>2018</v>
      </c>
      <c r="K475" s="5" t="str">
        <f>"229.55"</f>
        <v>229.55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ht="13.5" customHeight="1">
      <c r="A476" s="8">
        <v>474</v>
      </c>
      <c r="B476" s="8">
        <v>5144</v>
      </c>
      <c r="C476" s="9" t="s">
        <v>539</v>
      </c>
      <c r="D476" s="8" t="s">
        <v>420</v>
      </c>
      <c r="E476" s="8" t="str">
        <f>"230.42"</f>
        <v>230.42</v>
      </c>
      <c r="F476" s="8"/>
      <c r="G476" s="3">
        <v>258.42</v>
      </c>
      <c r="H476" s="10" t="s">
        <v>18</v>
      </c>
      <c r="I476" s="8">
        <v>1</v>
      </c>
      <c r="J476" s="10">
        <v>2017</v>
      </c>
      <c r="K476" s="5" t="str">
        <f>"230.42"</f>
        <v>230.42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ht="13.5" customHeight="1">
      <c r="A477" s="8">
        <v>475</v>
      </c>
      <c r="B477" s="8">
        <v>8332</v>
      </c>
      <c r="C477" s="9" t="s">
        <v>455</v>
      </c>
      <c r="D477" s="8" t="s">
        <v>76</v>
      </c>
      <c r="E477" s="8" t="str">
        <f>"158.60"</f>
        <v>158.60</v>
      </c>
      <c r="F477" s="8"/>
      <c r="G477" s="3">
        <v>258.88</v>
      </c>
      <c r="H477" s="10" t="s">
        <v>12</v>
      </c>
      <c r="I477" s="8">
        <v>2</v>
      </c>
      <c r="J477" s="10">
        <v>2017</v>
      </c>
      <c r="K477" s="5" t="str">
        <f>"158.60"</f>
        <v>158.60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 t="str">
        <f>"230.88"</f>
        <v>230.88</v>
      </c>
      <c r="Z477" s="5"/>
      <c r="AA477" s="5"/>
      <c r="AB477" s="5"/>
      <c r="AC477" s="5"/>
      <c r="AD477" s="5"/>
    </row>
    <row r="478" spans="1:30" ht="13.5" customHeight="1">
      <c r="A478" s="8">
        <v>476</v>
      </c>
      <c r="B478" s="8">
        <v>10226</v>
      </c>
      <c r="C478" s="9" t="s">
        <v>328</v>
      </c>
      <c r="D478" s="8" t="s">
        <v>164</v>
      </c>
      <c r="E478" s="8" t="str">
        <f>"231.18"</f>
        <v>231.18</v>
      </c>
      <c r="F478" s="8"/>
      <c r="G478" s="3">
        <v>259.18</v>
      </c>
      <c r="H478" s="10" t="s">
        <v>18</v>
      </c>
      <c r="I478" s="8">
        <v>1</v>
      </c>
      <c r="J478" s="10">
        <v>2017</v>
      </c>
      <c r="K478" s="5" t="str">
        <f>"231.18"</f>
        <v>231.18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ht="13.5" customHeight="1">
      <c r="A479" s="8">
        <v>477</v>
      </c>
      <c r="B479" s="8">
        <v>3093</v>
      </c>
      <c r="C479" s="9" t="s">
        <v>721</v>
      </c>
      <c r="D479" s="8" t="s">
        <v>722</v>
      </c>
      <c r="E479" s="8" t="str">
        <f>"231.43"</f>
        <v>231.43</v>
      </c>
      <c r="F479" s="8"/>
      <c r="G479" s="3">
        <v>259.43</v>
      </c>
      <c r="H479" s="10" t="s">
        <v>18</v>
      </c>
      <c r="I479" s="8">
        <v>1</v>
      </c>
      <c r="J479" s="10">
        <v>2017</v>
      </c>
      <c r="K479" s="5" t="str">
        <f>"231.43"</f>
        <v>231.43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ht="13.5" customHeight="1">
      <c r="A480" s="8">
        <v>478</v>
      </c>
      <c r="B480" s="8">
        <v>10854</v>
      </c>
      <c r="C480" s="9" t="s">
        <v>641</v>
      </c>
      <c r="D480" s="8" t="s">
        <v>16</v>
      </c>
      <c r="E480" s="8" t="str">
        <f>"259.73"</f>
        <v>259.73</v>
      </c>
      <c r="F480" s="8"/>
      <c r="G480" s="3">
        <v>259.73</v>
      </c>
      <c r="H480" s="10"/>
      <c r="I480" s="8">
        <v>3</v>
      </c>
      <c r="J480" s="10">
        <v>2017</v>
      </c>
      <c r="K480" s="5" t="str">
        <f>"355.78"</f>
        <v>355.78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 t="str">
        <f>"269.46"</f>
        <v>269.46</v>
      </c>
      <c r="W480" s="5" t="str">
        <f>"359.98"</f>
        <v>359.98</v>
      </c>
      <c r="X480" s="5"/>
      <c r="Y480" s="5"/>
      <c r="Z480" s="5"/>
      <c r="AA480" s="5"/>
      <c r="AB480" s="5"/>
      <c r="AC480" s="5" t="str">
        <f>"258.24"</f>
        <v>258.24</v>
      </c>
      <c r="AD480" s="5" t="str">
        <f>"261.22"</f>
        <v>261.22</v>
      </c>
    </row>
    <row r="481" spans="1:30" ht="13.5" customHeight="1">
      <c r="A481" s="8">
        <v>479</v>
      </c>
      <c r="B481" s="8">
        <v>8363</v>
      </c>
      <c r="C481" s="9" t="s">
        <v>830</v>
      </c>
      <c r="D481" s="8" t="s">
        <v>40</v>
      </c>
      <c r="E481" s="8" t="str">
        <f>"246.03"</f>
        <v>246.03</v>
      </c>
      <c r="F481" s="8"/>
      <c r="G481" s="3">
        <v>260.02999999999997</v>
      </c>
      <c r="H481" s="10" t="s">
        <v>1242</v>
      </c>
      <c r="I481" s="8">
        <v>1</v>
      </c>
      <c r="J481" s="10">
        <v>2017</v>
      </c>
      <c r="K481" s="5" t="str">
        <f>"246.03"</f>
        <v>246.03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ht="13.5" customHeight="1">
      <c r="A482" s="8">
        <v>480</v>
      </c>
      <c r="B482" s="8">
        <v>2319</v>
      </c>
      <c r="C482" s="9" t="s">
        <v>651</v>
      </c>
      <c r="D482" s="8" t="s">
        <v>16</v>
      </c>
      <c r="E482" s="8" t="str">
        <f>"252.00"</f>
        <v>252.00</v>
      </c>
      <c r="F482" s="8"/>
      <c r="G482" s="3">
        <v>260.18</v>
      </c>
      <c r="H482" s="10"/>
      <c r="I482" s="8">
        <v>3</v>
      </c>
      <c r="J482" s="10">
        <v>2017</v>
      </c>
      <c r="K482" s="5" t="str">
        <f>"267.37"</f>
        <v>267.37</v>
      </c>
      <c r="L482" s="5" t="str">
        <f>"236.63"</f>
        <v>236.63</v>
      </c>
      <c r="M482" s="5" t="str">
        <f>"283.73"</f>
        <v>283.73</v>
      </c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ht="13.5" customHeight="1">
      <c r="A483" s="8">
        <v>481</v>
      </c>
      <c r="B483" s="8">
        <v>7864</v>
      </c>
      <c r="C483" s="9" t="s">
        <v>493</v>
      </c>
      <c r="D483" s="8" t="s">
        <v>131</v>
      </c>
      <c r="E483" s="8" t="str">
        <f>"232.42"</f>
        <v>232.42</v>
      </c>
      <c r="F483" s="8"/>
      <c r="G483" s="3">
        <v>260.42</v>
      </c>
      <c r="H483" s="10" t="s">
        <v>18</v>
      </c>
      <c r="I483" s="8">
        <v>1</v>
      </c>
      <c r="J483" s="10">
        <v>2018</v>
      </c>
      <c r="K483" s="5" t="str">
        <f>"232.42"</f>
        <v>232.42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ht="13.5" customHeight="1">
      <c r="A484" s="8">
        <v>482</v>
      </c>
      <c r="B484" s="8">
        <v>10671</v>
      </c>
      <c r="C484" s="9" t="s">
        <v>415</v>
      </c>
      <c r="D484" s="8" t="s">
        <v>352</v>
      </c>
      <c r="E484" s="8" t="str">
        <f>"232.95"</f>
        <v>232.95</v>
      </c>
      <c r="F484" s="8"/>
      <c r="G484" s="3">
        <v>260.95</v>
      </c>
      <c r="H484" s="10" t="s">
        <v>18</v>
      </c>
      <c r="I484" s="8">
        <v>1</v>
      </c>
      <c r="J484" s="10">
        <v>2017</v>
      </c>
      <c r="K484" s="5" t="str">
        <f>"232.95"</f>
        <v>232.95</v>
      </c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ht="13.5" customHeight="1">
      <c r="A485" s="8">
        <v>483</v>
      </c>
      <c r="B485" s="8">
        <v>10424</v>
      </c>
      <c r="C485" s="9" t="s">
        <v>315</v>
      </c>
      <c r="D485" s="8" t="s">
        <v>29</v>
      </c>
      <c r="E485" s="8" t="str">
        <f>"261.15"</f>
        <v>261.15</v>
      </c>
      <c r="F485" s="8"/>
      <c r="G485" s="3">
        <v>261.14999999999998</v>
      </c>
      <c r="H485" s="10"/>
      <c r="I485" s="8">
        <v>3</v>
      </c>
      <c r="J485" s="10">
        <v>2017</v>
      </c>
      <c r="K485" s="5" t="str">
        <f>"562.76"</f>
        <v>562.76</v>
      </c>
      <c r="L485" s="5"/>
      <c r="M485" s="5"/>
      <c r="N485" s="5"/>
      <c r="O485" s="5"/>
      <c r="P485" s="5"/>
      <c r="Q485" s="5"/>
      <c r="R485" s="5"/>
      <c r="S485" s="5"/>
      <c r="T485" s="5"/>
      <c r="U485" s="5" t="str">
        <f>"414.16"</f>
        <v>414.16</v>
      </c>
      <c r="V485" s="5"/>
      <c r="W485" s="5"/>
      <c r="X485" s="5"/>
      <c r="Y485" s="5" t="str">
        <f>"882.67"</f>
        <v>882.67</v>
      </c>
      <c r="Z485" s="5"/>
      <c r="AA485" s="5"/>
      <c r="AB485" s="5"/>
      <c r="AC485" s="5" t="str">
        <f>"273.70"</f>
        <v>273.70</v>
      </c>
      <c r="AD485" s="5" t="str">
        <f>"248.60"</f>
        <v>248.60</v>
      </c>
    </row>
    <row r="486" spans="1:30" ht="13.5" customHeight="1">
      <c r="A486" s="8">
        <v>484</v>
      </c>
      <c r="B486" s="8">
        <v>1880</v>
      </c>
      <c r="C486" s="9" t="s">
        <v>166</v>
      </c>
      <c r="D486" s="8" t="s">
        <v>167</v>
      </c>
      <c r="E486" s="8" t="str">
        <f>"200.08"</f>
        <v>200.08</v>
      </c>
      <c r="F486" s="8"/>
      <c r="G486" s="3">
        <v>261.60000000000002</v>
      </c>
      <c r="H486" s="10" t="s">
        <v>12</v>
      </c>
      <c r="I486" s="8">
        <v>2</v>
      </c>
      <c r="J486" s="10">
        <v>2017</v>
      </c>
      <c r="K486" s="5" t="str">
        <f>"200.08"</f>
        <v>200.08</v>
      </c>
      <c r="L486" s="5"/>
      <c r="M486" s="5"/>
      <c r="N486" s="5" t="str">
        <f>"233.60"</f>
        <v>233.60</v>
      </c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ht="13.5" customHeight="1">
      <c r="A487" s="8">
        <v>485</v>
      </c>
      <c r="B487" s="8">
        <v>10344</v>
      </c>
      <c r="C487" s="9" t="s">
        <v>693</v>
      </c>
      <c r="D487" s="8" t="s">
        <v>16</v>
      </c>
      <c r="E487" s="8" t="str">
        <f>"261.64"</f>
        <v>261.64</v>
      </c>
      <c r="F487" s="8"/>
      <c r="G487" s="3">
        <v>261.64</v>
      </c>
      <c r="H487" s="10"/>
      <c r="I487" s="8">
        <v>3</v>
      </c>
      <c r="J487" s="10">
        <v>2017</v>
      </c>
      <c r="K487" s="5" t="str">
        <f>"383.02"</f>
        <v>383.02</v>
      </c>
      <c r="L487" s="5" t="str">
        <f>"286.21"</f>
        <v>286.21</v>
      </c>
      <c r="M487" s="5" t="str">
        <f>"265.51"</f>
        <v>265.51</v>
      </c>
      <c r="N487" s="5"/>
      <c r="O487" s="5"/>
      <c r="P487" s="5"/>
      <c r="Q487" s="5"/>
      <c r="R487" s="5"/>
      <c r="S487" s="5"/>
      <c r="T487" s="5"/>
      <c r="U487" s="5"/>
      <c r="V487" s="5" t="str">
        <f>"257.76"</f>
        <v>257.76</v>
      </c>
      <c r="W487" s="5" t="str">
        <f>"303.54"</f>
        <v>303.54</v>
      </c>
      <c r="X487" s="5"/>
      <c r="Y487" s="5"/>
      <c r="Z487" s="5"/>
      <c r="AA487" s="5"/>
      <c r="AB487" s="5"/>
      <c r="AC487" s="5"/>
      <c r="AD487" s="5"/>
    </row>
    <row r="488" spans="1:30" ht="13.5" customHeight="1">
      <c r="A488" s="8">
        <v>486</v>
      </c>
      <c r="B488" s="8">
        <v>2242</v>
      </c>
      <c r="C488" s="9" t="s">
        <v>438</v>
      </c>
      <c r="D488" s="8" t="s">
        <v>16</v>
      </c>
      <c r="E488" s="8" t="str">
        <f>"108.22"</f>
        <v>108.22</v>
      </c>
      <c r="F488" s="8"/>
      <c r="G488" s="3">
        <v>263.02999999999997</v>
      </c>
      <c r="H488" s="10"/>
      <c r="I488" s="8">
        <v>3</v>
      </c>
      <c r="J488" s="10">
        <v>2017</v>
      </c>
      <c r="K488" s="5" t="str">
        <f>"108.22"</f>
        <v>108.22</v>
      </c>
      <c r="L488" s="5"/>
      <c r="M488" s="5" t="str">
        <f>"220.96"</f>
        <v>220.96</v>
      </c>
      <c r="N488" s="5"/>
      <c r="O488" s="5"/>
      <c r="P488" s="5"/>
      <c r="Q488" s="5"/>
      <c r="R488" s="5"/>
      <c r="S488" s="5"/>
      <c r="T488" s="5"/>
      <c r="U488" s="5"/>
      <c r="V488" s="5"/>
      <c r="W488" s="5" t="str">
        <f>"305.09"</f>
        <v>305.09</v>
      </c>
      <c r="X488" s="5"/>
      <c r="Y488" s="5"/>
      <c r="Z488" s="5"/>
      <c r="AA488" s="5"/>
      <c r="AB488" s="5"/>
      <c r="AC488" s="5"/>
      <c r="AD488" s="5"/>
    </row>
    <row r="489" spans="1:30" ht="13.5" customHeight="1">
      <c r="A489" s="8">
        <v>487</v>
      </c>
      <c r="B489" s="8">
        <v>3637</v>
      </c>
      <c r="C489" s="9" t="s">
        <v>834</v>
      </c>
      <c r="D489" s="8" t="s">
        <v>391</v>
      </c>
      <c r="E489" s="8" t="str">
        <f>"183.66"</f>
        <v>183.66</v>
      </c>
      <c r="F489" s="8"/>
      <c r="G489" s="3">
        <v>263.95999999999998</v>
      </c>
      <c r="H489" s="10" t="s">
        <v>12</v>
      </c>
      <c r="I489" s="8">
        <v>2</v>
      </c>
      <c r="J489" s="10">
        <v>2018</v>
      </c>
      <c r="K489" s="5" t="str">
        <f>"183.66"</f>
        <v>183.66</v>
      </c>
      <c r="L489" s="5"/>
      <c r="M489" s="5"/>
      <c r="N489" s="5"/>
      <c r="O489" s="5" t="str">
        <f>"235.96"</f>
        <v>235.96</v>
      </c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ht="13.5" customHeight="1">
      <c r="A490" s="8">
        <v>488</v>
      </c>
      <c r="B490" s="8">
        <v>2769</v>
      </c>
      <c r="C490" s="9" t="s">
        <v>464</v>
      </c>
      <c r="D490" s="8" t="s">
        <v>117</v>
      </c>
      <c r="E490" s="8" t="str">
        <f>"137.86"</f>
        <v>137.86</v>
      </c>
      <c r="F490" s="8"/>
      <c r="G490" s="3">
        <v>264.63</v>
      </c>
      <c r="H490" s="10" t="s">
        <v>12</v>
      </c>
      <c r="I490" s="8">
        <v>2</v>
      </c>
      <c r="J490" s="10">
        <v>2017</v>
      </c>
      <c r="K490" s="5" t="str">
        <f>"137.86"</f>
        <v>137.86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 t="str">
        <f>"236.63"</f>
        <v>236.63</v>
      </c>
      <c r="Y490" s="5"/>
      <c r="Z490" s="5"/>
      <c r="AA490" s="5"/>
      <c r="AB490" s="5"/>
      <c r="AC490" s="5"/>
      <c r="AD490" s="5"/>
    </row>
    <row r="491" spans="1:30" ht="13.5" customHeight="1">
      <c r="A491" s="8">
        <v>489</v>
      </c>
      <c r="B491" s="8">
        <v>2638</v>
      </c>
      <c r="C491" s="9" t="s">
        <v>550</v>
      </c>
      <c r="D491" s="8" t="s">
        <v>67</v>
      </c>
      <c r="E491" s="8" t="str">
        <f>"173.51"</f>
        <v>173.51</v>
      </c>
      <c r="F491" s="8"/>
      <c r="G491" s="3">
        <v>264.77999999999997</v>
      </c>
      <c r="H491" s="10"/>
      <c r="I491" s="8">
        <v>3</v>
      </c>
      <c r="J491" s="10">
        <v>2017</v>
      </c>
      <c r="K491" s="5" t="str">
        <f>"185.40"</f>
        <v>185.40</v>
      </c>
      <c r="L491" s="5"/>
      <c r="M491" s="5"/>
      <c r="N491" s="5"/>
      <c r="O491" s="5"/>
      <c r="P491" s="5"/>
      <c r="Q491" s="5"/>
      <c r="R491" s="5"/>
      <c r="S491" s="5"/>
      <c r="T491" s="5" t="str">
        <f>"367.95"</f>
        <v>367.95</v>
      </c>
      <c r="U491" s="5"/>
      <c r="V491" s="5"/>
      <c r="W491" s="5"/>
      <c r="X491" s="5"/>
      <c r="Y491" s="5"/>
      <c r="Z491" s="5" t="str">
        <f>"161.61"</f>
        <v>161.61</v>
      </c>
      <c r="AA491" s="5"/>
      <c r="AB491" s="5"/>
      <c r="AC491" s="5"/>
      <c r="AD491" s="5"/>
    </row>
    <row r="492" spans="1:30" ht="13.5" customHeight="1">
      <c r="A492" s="8">
        <v>490</v>
      </c>
      <c r="B492" s="8">
        <v>2507</v>
      </c>
      <c r="C492" s="9" t="s">
        <v>865</v>
      </c>
      <c r="D492" s="8" t="s">
        <v>760</v>
      </c>
      <c r="E492" s="8" t="str">
        <f>"237.76"</f>
        <v>237.76</v>
      </c>
      <c r="F492" s="8"/>
      <c r="G492" s="3">
        <v>264.95999999999998</v>
      </c>
      <c r="H492" s="10" t="s">
        <v>12</v>
      </c>
      <c r="I492" s="8">
        <v>2</v>
      </c>
      <c r="J492" s="10">
        <v>2017</v>
      </c>
      <c r="K492" s="5" t="str">
        <f>"238.55"</f>
        <v>238.55</v>
      </c>
      <c r="L492" s="5"/>
      <c r="M492" s="5"/>
      <c r="N492" s="5"/>
      <c r="O492" s="5"/>
      <c r="P492" s="5"/>
      <c r="Q492" s="5"/>
      <c r="R492" s="5"/>
      <c r="S492" s="5"/>
      <c r="T492" s="5" t="str">
        <f>"236.96"</f>
        <v>236.96</v>
      </c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ht="13.5" customHeight="1">
      <c r="A493" s="8">
        <v>491</v>
      </c>
      <c r="B493" s="8">
        <v>10461</v>
      </c>
      <c r="C493" s="9" t="s">
        <v>482</v>
      </c>
      <c r="D493" s="8" t="s">
        <v>16</v>
      </c>
      <c r="E493" s="8" t="str">
        <f>"493.01"</f>
        <v>493.01</v>
      </c>
      <c r="F493" s="8"/>
      <c r="G493" s="3">
        <v>265.02999999999997</v>
      </c>
      <c r="H493" s="10" t="s">
        <v>12</v>
      </c>
      <c r="I493" s="8">
        <v>2</v>
      </c>
      <c r="J493" s="10">
        <v>2017</v>
      </c>
      <c r="K493" s="5" t="str">
        <f>"748.99"</f>
        <v>748.99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 t="str">
        <f>"237.03"</f>
        <v>237.03</v>
      </c>
      <c r="Z493" s="5"/>
      <c r="AA493" s="5"/>
      <c r="AB493" s="5"/>
      <c r="AC493" s="5"/>
      <c r="AD493" s="5"/>
    </row>
    <row r="494" spans="1:30" ht="13.5" customHeight="1">
      <c r="A494" s="8">
        <v>492</v>
      </c>
      <c r="B494" s="8">
        <v>6842</v>
      </c>
      <c r="C494" s="9" t="s">
        <v>474</v>
      </c>
      <c r="D494" s="8" t="s">
        <v>164</v>
      </c>
      <c r="E494" s="8" t="str">
        <f>"157.53"</f>
        <v>157.53</v>
      </c>
      <c r="F494" s="8"/>
      <c r="G494" s="3">
        <v>265.39999999999998</v>
      </c>
      <c r="H494" s="10" t="s">
        <v>12</v>
      </c>
      <c r="I494" s="8">
        <v>2</v>
      </c>
      <c r="J494" s="10">
        <v>2017</v>
      </c>
      <c r="K494" s="5" t="str">
        <f>"157.53"</f>
        <v>157.53</v>
      </c>
      <c r="L494" s="5"/>
      <c r="M494" s="5"/>
      <c r="N494" s="5"/>
      <c r="O494" s="5"/>
      <c r="P494" s="5"/>
      <c r="Q494" s="5"/>
      <c r="R494" s="5"/>
      <c r="S494" s="5"/>
      <c r="T494" s="5" t="str">
        <f>"237.40"</f>
        <v>237.40</v>
      </c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ht="13.5" customHeight="1">
      <c r="A495" s="8">
        <v>493</v>
      </c>
      <c r="B495" s="8">
        <v>2706</v>
      </c>
      <c r="C495" s="9" t="s">
        <v>319</v>
      </c>
      <c r="D495" s="8" t="s">
        <v>26</v>
      </c>
      <c r="E495" s="8" t="str">
        <f>"237.45"</f>
        <v>237.45</v>
      </c>
      <c r="F495" s="8"/>
      <c r="G495" s="3">
        <v>265.45</v>
      </c>
      <c r="H495" s="10" t="s">
        <v>18</v>
      </c>
      <c r="I495" s="8">
        <v>1</v>
      </c>
      <c r="J495" s="10">
        <v>2018</v>
      </c>
      <c r="K495" s="5" t="str">
        <f>"237.45"</f>
        <v>237.45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ht="13.5" customHeight="1">
      <c r="A496" s="8">
        <v>494</v>
      </c>
      <c r="B496" s="8">
        <v>10182</v>
      </c>
      <c r="C496" s="9" t="s">
        <v>418</v>
      </c>
      <c r="D496" s="8" t="s">
        <v>16</v>
      </c>
      <c r="E496" s="8" t="str">
        <f>"265.46"</f>
        <v>265.46</v>
      </c>
      <c r="F496" s="8"/>
      <c r="G496" s="3">
        <v>265.45999999999998</v>
      </c>
      <c r="H496" s="10"/>
      <c r="I496" s="8">
        <v>3</v>
      </c>
      <c r="J496" s="10">
        <v>2017</v>
      </c>
      <c r="K496" s="5" t="str">
        <f>"346.99"</f>
        <v>346.99</v>
      </c>
      <c r="L496" s="5" t="str">
        <f>"277.52"</f>
        <v>277.52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 t="str">
        <f>"253.39"</f>
        <v>253.39</v>
      </c>
      <c r="AD496" s="5"/>
    </row>
    <row r="497" spans="1:30" ht="13.5" customHeight="1">
      <c r="A497" s="8">
        <v>495</v>
      </c>
      <c r="B497" s="8">
        <v>10202</v>
      </c>
      <c r="C497" s="9" t="s">
        <v>676</v>
      </c>
      <c r="D497" s="8" t="s">
        <v>16</v>
      </c>
      <c r="E497" s="8" t="str">
        <f>"265.83"</f>
        <v>265.83</v>
      </c>
      <c r="F497" s="8"/>
      <c r="G497" s="3">
        <v>265.83</v>
      </c>
      <c r="H497" s="10"/>
      <c r="I497" s="8">
        <v>3</v>
      </c>
      <c r="J497" s="10">
        <v>2017</v>
      </c>
      <c r="K497" s="5" t="str">
        <f>"343.07"</f>
        <v>343.07</v>
      </c>
      <c r="L497" s="5" t="str">
        <f>"314.61"</f>
        <v>314.61</v>
      </c>
      <c r="M497" s="5"/>
      <c r="N497" s="5"/>
      <c r="O497" s="5"/>
      <c r="P497" s="5"/>
      <c r="Q497" s="5"/>
      <c r="R497" s="5"/>
      <c r="S497" s="5"/>
      <c r="T497" s="5"/>
      <c r="U497" s="5"/>
      <c r="V497" s="5" t="str">
        <f>"261.52"</f>
        <v>261.52</v>
      </c>
      <c r="W497" s="5" t="str">
        <f>"348.39"</f>
        <v>348.39</v>
      </c>
      <c r="X497" s="5"/>
      <c r="Y497" s="5"/>
      <c r="Z497" s="5"/>
      <c r="AA497" s="5"/>
      <c r="AB497" s="5"/>
      <c r="AC497" s="5" t="str">
        <f>"270.13"</f>
        <v>270.13</v>
      </c>
      <c r="AD497" s="5" t="str">
        <f>"315.05"</f>
        <v>315.05</v>
      </c>
    </row>
    <row r="498" spans="1:30" ht="13.5" customHeight="1">
      <c r="A498" s="8">
        <v>496</v>
      </c>
      <c r="B498" s="8">
        <v>10274</v>
      </c>
      <c r="C498" s="9" t="s">
        <v>738</v>
      </c>
      <c r="D498" s="8" t="s">
        <v>76</v>
      </c>
      <c r="E498" s="8" t="str">
        <f>"324.28"</f>
        <v>324.28</v>
      </c>
      <c r="F498" s="8"/>
      <c r="G498" s="3">
        <v>266.29000000000002</v>
      </c>
      <c r="H498" s="10" t="s">
        <v>12</v>
      </c>
      <c r="I498" s="8">
        <v>2</v>
      </c>
      <c r="J498" s="10">
        <v>2017</v>
      </c>
      <c r="K498" s="5" t="str">
        <f>"410.27"</f>
        <v>410.27</v>
      </c>
      <c r="L498" s="5"/>
      <c r="M498" s="5"/>
      <c r="N498" s="5"/>
      <c r="O498" s="5"/>
      <c r="P498" s="5" t="str">
        <f>"238.29"</f>
        <v>238.29</v>
      </c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ht="13.5" customHeight="1">
      <c r="A499" s="8">
        <v>497</v>
      </c>
      <c r="B499" s="8">
        <v>3080</v>
      </c>
      <c r="C499" s="9" t="s">
        <v>1201</v>
      </c>
      <c r="D499" s="8" t="s">
        <v>302</v>
      </c>
      <c r="E499" s="8" t="str">
        <f>"238.49"</f>
        <v>238.49</v>
      </c>
      <c r="F499" s="8"/>
      <c r="G499" s="3">
        <v>266.49</v>
      </c>
      <c r="H499" s="10" t="s">
        <v>18</v>
      </c>
      <c r="I499" s="8">
        <v>1</v>
      </c>
      <c r="J499" s="10">
        <v>2017</v>
      </c>
      <c r="K499" s="5" t="str">
        <f>"238.49"</f>
        <v>238.49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ht="13.5" customHeight="1">
      <c r="A500" s="8">
        <v>498</v>
      </c>
      <c r="B500" s="8">
        <v>10951</v>
      </c>
      <c r="C500" s="9" t="s">
        <v>517</v>
      </c>
      <c r="D500" s="8" t="s">
        <v>34</v>
      </c>
      <c r="E500" s="8" t="str">
        <f>"269.76"</f>
        <v>269.76</v>
      </c>
      <c r="F500" s="8"/>
      <c r="G500" s="3">
        <v>266.7</v>
      </c>
      <c r="H500" s="10" t="s">
        <v>12</v>
      </c>
      <c r="I500" s="8">
        <v>2</v>
      </c>
      <c r="J500" s="10">
        <v>2017</v>
      </c>
      <c r="K500" s="5" t="str">
        <f>"300.82"</f>
        <v>300.82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 t="str">
        <f>"238.70"</f>
        <v>238.70</v>
      </c>
      <c r="Z500" s="5"/>
      <c r="AA500" s="5"/>
      <c r="AB500" s="5"/>
      <c r="AC500" s="5"/>
      <c r="AD500" s="5"/>
    </row>
    <row r="501" spans="1:30" ht="13.5" customHeight="1">
      <c r="A501" s="8">
        <v>499</v>
      </c>
      <c r="B501" s="8">
        <v>6457</v>
      </c>
      <c r="C501" s="9" t="s">
        <v>711</v>
      </c>
      <c r="D501" s="8" t="s">
        <v>489</v>
      </c>
      <c r="E501" s="8" t="str">
        <f>"238.83"</f>
        <v>238.83</v>
      </c>
      <c r="F501" s="8"/>
      <c r="G501" s="3">
        <v>266.83</v>
      </c>
      <c r="H501" s="10" t="s">
        <v>18</v>
      </c>
      <c r="I501" s="8">
        <v>1</v>
      </c>
      <c r="J501" s="10">
        <v>2017</v>
      </c>
      <c r="K501" s="5" t="str">
        <f>"238.83"</f>
        <v>238.83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ht="13.5" customHeight="1">
      <c r="A502" s="8">
        <v>499</v>
      </c>
      <c r="B502" s="8">
        <v>10464</v>
      </c>
      <c r="C502" s="9" t="s">
        <v>532</v>
      </c>
      <c r="D502" s="8" t="s">
        <v>29</v>
      </c>
      <c r="E502" s="8" t="str">
        <f>"266.83"</f>
        <v>266.83</v>
      </c>
      <c r="F502" s="8"/>
      <c r="G502" s="3">
        <v>266.83</v>
      </c>
      <c r="H502" s="10"/>
      <c r="I502" s="8">
        <v>3</v>
      </c>
      <c r="J502" s="10">
        <v>2017</v>
      </c>
      <c r="K502" s="5" t="str">
        <f>"823.88"</f>
        <v>823.88</v>
      </c>
      <c r="L502" s="5"/>
      <c r="M502" s="5"/>
      <c r="N502" s="5"/>
      <c r="O502" s="5"/>
      <c r="P502" s="5"/>
      <c r="Q502" s="5"/>
      <c r="R502" s="5"/>
      <c r="S502" s="5"/>
      <c r="T502" s="5"/>
      <c r="U502" s="5" t="str">
        <f>"541.06"</f>
        <v>541.06</v>
      </c>
      <c r="V502" s="5"/>
      <c r="W502" s="5"/>
      <c r="X502" s="5"/>
      <c r="Y502" s="5"/>
      <c r="Z502" s="5"/>
      <c r="AA502" s="5"/>
      <c r="AB502" s="5" t="str">
        <f>"261.03"</f>
        <v>261.03</v>
      </c>
      <c r="AC502" s="5" t="str">
        <f>"310.21"</f>
        <v>310.21</v>
      </c>
      <c r="AD502" s="5" t="str">
        <f>"272.63"</f>
        <v>272.63</v>
      </c>
    </row>
    <row r="503" spans="1:30" ht="13.5" customHeight="1">
      <c r="A503" s="8">
        <v>501</v>
      </c>
      <c r="B503" s="8">
        <v>5400</v>
      </c>
      <c r="C503" s="9" t="s">
        <v>430</v>
      </c>
      <c r="D503" s="8" t="s">
        <v>431</v>
      </c>
      <c r="E503" s="8" t="str">
        <f>"245.03"</f>
        <v>245.03</v>
      </c>
      <c r="F503" s="8"/>
      <c r="G503" s="3">
        <v>267.24</v>
      </c>
      <c r="H503" s="10"/>
      <c r="I503" s="8">
        <v>3</v>
      </c>
      <c r="J503" s="10">
        <v>2017</v>
      </c>
      <c r="K503" s="5" t="str">
        <f>"260.92"</f>
        <v>260.92</v>
      </c>
      <c r="L503" s="5"/>
      <c r="M503" s="5"/>
      <c r="N503" s="5"/>
      <c r="O503" s="5" t="str">
        <f>"229.13"</f>
        <v>229.13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 t="str">
        <f>"305.35"</f>
        <v>305.35</v>
      </c>
      <c r="AB503" s="5"/>
      <c r="AC503" s="5"/>
      <c r="AD503" s="5"/>
    </row>
    <row r="504" spans="1:30" ht="13.5" customHeight="1">
      <c r="A504" s="8">
        <v>502</v>
      </c>
      <c r="B504" s="8">
        <v>2897</v>
      </c>
      <c r="C504" s="9" t="s">
        <v>595</v>
      </c>
      <c r="D504" s="8" t="s">
        <v>44</v>
      </c>
      <c r="E504" s="8" t="str">
        <f>"239.40"</f>
        <v>239.40</v>
      </c>
      <c r="F504" s="8"/>
      <c r="G504" s="3">
        <v>267.39999999999998</v>
      </c>
      <c r="H504" s="10" t="s">
        <v>18</v>
      </c>
      <c r="I504" s="8">
        <v>1</v>
      </c>
      <c r="J504" s="10">
        <v>2017</v>
      </c>
      <c r="K504" s="5" t="str">
        <f>"239.40"</f>
        <v>239.40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0" ht="13.5" customHeight="1">
      <c r="A505" s="8">
        <v>503</v>
      </c>
      <c r="B505" s="8">
        <v>2309</v>
      </c>
      <c r="C505" s="9" t="s">
        <v>580</v>
      </c>
      <c r="D505" s="8" t="s">
        <v>16</v>
      </c>
      <c r="E505" s="8" t="str">
        <f>"288.35"</f>
        <v>288.35</v>
      </c>
      <c r="F505" s="8"/>
      <c r="G505" s="3">
        <v>267.8</v>
      </c>
      <c r="H505" s="10" t="s">
        <v>12</v>
      </c>
      <c r="I505" s="8">
        <v>2</v>
      </c>
      <c r="J505" s="10">
        <v>2017</v>
      </c>
      <c r="K505" s="5" t="str">
        <f>"336.89"</f>
        <v>336.89</v>
      </c>
      <c r="L505" s="5" t="str">
        <f>"239.80"</f>
        <v>239.80</v>
      </c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1:30" ht="13.5" customHeight="1">
      <c r="A506" s="8">
        <v>504</v>
      </c>
      <c r="B506" s="8">
        <v>10161</v>
      </c>
      <c r="C506" s="9" t="s">
        <v>584</v>
      </c>
      <c r="D506" s="8" t="s">
        <v>16</v>
      </c>
      <c r="E506" s="8" t="str">
        <f>"261.44"</f>
        <v>261.44</v>
      </c>
      <c r="F506" s="8"/>
      <c r="G506" s="3">
        <v>268.06</v>
      </c>
      <c r="H506" s="10"/>
      <c r="I506" s="8">
        <v>3</v>
      </c>
      <c r="J506" s="10">
        <v>2017</v>
      </c>
      <c r="K506" s="5" t="str">
        <f>"278.21"</f>
        <v>278.21</v>
      </c>
      <c r="L506" s="5" t="str">
        <f>"291.45"</f>
        <v>291.45</v>
      </c>
      <c r="M506" s="5" t="str">
        <f>"613.20"</f>
        <v>613.20</v>
      </c>
      <c r="N506" s="5"/>
      <c r="O506" s="5"/>
      <c r="P506" s="5"/>
      <c r="Q506" s="5"/>
      <c r="R506" s="5"/>
      <c r="S506" s="5"/>
      <c r="T506" s="5"/>
      <c r="U506" s="5"/>
      <c r="V506" s="5" t="str">
        <f>"244.67"</f>
        <v>244.67</v>
      </c>
      <c r="W506" s="5"/>
      <c r="X506" s="5"/>
      <c r="Y506" s="5"/>
      <c r="Z506" s="5"/>
      <c r="AA506" s="5"/>
      <c r="AB506" s="5"/>
      <c r="AC506" s="5"/>
      <c r="AD506" s="5"/>
    </row>
    <row r="507" spans="1:30" ht="13.5" customHeight="1">
      <c r="A507" s="8">
        <v>505</v>
      </c>
      <c r="B507" s="8">
        <v>8333</v>
      </c>
      <c r="C507" s="9" t="s">
        <v>821</v>
      </c>
      <c r="D507" s="8" t="s">
        <v>76</v>
      </c>
      <c r="E507" s="8" t="str">
        <f>"240.18"</f>
        <v>240.18</v>
      </c>
      <c r="F507" s="8"/>
      <c r="G507" s="3">
        <v>268.18</v>
      </c>
      <c r="H507" s="10" t="s">
        <v>18</v>
      </c>
      <c r="I507" s="8">
        <v>1</v>
      </c>
      <c r="J507" s="10">
        <v>2017</v>
      </c>
      <c r="K507" s="5" t="str">
        <f>"240.18"</f>
        <v>240.18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1:30" ht="13.5" customHeight="1">
      <c r="A508" s="8">
        <v>506</v>
      </c>
      <c r="B508" s="8">
        <v>5343</v>
      </c>
      <c r="C508" s="9" t="s">
        <v>355</v>
      </c>
      <c r="D508" s="8" t="s">
        <v>51</v>
      </c>
      <c r="E508" s="8" t="str">
        <f>"240.30"</f>
        <v>240.30</v>
      </c>
      <c r="F508" s="8"/>
      <c r="G508" s="3">
        <v>268.3</v>
      </c>
      <c r="H508" s="10" t="s">
        <v>18</v>
      </c>
      <c r="I508" s="8">
        <v>1</v>
      </c>
      <c r="J508" s="10">
        <v>2017</v>
      </c>
      <c r="K508" s="5" t="str">
        <f>"240.30"</f>
        <v>240.30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1:30" ht="13.5" customHeight="1">
      <c r="A509" s="8">
        <v>507</v>
      </c>
      <c r="B509" s="8">
        <v>6466</v>
      </c>
      <c r="C509" s="9" t="s">
        <v>224</v>
      </c>
      <c r="D509" s="8" t="s">
        <v>219</v>
      </c>
      <c r="E509" s="8" t="str">
        <f>"240.78"</f>
        <v>240.78</v>
      </c>
      <c r="F509" s="8"/>
      <c r="G509" s="3">
        <v>268.77999999999997</v>
      </c>
      <c r="H509" s="10" t="s">
        <v>18</v>
      </c>
      <c r="I509" s="8">
        <v>1</v>
      </c>
      <c r="J509" s="10">
        <v>2017</v>
      </c>
      <c r="K509" s="5" t="str">
        <f>"240.78"</f>
        <v>240.78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1:30" ht="13.5" customHeight="1">
      <c r="A510" s="8">
        <v>508</v>
      </c>
      <c r="B510" s="8">
        <v>10170</v>
      </c>
      <c r="C510" s="9" t="s">
        <v>602</v>
      </c>
      <c r="D510" s="8" t="s">
        <v>16</v>
      </c>
      <c r="E510" s="8" t="str">
        <f>"269.50"</f>
        <v>269.50</v>
      </c>
      <c r="F510" s="8"/>
      <c r="G510" s="3">
        <v>269.5</v>
      </c>
      <c r="H510" s="10"/>
      <c r="I510" s="8">
        <v>3</v>
      </c>
      <c r="J510" s="10">
        <v>2017</v>
      </c>
      <c r="K510" s="5" t="str">
        <f>"347.16"</f>
        <v>347.16</v>
      </c>
      <c r="L510" s="5" t="str">
        <f>"341.48"</f>
        <v>341.48</v>
      </c>
      <c r="M510" s="5" t="str">
        <f>"449.36"</f>
        <v>449.36</v>
      </c>
      <c r="N510" s="5"/>
      <c r="O510" s="5"/>
      <c r="P510" s="5"/>
      <c r="Q510" s="5"/>
      <c r="R510" s="5"/>
      <c r="S510" s="5"/>
      <c r="T510" s="5"/>
      <c r="U510" s="5"/>
      <c r="V510" s="5" t="str">
        <f>"265.09"</f>
        <v>265.09</v>
      </c>
      <c r="W510" s="5" t="str">
        <f>"341.35"</f>
        <v>341.35</v>
      </c>
      <c r="X510" s="5"/>
      <c r="Y510" s="5"/>
      <c r="Z510" s="5"/>
      <c r="AA510" s="5"/>
      <c r="AB510" s="5"/>
      <c r="AC510" s="5" t="str">
        <f>"278.82"</f>
        <v>278.82</v>
      </c>
      <c r="AD510" s="5" t="str">
        <f>"273.91"</f>
        <v>273.91</v>
      </c>
    </row>
    <row r="511" spans="1:30" ht="13.5" customHeight="1">
      <c r="A511" s="8">
        <v>509</v>
      </c>
      <c r="B511" s="8">
        <v>8361</v>
      </c>
      <c r="C511" s="9" t="s">
        <v>475</v>
      </c>
      <c r="D511" s="8" t="s">
        <v>29</v>
      </c>
      <c r="E511" s="8" t="str">
        <f>"241.82"</f>
        <v>241.82</v>
      </c>
      <c r="F511" s="8"/>
      <c r="G511" s="3">
        <v>269.82</v>
      </c>
      <c r="H511" s="10" t="s">
        <v>18</v>
      </c>
      <c r="I511" s="8">
        <v>1</v>
      </c>
      <c r="J511" s="10">
        <v>2017</v>
      </c>
      <c r="K511" s="5" t="str">
        <f>"241.82"</f>
        <v>241.82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1:30" ht="13.5" customHeight="1">
      <c r="A512" s="8">
        <v>510</v>
      </c>
      <c r="B512" s="8">
        <v>10408</v>
      </c>
      <c r="C512" s="9" t="s">
        <v>445</v>
      </c>
      <c r="D512" s="8" t="s">
        <v>29</v>
      </c>
      <c r="E512" s="8" t="str">
        <f>"269.90"</f>
        <v>269.90</v>
      </c>
      <c r="F512" s="8"/>
      <c r="G512" s="3">
        <v>269.89999999999998</v>
      </c>
      <c r="H512" s="10"/>
      <c r="I512" s="8">
        <v>3</v>
      </c>
      <c r="J512" s="10">
        <v>2017</v>
      </c>
      <c r="K512" s="5" t="str">
        <f>"275.40"</f>
        <v>275.40</v>
      </c>
      <c r="L512" s="5"/>
      <c r="M512" s="5"/>
      <c r="N512" s="5"/>
      <c r="O512" s="5"/>
      <c r="P512" s="5"/>
      <c r="Q512" s="5"/>
      <c r="R512" s="5"/>
      <c r="S512" s="5"/>
      <c r="T512" s="5"/>
      <c r="U512" s="5" t="str">
        <f>"473.78"</f>
        <v>473.78</v>
      </c>
      <c r="V512" s="5"/>
      <c r="W512" s="5"/>
      <c r="X512" s="5"/>
      <c r="Y512" s="5"/>
      <c r="Z512" s="5"/>
      <c r="AA512" s="5"/>
      <c r="AB512" s="5"/>
      <c r="AC512" s="5" t="str">
        <f>"264.82"</f>
        <v>264.82</v>
      </c>
      <c r="AD512" s="5" t="str">
        <f>"274.98"</f>
        <v>274.98</v>
      </c>
    </row>
    <row r="513" spans="1:30" ht="13.5" customHeight="1">
      <c r="A513" s="8">
        <v>511</v>
      </c>
      <c r="B513" s="8">
        <v>2894</v>
      </c>
      <c r="C513" s="9" t="s">
        <v>540</v>
      </c>
      <c r="D513" s="8" t="s">
        <v>44</v>
      </c>
      <c r="E513" s="8" t="str">
        <f>"241.96"</f>
        <v>241.96</v>
      </c>
      <c r="F513" s="8"/>
      <c r="G513" s="3">
        <v>269.95999999999998</v>
      </c>
      <c r="H513" s="10" t="s">
        <v>18</v>
      </c>
      <c r="I513" s="8">
        <v>1</v>
      </c>
      <c r="J513" s="10">
        <v>2017</v>
      </c>
      <c r="K513" s="5" t="str">
        <f>"241.96"</f>
        <v>241.96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1:30" ht="13.5" customHeight="1">
      <c r="A514" s="8">
        <v>512</v>
      </c>
      <c r="B514" s="8">
        <v>6129</v>
      </c>
      <c r="C514" s="9" t="s">
        <v>593</v>
      </c>
      <c r="D514" s="8" t="s">
        <v>51</v>
      </c>
      <c r="E514" s="8" t="str">
        <f>"242.13"</f>
        <v>242.13</v>
      </c>
      <c r="F514" s="8"/>
      <c r="G514" s="3">
        <v>270.13</v>
      </c>
      <c r="H514" s="10" t="s">
        <v>18</v>
      </c>
      <c r="I514" s="8">
        <v>1</v>
      </c>
      <c r="J514" s="10">
        <v>2017</v>
      </c>
      <c r="K514" s="5" t="str">
        <f>"242.13"</f>
        <v>242.13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1:30" ht="13.5" customHeight="1">
      <c r="A515" s="8">
        <v>513</v>
      </c>
      <c r="B515" s="8">
        <v>3910</v>
      </c>
      <c r="C515" s="9" t="s">
        <v>528</v>
      </c>
      <c r="D515" s="8" t="s">
        <v>477</v>
      </c>
      <c r="E515" s="8" t="str">
        <f>"242.36"</f>
        <v>242.36</v>
      </c>
      <c r="F515" s="8"/>
      <c r="G515" s="3">
        <v>270.36</v>
      </c>
      <c r="H515" s="10" t="s">
        <v>18</v>
      </c>
      <c r="I515" s="8">
        <v>1</v>
      </c>
      <c r="J515" s="10">
        <v>2017</v>
      </c>
      <c r="K515" s="5" t="str">
        <f>"242.36"</f>
        <v>242.36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1:30" ht="13.5" customHeight="1">
      <c r="A516" s="8">
        <v>514</v>
      </c>
      <c r="B516" s="8">
        <v>2286</v>
      </c>
      <c r="C516" s="9" t="s">
        <v>1180</v>
      </c>
      <c r="D516" s="8" t="s">
        <v>170</v>
      </c>
      <c r="E516" s="8" t="str">
        <f>"242.50"</f>
        <v>242.50</v>
      </c>
      <c r="F516" s="8"/>
      <c r="G516" s="3">
        <v>270.5</v>
      </c>
      <c r="H516" s="10" t="s">
        <v>18</v>
      </c>
      <c r="I516" s="8">
        <v>1</v>
      </c>
      <c r="J516" s="10">
        <v>2017</v>
      </c>
      <c r="K516" s="5" t="str">
        <f>"242.50"</f>
        <v>242.50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0" ht="13.5" customHeight="1">
      <c r="A517" s="8">
        <v>515</v>
      </c>
      <c r="B517" s="8">
        <v>2095</v>
      </c>
      <c r="C517" s="9" t="s">
        <v>894</v>
      </c>
      <c r="D517" s="8" t="s">
        <v>318</v>
      </c>
      <c r="E517" s="8"/>
      <c r="F517" s="8"/>
      <c r="G517" s="3">
        <v>270.85000000000002</v>
      </c>
      <c r="H517" s="10" t="s">
        <v>18</v>
      </c>
      <c r="I517" s="8">
        <v>1</v>
      </c>
      <c r="J517" s="10">
        <v>2017</v>
      </c>
      <c r="K517" s="5">
        <v>242.85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0" ht="13.5" customHeight="1">
      <c r="A518" s="8">
        <v>516</v>
      </c>
      <c r="B518" s="8">
        <v>10657</v>
      </c>
      <c r="C518" s="9" t="s">
        <v>782</v>
      </c>
      <c r="D518" s="8" t="s">
        <v>22</v>
      </c>
      <c r="E518" s="8" t="str">
        <f>"255.21"</f>
        <v>255.21</v>
      </c>
      <c r="F518" s="8"/>
      <c r="G518" s="3">
        <v>271.23</v>
      </c>
      <c r="H518" s="10" t="s">
        <v>12</v>
      </c>
      <c r="I518" s="8">
        <v>2</v>
      </c>
      <c r="J518" s="10">
        <v>2017</v>
      </c>
      <c r="K518" s="5" t="str">
        <f>"267.18"</f>
        <v>267.18</v>
      </c>
      <c r="L518" s="5"/>
      <c r="M518" s="5"/>
      <c r="N518" s="5"/>
      <c r="O518" s="5"/>
      <c r="P518" s="5" t="str">
        <f>"243.23"</f>
        <v>243.23</v>
      </c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1:30" ht="13.5" customHeight="1">
      <c r="A519" s="8">
        <v>517</v>
      </c>
      <c r="B519" s="8">
        <v>6857</v>
      </c>
      <c r="C519" s="9" t="s">
        <v>1207</v>
      </c>
      <c r="D519" s="8" t="s">
        <v>119</v>
      </c>
      <c r="E519" s="8" t="str">
        <f>"267.42"</f>
        <v>267.42</v>
      </c>
      <c r="F519" s="8"/>
      <c r="G519" s="3">
        <v>271.43</v>
      </c>
      <c r="H519" s="10"/>
      <c r="I519" s="8">
        <v>3</v>
      </c>
      <c r="J519" s="10">
        <v>2017</v>
      </c>
      <c r="K519" s="5" t="str">
        <f>"279.54"</f>
        <v>279.54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 t="str">
        <f>"255.29"</f>
        <v>255.29</v>
      </c>
      <c r="Y519" s="5" t="str">
        <f>"287.57"</f>
        <v>287.57</v>
      </c>
      <c r="Z519" s="5"/>
      <c r="AA519" s="5"/>
      <c r="AB519" s="5"/>
      <c r="AC519" s="5"/>
      <c r="AD519" s="5"/>
    </row>
    <row r="520" spans="1:30" ht="13.5" customHeight="1">
      <c r="A520" s="8">
        <v>518</v>
      </c>
      <c r="B520" s="8">
        <v>6142</v>
      </c>
      <c r="C520" s="9" t="s">
        <v>920</v>
      </c>
      <c r="D520" s="8" t="s">
        <v>195</v>
      </c>
      <c r="E520" s="8" t="str">
        <f>"191.79"</f>
        <v>191.79</v>
      </c>
      <c r="F520" s="8"/>
      <c r="G520" s="3">
        <v>271.45999999999998</v>
      </c>
      <c r="H520" s="10" t="s">
        <v>12</v>
      </c>
      <c r="I520" s="8">
        <v>2</v>
      </c>
      <c r="J520" s="10">
        <v>2017</v>
      </c>
      <c r="K520" s="5" t="str">
        <f>"191.79"</f>
        <v>191.79</v>
      </c>
      <c r="L520" s="5"/>
      <c r="M520" s="5"/>
      <c r="N520" s="5"/>
      <c r="O520" s="5" t="str">
        <f>"243.46"</f>
        <v>243.46</v>
      </c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1:30" ht="13.5" customHeight="1">
      <c r="A521" s="8">
        <v>519</v>
      </c>
      <c r="B521" s="8">
        <v>10552</v>
      </c>
      <c r="C521" s="9" t="s">
        <v>1154</v>
      </c>
      <c r="D521" s="8" t="s">
        <v>16</v>
      </c>
      <c r="E521" s="8" t="str">
        <f>"271.92"</f>
        <v>271.92</v>
      </c>
      <c r="F521" s="8"/>
      <c r="G521" s="3">
        <v>271.92</v>
      </c>
      <c r="H521" s="10"/>
      <c r="I521" s="8">
        <v>5</v>
      </c>
      <c r="J521" s="10">
        <v>2017</v>
      </c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 t="str">
        <f>"234.72"</f>
        <v>234.72</v>
      </c>
      <c r="W521" s="5" t="str">
        <f>"309.11"</f>
        <v>309.11</v>
      </c>
      <c r="X521" s="5"/>
      <c r="Y521" s="5"/>
      <c r="Z521" s="5"/>
      <c r="AA521" s="5"/>
      <c r="AB521" s="5"/>
      <c r="AC521" s="5"/>
      <c r="AD521" s="5"/>
    </row>
    <row r="522" spans="1:30" ht="13.5" customHeight="1">
      <c r="A522" s="8">
        <v>520</v>
      </c>
      <c r="B522" s="8">
        <v>11132</v>
      </c>
      <c r="C522" s="9" t="s">
        <v>485</v>
      </c>
      <c r="D522" s="8" t="s">
        <v>29</v>
      </c>
      <c r="E522" s="8" t="str">
        <f>"271.96"</f>
        <v>271.96</v>
      </c>
      <c r="F522" s="8"/>
      <c r="G522" s="3">
        <v>271.95999999999998</v>
      </c>
      <c r="H522" s="10"/>
      <c r="I522" s="8">
        <v>5</v>
      </c>
      <c r="J522" s="10">
        <v>2017</v>
      </c>
      <c r="K522" s="5"/>
      <c r="L522" s="5"/>
      <c r="M522" s="5"/>
      <c r="N522" s="5"/>
      <c r="O522" s="5"/>
      <c r="P522" s="5"/>
      <c r="Q522" s="5" t="str">
        <f>"332.54"</f>
        <v>332.54</v>
      </c>
      <c r="R522" s="5" t="str">
        <f>"341.41"</f>
        <v>341.41</v>
      </c>
      <c r="S522" s="5"/>
      <c r="T522" s="5"/>
      <c r="U522" s="5" t="str">
        <f>"892.14"</f>
        <v>892.14</v>
      </c>
      <c r="V522" s="5"/>
      <c r="W522" s="5"/>
      <c r="X522" s="5"/>
      <c r="Y522" s="5"/>
      <c r="Z522" s="5"/>
      <c r="AA522" s="5"/>
      <c r="AB522" s="5" t="str">
        <f>"211.38"</f>
        <v>211.38</v>
      </c>
      <c r="AC522" s="5"/>
      <c r="AD522" s="5"/>
    </row>
    <row r="523" spans="1:30" ht="13.5" customHeight="1">
      <c r="A523" s="8">
        <v>521</v>
      </c>
      <c r="B523" s="8">
        <v>5430</v>
      </c>
      <c r="C523" s="9" t="s">
        <v>747</v>
      </c>
      <c r="D523" s="8" t="s">
        <v>323</v>
      </c>
      <c r="E523" s="8" t="str">
        <f>"244.65"</f>
        <v>244.65</v>
      </c>
      <c r="F523" s="8"/>
      <c r="G523" s="3">
        <v>272.64999999999998</v>
      </c>
      <c r="H523" s="10" t="s">
        <v>18</v>
      </c>
      <c r="I523" s="8">
        <v>1</v>
      </c>
      <c r="J523" s="10">
        <v>2017</v>
      </c>
      <c r="K523" s="5" t="str">
        <f>"244.65"</f>
        <v>244.65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1:30" ht="13.5" customHeight="1">
      <c r="A524" s="8">
        <v>522</v>
      </c>
      <c r="B524" s="8">
        <v>1433</v>
      </c>
      <c r="C524" s="9" t="s">
        <v>764</v>
      </c>
      <c r="D524" s="8" t="s">
        <v>765</v>
      </c>
      <c r="E524" s="8" t="str">
        <f>"246.04"</f>
        <v>246.04</v>
      </c>
      <c r="F524" s="8"/>
      <c r="G524" s="3">
        <v>274.04000000000002</v>
      </c>
      <c r="H524" s="10" t="s">
        <v>18</v>
      </c>
      <c r="I524" s="8">
        <v>1</v>
      </c>
      <c r="J524" s="10">
        <v>2017</v>
      </c>
      <c r="K524" s="5" t="str">
        <f>"246.04"</f>
        <v>246.04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1:30" ht="13.5" customHeight="1">
      <c r="A525" s="8">
        <v>523</v>
      </c>
      <c r="B525" s="8">
        <v>10204</v>
      </c>
      <c r="C525" s="9" t="s">
        <v>606</v>
      </c>
      <c r="D525" s="8" t="s">
        <v>16</v>
      </c>
      <c r="E525" s="8" t="str">
        <f>"274.14"</f>
        <v>274.14</v>
      </c>
      <c r="F525" s="8"/>
      <c r="G525" s="3">
        <v>274.14</v>
      </c>
      <c r="H525" s="10"/>
      <c r="I525" s="8">
        <v>3</v>
      </c>
      <c r="J525" s="10">
        <v>2017</v>
      </c>
      <c r="K525" s="5" t="str">
        <f>"472.54"</f>
        <v>472.54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 t="str">
        <f>"634.26"</f>
        <v>634.26</v>
      </c>
      <c r="W525" s="5"/>
      <c r="X525" s="5"/>
      <c r="Y525" s="5"/>
      <c r="Z525" s="5"/>
      <c r="AA525" s="5"/>
      <c r="AB525" s="5"/>
      <c r="AC525" s="5" t="str">
        <f>"265.46"</f>
        <v>265.46</v>
      </c>
      <c r="AD525" s="5" t="str">
        <f>"282.82"</f>
        <v>282.82</v>
      </c>
    </row>
    <row r="526" spans="1:30" ht="13.5" customHeight="1">
      <c r="A526" s="8">
        <v>524</v>
      </c>
      <c r="B526" s="8">
        <v>2116</v>
      </c>
      <c r="C526" s="9" t="s">
        <v>472</v>
      </c>
      <c r="D526" s="8" t="s">
        <v>44</v>
      </c>
      <c r="E526" s="8" t="str">
        <f>"246.59"</f>
        <v>246.59</v>
      </c>
      <c r="F526" s="8"/>
      <c r="G526" s="3">
        <v>274.58999999999997</v>
      </c>
      <c r="H526" s="10" t="s">
        <v>18</v>
      </c>
      <c r="I526" s="8">
        <v>1</v>
      </c>
      <c r="J526" s="10">
        <v>2017</v>
      </c>
      <c r="K526" s="5" t="str">
        <f>"246.59"</f>
        <v>246.59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1:30" ht="13.5" customHeight="1">
      <c r="A527" s="8">
        <v>525</v>
      </c>
      <c r="B527" s="8">
        <v>1278</v>
      </c>
      <c r="C527" s="9" t="s">
        <v>715</v>
      </c>
      <c r="D527" s="8" t="s">
        <v>342</v>
      </c>
      <c r="E527" s="8" t="str">
        <f>"201.13"</f>
        <v>201.13</v>
      </c>
      <c r="F527" s="8"/>
      <c r="G527" s="3">
        <v>274.97000000000003</v>
      </c>
      <c r="H527" s="10" t="s">
        <v>12</v>
      </c>
      <c r="I527" s="8">
        <v>2</v>
      </c>
      <c r="J527" s="10">
        <v>2018</v>
      </c>
      <c r="K527" s="5" t="str">
        <f>"201.13"</f>
        <v>201.13</v>
      </c>
      <c r="L527" s="5"/>
      <c r="M527" s="5"/>
      <c r="N527" s="5"/>
      <c r="O527" s="5" t="str">
        <f>"246.97"</f>
        <v>246.97</v>
      </c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1:30" ht="13.5" customHeight="1">
      <c r="A528" s="8">
        <v>526</v>
      </c>
      <c r="B528" s="8">
        <v>2831</v>
      </c>
      <c r="C528" s="9" t="s">
        <v>836</v>
      </c>
      <c r="D528" s="8" t="s">
        <v>155</v>
      </c>
      <c r="E528" s="8" t="str">
        <f>"247.47"</f>
        <v>247.47</v>
      </c>
      <c r="F528" s="8"/>
      <c r="G528" s="3">
        <v>275.47000000000003</v>
      </c>
      <c r="H528" s="10" t="s">
        <v>18</v>
      </c>
      <c r="I528" s="8">
        <v>1</v>
      </c>
      <c r="J528" s="10">
        <v>2018</v>
      </c>
      <c r="K528" s="5" t="str">
        <f>"247.47"</f>
        <v>247.47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1:30" ht="13.5" customHeight="1">
      <c r="A529" s="8">
        <v>527</v>
      </c>
      <c r="B529" s="8">
        <v>2827</v>
      </c>
      <c r="C529" s="9" t="s">
        <v>519</v>
      </c>
      <c r="D529" s="8" t="s">
        <v>67</v>
      </c>
      <c r="E529" s="8" t="str">
        <f>"214.72"</f>
        <v>214.72</v>
      </c>
      <c r="F529" s="8"/>
      <c r="G529" s="3">
        <v>276.12</v>
      </c>
      <c r="H529" s="10"/>
      <c r="I529" s="8">
        <v>3</v>
      </c>
      <c r="J529" s="10">
        <v>2017</v>
      </c>
      <c r="K529" s="5" t="str">
        <f>"214.72"</f>
        <v>214.72</v>
      </c>
      <c r="L529" s="5"/>
      <c r="M529" s="5"/>
      <c r="N529" s="5"/>
      <c r="O529" s="5" t="str">
        <f>"308.15"</f>
        <v>308.15</v>
      </c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 t="str">
        <f>"244.09"</f>
        <v>244.09</v>
      </c>
      <c r="AA529" s="5"/>
      <c r="AB529" s="5"/>
      <c r="AC529" s="5"/>
      <c r="AD529" s="5"/>
    </row>
    <row r="530" spans="1:30" ht="13.5" customHeight="1">
      <c r="A530" s="8">
        <v>528</v>
      </c>
      <c r="B530" s="8">
        <v>3010</v>
      </c>
      <c r="C530" s="9" t="s">
        <v>628</v>
      </c>
      <c r="D530" s="8" t="s">
        <v>318</v>
      </c>
      <c r="E530" s="8" t="str">
        <f>"276.47"</f>
        <v>276.47</v>
      </c>
      <c r="F530" s="8"/>
      <c r="G530" s="3">
        <v>276.47000000000003</v>
      </c>
      <c r="H530" s="10" t="s">
        <v>12</v>
      </c>
      <c r="I530" s="8">
        <v>4</v>
      </c>
      <c r="J530" s="10">
        <v>2017</v>
      </c>
      <c r="K530" s="5"/>
      <c r="L530" s="5"/>
      <c r="M530" s="5"/>
      <c r="N530" s="5"/>
      <c r="O530" s="5"/>
      <c r="P530" s="5"/>
      <c r="Q530" s="5"/>
      <c r="R530" s="5"/>
      <c r="S530" s="5"/>
      <c r="T530" s="5" t="str">
        <f>"248.47"</f>
        <v>248.47</v>
      </c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1:30" ht="13.5" customHeight="1">
      <c r="A531" s="8">
        <v>529</v>
      </c>
      <c r="B531" s="8">
        <v>10943</v>
      </c>
      <c r="C531" s="9" t="s">
        <v>574</v>
      </c>
      <c r="D531" s="8" t="s">
        <v>16</v>
      </c>
      <c r="E531" s="8" t="str">
        <f>"276.55"</f>
        <v>276.55</v>
      </c>
      <c r="F531" s="8"/>
      <c r="G531" s="3">
        <v>276.55</v>
      </c>
      <c r="H531" s="10"/>
      <c r="I531" s="8">
        <v>3</v>
      </c>
      <c r="J531" s="10">
        <v>2017</v>
      </c>
      <c r="K531" s="5" t="str">
        <f>"359.98"</f>
        <v>359.98</v>
      </c>
      <c r="L531" s="5" t="str">
        <f>"319.13"</f>
        <v>319.13</v>
      </c>
      <c r="M531" s="5"/>
      <c r="N531" s="5" t="str">
        <f>"291.11"</f>
        <v>291.11</v>
      </c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 t="str">
        <f>"261.99"</f>
        <v>261.99</v>
      </c>
      <c r="Z531" s="5"/>
      <c r="AA531" s="5"/>
      <c r="AB531" s="5"/>
      <c r="AC531" s="5"/>
      <c r="AD531" s="5"/>
    </row>
    <row r="532" spans="1:30" ht="13.5" customHeight="1">
      <c r="A532" s="8">
        <v>530</v>
      </c>
      <c r="B532" s="8">
        <v>2505</v>
      </c>
      <c r="C532" s="9" t="s">
        <v>823</v>
      </c>
      <c r="D532" s="8" t="s">
        <v>760</v>
      </c>
      <c r="E532" s="8" t="str">
        <f>"248.65"</f>
        <v>248.65</v>
      </c>
      <c r="F532" s="8"/>
      <c r="G532" s="3">
        <v>276.64999999999998</v>
      </c>
      <c r="H532" s="10" t="s">
        <v>18</v>
      </c>
      <c r="I532" s="8">
        <v>1</v>
      </c>
      <c r="J532" s="10">
        <v>2017</v>
      </c>
      <c r="K532" s="5" t="str">
        <f>"248.65"</f>
        <v>248.65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1:30" ht="13.5" customHeight="1">
      <c r="A533" s="8">
        <v>531</v>
      </c>
      <c r="B533" s="8">
        <v>2335</v>
      </c>
      <c r="C533" s="9" t="s">
        <v>434</v>
      </c>
      <c r="D533" s="8" t="s">
        <v>342</v>
      </c>
      <c r="E533" s="8" t="str">
        <f>"178.45"</f>
        <v>178.45</v>
      </c>
      <c r="F533" s="8"/>
      <c r="G533" s="3">
        <v>277.23</v>
      </c>
      <c r="H533" s="10" t="s">
        <v>12</v>
      </c>
      <c r="I533" s="8">
        <v>2</v>
      </c>
      <c r="J533" s="10">
        <v>2018</v>
      </c>
      <c r="K533" s="5" t="str">
        <f>"178.45"</f>
        <v>178.45</v>
      </c>
      <c r="L533" s="5"/>
      <c r="M533" s="5"/>
      <c r="N533" s="5"/>
      <c r="O533" s="5" t="str">
        <f>"249.23"</f>
        <v>249.23</v>
      </c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1:30" ht="13.5" customHeight="1">
      <c r="A534" s="8">
        <v>532</v>
      </c>
      <c r="B534" s="8">
        <v>11103</v>
      </c>
      <c r="C534" s="9" t="s">
        <v>1218</v>
      </c>
      <c r="D534" s="8" t="s">
        <v>34</v>
      </c>
      <c r="E534" s="8" t="str">
        <f>"249.68"</f>
        <v>249.68</v>
      </c>
      <c r="F534" s="8"/>
      <c r="G534" s="3">
        <v>277.68</v>
      </c>
      <c r="H534" s="10" t="s">
        <v>18</v>
      </c>
      <c r="I534" s="8">
        <v>1</v>
      </c>
      <c r="J534" s="10">
        <v>2017</v>
      </c>
      <c r="K534" s="5" t="str">
        <f>"249.68"</f>
        <v>249.68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1:30" ht="13.5" customHeight="1">
      <c r="A535" s="8">
        <v>533</v>
      </c>
      <c r="B535" s="8">
        <v>8504</v>
      </c>
      <c r="C535" s="9" t="s">
        <v>589</v>
      </c>
      <c r="D535" s="8" t="s">
        <v>16</v>
      </c>
      <c r="E535" s="8" t="str">
        <f>"249.93"</f>
        <v>249.93</v>
      </c>
      <c r="F535" s="8"/>
      <c r="G535" s="3">
        <v>277.93</v>
      </c>
      <c r="H535" s="10" t="s">
        <v>18</v>
      </c>
      <c r="I535" s="8">
        <v>1</v>
      </c>
      <c r="J535" s="10">
        <v>2017</v>
      </c>
      <c r="K535" s="5" t="str">
        <f>"249.93"</f>
        <v>249.93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1:30" ht="13.5" customHeight="1">
      <c r="A536" s="8">
        <v>534</v>
      </c>
      <c r="B536" s="8">
        <v>1427</v>
      </c>
      <c r="C536" s="9" t="s">
        <v>1194</v>
      </c>
      <c r="D536" s="8" t="s">
        <v>618</v>
      </c>
      <c r="E536" s="8" t="str">
        <f>"250.09"</f>
        <v>250.09</v>
      </c>
      <c r="F536" s="8"/>
      <c r="G536" s="3">
        <v>278.08999999999997</v>
      </c>
      <c r="H536" s="10" t="s">
        <v>18</v>
      </c>
      <c r="I536" s="8">
        <v>1</v>
      </c>
      <c r="J536" s="10">
        <v>2017</v>
      </c>
      <c r="K536" s="5" t="str">
        <f>"250.09"</f>
        <v>250.09</v>
      </c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1:30" ht="13.5" customHeight="1">
      <c r="A537" s="8">
        <v>534</v>
      </c>
      <c r="B537" s="8">
        <v>1518</v>
      </c>
      <c r="C537" s="9" t="s">
        <v>1206</v>
      </c>
      <c r="D537" s="8" t="s">
        <v>121</v>
      </c>
      <c r="E537" s="8" t="str">
        <f>"277.42"</f>
        <v>277.42</v>
      </c>
      <c r="F537" s="8"/>
      <c r="G537" s="3">
        <v>278.08999999999997</v>
      </c>
      <c r="H537" s="10" t="s">
        <v>12</v>
      </c>
      <c r="I537" s="8">
        <v>2</v>
      </c>
      <c r="J537" s="10">
        <v>2017</v>
      </c>
      <c r="K537" s="5" t="str">
        <f>"304.74"</f>
        <v>304.74</v>
      </c>
      <c r="L537" s="5"/>
      <c r="M537" s="5"/>
      <c r="N537" s="5"/>
      <c r="O537" s="5" t="str">
        <f>"250.09"</f>
        <v>250.09</v>
      </c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1:30" ht="13.5" customHeight="1">
      <c r="A538" s="8">
        <v>536</v>
      </c>
      <c r="B538" s="8">
        <v>6476</v>
      </c>
      <c r="C538" s="9" t="s">
        <v>729</v>
      </c>
      <c r="D538" s="8" t="s">
        <v>110</v>
      </c>
      <c r="E538" s="8" t="str">
        <f>"180.63"</f>
        <v>180.63</v>
      </c>
      <c r="F538" s="8"/>
      <c r="G538" s="3">
        <v>278.69</v>
      </c>
      <c r="H538" s="10"/>
      <c r="I538" s="8">
        <v>3</v>
      </c>
      <c r="J538" s="10">
        <v>2017</v>
      </c>
      <c r="K538" s="5" t="str">
        <f>"193.77"</f>
        <v>193.77</v>
      </c>
      <c r="L538" s="5"/>
      <c r="M538" s="5"/>
      <c r="N538" s="5"/>
      <c r="O538" s="5"/>
      <c r="P538" s="5"/>
      <c r="Q538" s="5"/>
      <c r="R538" s="5"/>
      <c r="S538" s="5" t="str">
        <f>"167.48"</f>
        <v>167.48</v>
      </c>
      <c r="T538" s="5"/>
      <c r="U538" s="5"/>
      <c r="V538" s="5"/>
      <c r="W538" s="5"/>
      <c r="X538" s="5"/>
      <c r="Y538" s="5"/>
      <c r="Z538" s="5"/>
      <c r="AA538" s="5" t="str">
        <f>"389.89"</f>
        <v>389.89</v>
      </c>
      <c r="AB538" s="5"/>
      <c r="AC538" s="5"/>
      <c r="AD538" s="5"/>
    </row>
    <row r="539" spans="1:30" ht="13.5" customHeight="1">
      <c r="A539" s="8">
        <v>537</v>
      </c>
      <c r="B539" s="8">
        <v>5109</v>
      </c>
      <c r="C539" s="9" t="s">
        <v>1171</v>
      </c>
      <c r="D539" s="8" t="s">
        <v>17</v>
      </c>
      <c r="E539" s="8" t="str">
        <f>"250.95"</f>
        <v>250.95</v>
      </c>
      <c r="F539" s="8"/>
      <c r="G539" s="3">
        <v>278.95</v>
      </c>
      <c r="H539" s="10" t="s">
        <v>18</v>
      </c>
      <c r="I539" s="8">
        <v>1</v>
      </c>
      <c r="J539" s="10">
        <v>2017</v>
      </c>
      <c r="K539" s="5" t="str">
        <f>"250.95"</f>
        <v>250.95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1:30" ht="13.5" customHeight="1">
      <c r="A540" s="8">
        <v>538</v>
      </c>
      <c r="B540" s="8">
        <v>7587</v>
      </c>
      <c r="C540" s="9" t="s">
        <v>1020</v>
      </c>
      <c r="D540" s="8" t="s">
        <v>128</v>
      </c>
      <c r="E540" s="8" t="str">
        <f>"251.04"</f>
        <v>251.04</v>
      </c>
      <c r="F540" s="8"/>
      <c r="G540" s="3">
        <v>279.04000000000002</v>
      </c>
      <c r="H540" s="10" t="s">
        <v>18</v>
      </c>
      <c r="I540" s="8">
        <v>1</v>
      </c>
      <c r="J540" s="10">
        <v>2017</v>
      </c>
      <c r="K540" s="5" t="str">
        <f>"251.04"</f>
        <v>251.04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1:30" ht="13.5" customHeight="1">
      <c r="A541" s="8">
        <v>539</v>
      </c>
      <c r="B541" s="8">
        <v>11119</v>
      </c>
      <c r="C541" s="9" t="s">
        <v>790</v>
      </c>
      <c r="D541" s="8" t="s">
        <v>241</v>
      </c>
      <c r="E541" s="8" t="str">
        <f>"279.13"</f>
        <v>279.13</v>
      </c>
      <c r="F541" s="8"/>
      <c r="G541" s="3">
        <v>279.13</v>
      </c>
      <c r="H541" s="10" t="s">
        <v>12</v>
      </c>
      <c r="I541" s="8">
        <v>4</v>
      </c>
      <c r="J541" s="10">
        <v>2017</v>
      </c>
      <c r="K541" s="5"/>
      <c r="L541" s="5"/>
      <c r="M541" s="5"/>
      <c r="N541" s="5"/>
      <c r="O541" s="5"/>
      <c r="P541" s="5" t="str">
        <f>"251.13"</f>
        <v>251.13</v>
      </c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1:30" ht="13.5" customHeight="1">
      <c r="A542" s="8">
        <v>540</v>
      </c>
      <c r="B542" s="8">
        <v>484</v>
      </c>
      <c r="C542" s="9" t="s">
        <v>774</v>
      </c>
      <c r="D542" s="8" t="s">
        <v>117</v>
      </c>
      <c r="E542" s="8" t="str">
        <f>"192.56"</f>
        <v>192.56</v>
      </c>
      <c r="F542" s="8"/>
      <c r="G542" s="3">
        <v>279.26</v>
      </c>
      <c r="H542" s="10"/>
      <c r="I542" s="8">
        <v>3</v>
      </c>
      <c r="J542" s="10">
        <v>2017</v>
      </c>
      <c r="K542" s="5" t="str">
        <f>"192.56"</f>
        <v>192.56</v>
      </c>
      <c r="L542" s="5"/>
      <c r="M542" s="5"/>
      <c r="N542" s="5"/>
      <c r="O542" s="5" t="str">
        <f>"285.59"</f>
        <v>285.59</v>
      </c>
      <c r="P542" s="5"/>
      <c r="Q542" s="5"/>
      <c r="R542" s="5"/>
      <c r="S542" s="5"/>
      <c r="T542" s="5" t="str">
        <f>"272.93"</f>
        <v>272.93</v>
      </c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1:30" ht="13.5" customHeight="1">
      <c r="A543" s="8">
        <v>541</v>
      </c>
      <c r="B543" s="8">
        <v>10885</v>
      </c>
      <c r="C543" s="9" t="s">
        <v>759</v>
      </c>
      <c r="D543" s="8" t="s">
        <v>16</v>
      </c>
      <c r="E543" s="8" t="str">
        <f>"280.12"</f>
        <v>280.12</v>
      </c>
      <c r="F543" s="8"/>
      <c r="G543" s="3">
        <v>280.12</v>
      </c>
      <c r="H543" s="10"/>
      <c r="I543" s="8">
        <v>3</v>
      </c>
      <c r="J543" s="10">
        <v>2017</v>
      </c>
      <c r="K543" s="5" t="str">
        <f>"523.33"</f>
        <v>523.33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 t="str">
        <f>"404.29"</f>
        <v>404.29</v>
      </c>
      <c r="W543" s="5"/>
      <c r="X543" s="5"/>
      <c r="Y543" s="5"/>
      <c r="Z543" s="5"/>
      <c r="AA543" s="5"/>
      <c r="AB543" s="5"/>
      <c r="AC543" s="5" t="str">
        <f>"281.20"</f>
        <v>281.20</v>
      </c>
      <c r="AD543" s="5" t="str">
        <f>"279.04"</f>
        <v>279.04</v>
      </c>
    </row>
    <row r="544" spans="1:30" ht="13.5" customHeight="1">
      <c r="A544" s="8">
        <v>542</v>
      </c>
      <c r="B544" s="8">
        <v>10870</v>
      </c>
      <c r="C544" s="9" t="s">
        <v>515</v>
      </c>
      <c r="D544" s="8" t="s">
        <v>16</v>
      </c>
      <c r="E544" s="8" t="str">
        <f>"281.97"</f>
        <v>281.97</v>
      </c>
      <c r="F544" s="8"/>
      <c r="G544" s="3">
        <v>281.97000000000003</v>
      </c>
      <c r="H544" s="10"/>
      <c r="I544" s="8">
        <v>3</v>
      </c>
      <c r="J544" s="10">
        <v>2017</v>
      </c>
      <c r="K544" s="5" t="str">
        <f>"404.78"</f>
        <v>404.78</v>
      </c>
      <c r="L544" s="5" t="str">
        <f>"340.03"</f>
        <v>340.03</v>
      </c>
      <c r="M544" s="5"/>
      <c r="N544" s="5"/>
      <c r="O544" s="5"/>
      <c r="P544" s="5"/>
      <c r="Q544" s="5"/>
      <c r="R544" s="5"/>
      <c r="S544" s="5"/>
      <c r="T544" s="5"/>
      <c r="U544" s="5"/>
      <c r="V544" s="5" t="str">
        <f>"223.90"</f>
        <v>223.90</v>
      </c>
      <c r="W544" s="5"/>
      <c r="X544" s="5"/>
      <c r="Y544" s="5"/>
      <c r="Z544" s="5"/>
      <c r="AA544" s="5"/>
      <c r="AB544" s="5"/>
      <c r="AC544" s="5"/>
      <c r="AD544" s="5"/>
    </row>
    <row r="545" spans="1:30" ht="13.5" customHeight="1">
      <c r="A545" s="8">
        <v>543</v>
      </c>
      <c r="B545" s="8">
        <v>1911</v>
      </c>
      <c r="C545" s="9" t="s">
        <v>377</v>
      </c>
      <c r="D545" s="8" t="s">
        <v>378</v>
      </c>
      <c r="E545" s="8" t="str">
        <f>"154.65"</f>
        <v>154.65</v>
      </c>
      <c r="F545" s="8"/>
      <c r="G545" s="3">
        <v>283.02</v>
      </c>
      <c r="H545" s="10" t="s">
        <v>12</v>
      </c>
      <c r="I545" s="8">
        <v>2</v>
      </c>
      <c r="J545" s="10">
        <v>2017</v>
      </c>
      <c r="K545" s="5" t="str">
        <f>"154.65"</f>
        <v>154.65</v>
      </c>
      <c r="L545" s="5"/>
      <c r="M545" s="5"/>
      <c r="N545" s="5"/>
      <c r="O545" s="5"/>
      <c r="P545" s="5"/>
      <c r="Q545" s="5"/>
      <c r="R545" s="5"/>
      <c r="S545" s="5"/>
      <c r="T545" s="5" t="str">
        <f>"255.02"</f>
        <v>255.02</v>
      </c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1:30" ht="13.5" customHeight="1">
      <c r="A546" s="8">
        <v>544</v>
      </c>
      <c r="B546" s="8">
        <v>10600</v>
      </c>
      <c r="C546" s="9" t="s">
        <v>720</v>
      </c>
      <c r="D546" s="8" t="s">
        <v>16</v>
      </c>
      <c r="E546" s="8" t="str">
        <f>"258.10"</f>
        <v>258.10</v>
      </c>
      <c r="F546" s="8"/>
      <c r="G546" s="3">
        <v>284.02</v>
      </c>
      <c r="H546" s="10" t="s">
        <v>12</v>
      </c>
      <c r="I546" s="8">
        <v>2</v>
      </c>
      <c r="J546" s="10">
        <v>2017</v>
      </c>
      <c r="K546" s="5" t="str">
        <f>"260.17"</f>
        <v>260.17</v>
      </c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 t="str">
        <f>"256.02"</f>
        <v>256.02</v>
      </c>
      <c r="W546" s="5"/>
      <c r="X546" s="5"/>
      <c r="Y546" s="5"/>
      <c r="Z546" s="5"/>
      <c r="AA546" s="5"/>
      <c r="AB546" s="5"/>
      <c r="AC546" s="5"/>
      <c r="AD546" s="5"/>
    </row>
    <row r="547" spans="1:30" ht="13.5" customHeight="1">
      <c r="A547" s="8">
        <v>545</v>
      </c>
      <c r="B547" s="8">
        <v>10248</v>
      </c>
      <c r="C547" s="9" t="s">
        <v>284</v>
      </c>
      <c r="D547" s="8" t="s">
        <v>247</v>
      </c>
      <c r="E547" s="8" t="str">
        <f>"256.51"</f>
        <v>256.51</v>
      </c>
      <c r="F547" s="8"/>
      <c r="G547" s="3">
        <v>284.51</v>
      </c>
      <c r="H547" s="10" t="s">
        <v>18</v>
      </c>
      <c r="I547" s="8">
        <v>1</v>
      </c>
      <c r="J547" s="10">
        <v>2017</v>
      </c>
      <c r="K547" s="5" t="str">
        <f>"256.51"</f>
        <v>256.51</v>
      </c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1:30" ht="13.5" customHeight="1">
      <c r="A548" s="8">
        <v>546</v>
      </c>
      <c r="B548" s="8">
        <v>10886</v>
      </c>
      <c r="C548" s="9" t="s">
        <v>814</v>
      </c>
      <c r="D548" s="8" t="s">
        <v>16</v>
      </c>
      <c r="E548" s="8" t="str">
        <f>"284.63"</f>
        <v>284.63</v>
      </c>
      <c r="F548" s="8"/>
      <c r="G548" s="3">
        <v>284.63</v>
      </c>
      <c r="H548" s="10"/>
      <c r="I548" s="8">
        <v>3</v>
      </c>
      <c r="J548" s="10">
        <v>2017</v>
      </c>
      <c r="K548" s="5" t="str">
        <f>"604.95"</f>
        <v>604.95</v>
      </c>
      <c r="L548" s="5" t="str">
        <f>"523.13"</f>
        <v>523.13</v>
      </c>
      <c r="M548" s="5"/>
      <c r="N548" s="5"/>
      <c r="O548" s="5"/>
      <c r="P548" s="5"/>
      <c r="Q548" s="5"/>
      <c r="R548" s="5"/>
      <c r="S548" s="5"/>
      <c r="T548" s="5"/>
      <c r="U548" s="5"/>
      <c r="V548" s="5" t="str">
        <f>"366.94"</f>
        <v>366.94</v>
      </c>
      <c r="W548" s="5" t="str">
        <f>"512.07"</f>
        <v>512.07</v>
      </c>
      <c r="X548" s="5"/>
      <c r="Y548" s="5"/>
      <c r="Z548" s="5"/>
      <c r="AA548" s="5"/>
      <c r="AB548" s="5"/>
      <c r="AC548" s="5" t="str">
        <f>"309.11"</f>
        <v>309.11</v>
      </c>
      <c r="AD548" s="5" t="str">
        <f>"260.15"</f>
        <v>260.15</v>
      </c>
    </row>
    <row r="549" spans="1:30" ht="13.5" customHeight="1">
      <c r="A549" s="8">
        <v>547</v>
      </c>
      <c r="B549" s="8">
        <v>11398</v>
      </c>
      <c r="C549" s="9" t="s">
        <v>316</v>
      </c>
      <c r="D549" s="8" t="s">
        <v>22</v>
      </c>
      <c r="E549" s="8" t="str">
        <f>"284.72"</f>
        <v>284.72</v>
      </c>
      <c r="F549" s="8"/>
      <c r="G549" s="3">
        <v>284.72000000000003</v>
      </c>
      <c r="H549" s="10" t="s">
        <v>12</v>
      </c>
      <c r="I549" s="8">
        <v>4</v>
      </c>
      <c r="J549" s="10">
        <v>2017</v>
      </c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 t="str">
        <f>"256.72"</f>
        <v>256.72</v>
      </c>
      <c r="Z549" s="5"/>
      <c r="AA549" s="5"/>
      <c r="AB549" s="5"/>
      <c r="AC549" s="5"/>
      <c r="AD549" s="5"/>
    </row>
    <row r="550" spans="1:30" ht="13.5" customHeight="1">
      <c r="A550" s="8">
        <v>548</v>
      </c>
      <c r="B550" s="8">
        <v>5248</v>
      </c>
      <c r="C550" s="9" t="s">
        <v>403</v>
      </c>
      <c r="D550" s="8" t="s">
        <v>44</v>
      </c>
      <c r="E550" s="8" t="str">
        <f>"256.94"</f>
        <v>256.94</v>
      </c>
      <c r="F550" s="8"/>
      <c r="G550" s="3">
        <v>284.94</v>
      </c>
      <c r="H550" s="10" t="s">
        <v>18</v>
      </c>
      <c r="I550" s="8">
        <v>1</v>
      </c>
      <c r="J550" s="10">
        <v>2017</v>
      </c>
      <c r="K550" s="5" t="str">
        <f>"256.94"</f>
        <v>256.94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1:30" ht="13.5" customHeight="1">
      <c r="A551" s="8">
        <v>549</v>
      </c>
      <c r="B551" s="8">
        <v>10273</v>
      </c>
      <c r="C551" s="9" t="s">
        <v>401</v>
      </c>
      <c r="D551" s="8" t="s">
        <v>29</v>
      </c>
      <c r="E551" s="8" t="str">
        <f>"138.97"</f>
        <v>138.97</v>
      </c>
      <c r="F551" s="8"/>
      <c r="G551" s="3">
        <v>284.98</v>
      </c>
      <c r="H551" s="10"/>
      <c r="I551" s="8">
        <v>3</v>
      </c>
      <c r="J551" s="10">
        <v>2017</v>
      </c>
      <c r="K551" s="5" t="str">
        <f>"138.97"</f>
        <v>138.97</v>
      </c>
      <c r="L551" s="5"/>
      <c r="M551" s="5"/>
      <c r="N551" s="5"/>
      <c r="O551" s="5"/>
      <c r="P551" s="5"/>
      <c r="Q551" s="5"/>
      <c r="R551" s="5" t="str">
        <f>"242.53"</f>
        <v>242.53</v>
      </c>
      <c r="S551" s="5"/>
      <c r="T551" s="5"/>
      <c r="U551" s="5" t="str">
        <f>"327.42"</f>
        <v>327.42</v>
      </c>
      <c r="V551" s="5"/>
      <c r="W551" s="5"/>
      <c r="X551" s="5"/>
      <c r="Y551" s="5"/>
      <c r="Z551" s="5"/>
      <c r="AA551" s="5"/>
      <c r="AB551" s="5"/>
      <c r="AC551" s="5"/>
      <c r="AD551" s="5"/>
    </row>
    <row r="552" spans="1:30" ht="13.5" customHeight="1">
      <c r="A552" s="8">
        <v>550</v>
      </c>
      <c r="B552" s="8">
        <v>5502</v>
      </c>
      <c r="C552" s="9" t="s">
        <v>679</v>
      </c>
      <c r="D552" s="8" t="s">
        <v>76</v>
      </c>
      <c r="E552" s="8" t="str">
        <f>"285.34"</f>
        <v>285.34</v>
      </c>
      <c r="F552" s="8"/>
      <c r="G552" s="3">
        <v>285.33999999999997</v>
      </c>
      <c r="H552" s="10" t="s">
        <v>12</v>
      </c>
      <c r="I552" s="8">
        <v>4</v>
      </c>
      <c r="J552" s="10">
        <v>2017</v>
      </c>
      <c r="K552" s="5"/>
      <c r="L552" s="5"/>
      <c r="M552" s="5"/>
      <c r="N552" s="5"/>
      <c r="O552" s="5"/>
      <c r="P552" s="5"/>
      <c r="Q552" s="5"/>
      <c r="R552" s="5" t="str">
        <f>"257.34"</f>
        <v>257.34</v>
      </c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1:30" ht="13.5" customHeight="1">
      <c r="A553" s="8">
        <v>551</v>
      </c>
      <c r="B553" s="8">
        <v>4496</v>
      </c>
      <c r="C553" s="9" t="s">
        <v>545</v>
      </c>
      <c r="D553" s="8" t="s">
        <v>73</v>
      </c>
      <c r="E553" s="8" t="str">
        <f>"257.50"</f>
        <v>257.50</v>
      </c>
      <c r="F553" s="8"/>
      <c r="G553" s="3">
        <v>285.5</v>
      </c>
      <c r="H553" s="10" t="s">
        <v>18</v>
      </c>
      <c r="I553" s="8">
        <v>1</v>
      </c>
      <c r="J553" s="10">
        <v>2017</v>
      </c>
      <c r="K553" s="5" t="str">
        <f>"257.50"</f>
        <v>257.50</v>
      </c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1:30" ht="13.5" customHeight="1">
      <c r="A554" s="8">
        <v>552</v>
      </c>
      <c r="B554" s="8">
        <v>2333</v>
      </c>
      <c r="C554" s="9" t="s">
        <v>566</v>
      </c>
      <c r="D554" s="8" t="s">
        <v>16</v>
      </c>
      <c r="E554" s="8" t="str">
        <f>"241.40"</f>
        <v>241.40</v>
      </c>
      <c r="F554" s="8"/>
      <c r="G554" s="3">
        <v>286.08999999999997</v>
      </c>
      <c r="H554" s="10"/>
      <c r="I554" s="8">
        <v>3</v>
      </c>
      <c r="J554" s="10">
        <v>2017</v>
      </c>
      <c r="K554" s="5" t="str">
        <f>"270.49"</f>
        <v>270.49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 t="str">
        <f>"359.87"</f>
        <v>359.87</v>
      </c>
      <c r="W554" s="5"/>
      <c r="X554" s="5"/>
      <c r="Y554" s="5"/>
      <c r="Z554" s="5"/>
      <c r="AA554" s="5"/>
      <c r="AB554" s="5"/>
      <c r="AC554" s="5" t="str">
        <f>"212.30"</f>
        <v>212.30</v>
      </c>
      <c r="AD554" s="5"/>
    </row>
    <row r="555" spans="1:30" ht="13.5" customHeight="1">
      <c r="A555" s="8">
        <v>553</v>
      </c>
      <c r="B555" s="8">
        <v>4611</v>
      </c>
      <c r="C555" s="9" t="s">
        <v>467</v>
      </c>
      <c r="D555" s="8" t="s">
        <v>121</v>
      </c>
      <c r="E555" s="8" t="str">
        <f>"287.18"</f>
        <v>287.18</v>
      </c>
      <c r="F555" s="8"/>
      <c r="G555" s="3">
        <v>287.18</v>
      </c>
      <c r="H555" s="10" t="s">
        <v>12</v>
      </c>
      <c r="I555" s="8">
        <v>4</v>
      </c>
      <c r="J555" s="10">
        <v>2017</v>
      </c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 t="str">
        <f>"259.18"</f>
        <v>259.18</v>
      </c>
      <c r="Z555" s="5"/>
      <c r="AA555" s="5"/>
      <c r="AB555" s="5"/>
      <c r="AC555" s="5"/>
      <c r="AD555" s="5"/>
    </row>
    <row r="556" spans="1:30" ht="13.5" customHeight="1">
      <c r="A556" s="8">
        <v>554</v>
      </c>
      <c r="B556" s="8">
        <v>7504</v>
      </c>
      <c r="C556" s="9" t="s">
        <v>248</v>
      </c>
      <c r="D556" s="8" t="s">
        <v>85</v>
      </c>
      <c r="E556" s="8" t="str">
        <f>"162.10"</f>
        <v>162.10</v>
      </c>
      <c r="F556" s="8"/>
      <c r="G556" s="3">
        <v>287.48</v>
      </c>
      <c r="H556" s="10" t="s">
        <v>12</v>
      </c>
      <c r="I556" s="8">
        <v>2</v>
      </c>
      <c r="J556" s="10">
        <v>2017</v>
      </c>
      <c r="K556" s="5" t="str">
        <f>"162.10"</f>
        <v>162.10</v>
      </c>
      <c r="L556" s="5"/>
      <c r="M556" s="5"/>
      <c r="N556" s="5" t="str">
        <f>"259.48"</f>
        <v>259.48</v>
      </c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1:30" ht="13.5" customHeight="1">
      <c r="A557" s="8">
        <v>555</v>
      </c>
      <c r="B557" s="8">
        <v>5357</v>
      </c>
      <c r="C557" s="9" t="s">
        <v>743</v>
      </c>
      <c r="D557" s="8" t="s">
        <v>76</v>
      </c>
      <c r="E557" s="8" t="str">
        <f>"259.91"</f>
        <v>259.91</v>
      </c>
      <c r="F557" s="8"/>
      <c r="G557" s="3">
        <v>287.91000000000003</v>
      </c>
      <c r="H557" s="10" t="s">
        <v>18</v>
      </c>
      <c r="I557" s="8">
        <v>1</v>
      </c>
      <c r="J557" s="10">
        <v>2017</v>
      </c>
      <c r="K557" s="5" t="str">
        <f>"259.91"</f>
        <v>259.91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1:30" ht="13.5" customHeight="1">
      <c r="A558" s="8">
        <v>556</v>
      </c>
      <c r="B558" s="8">
        <v>11265</v>
      </c>
      <c r="C558" s="9" t="s">
        <v>520</v>
      </c>
      <c r="D558" s="8" t="s">
        <v>16</v>
      </c>
      <c r="E558" s="8" t="str">
        <f>"288.03"</f>
        <v>288.03</v>
      </c>
      <c r="F558" s="8"/>
      <c r="G558" s="3">
        <v>288.02999999999997</v>
      </c>
      <c r="H558" s="10"/>
      <c r="I558" s="8">
        <v>5</v>
      </c>
      <c r="J558" s="10">
        <v>2017</v>
      </c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 t="str">
        <f>"348.61"</f>
        <v>348.61</v>
      </c>
      <c r="W558" s="5" t="str">
        <f>"430.65"</f>
        <v>430.65</v>
      </c>
      <c r="X558" s="5"/>
      <c r="Y558" s="5"/>
      <c r="Z558" s="5"/>
      <c r="AA558" s="5"/>
      <c r="AB558" s="5"/>
      <c r="AC558" s="5" t="str">
        <f>"319.54"</f>
        <v>319.54</v>
      </c>
      <c r="AD558" s="5" t="str">
        <f>"256.51"</f>
        <v>256.51</v>
      </c>
    </row>
    <row r="559" spans="1:30" ht="13.5" customHeight="1">
      <c r="A559" s="8">
        <v>557</v>
      </c>
      <c r="B559" s="8">
        <v>2279</v>
      </c>
      <c r="C559" s="9" t="s">
        <v>349</v>
      </c>
      <c r="D559" s="8" t="s">
        <v>121</v>
      </c>
      <c r="E559" s="8" t="str">
        <f>"260.13"</f>
        <v>260.13</v>
      </c>
      <c r="F559" s="8"/>
      <c r="G559" s="3">
        <v>288.13</v>
      </c>
      <c r="H559" s="10" t="s">
        <v>18</v>
      </c>
      <c r="I559" s="8">
        <v>1</v>
      </c>
      <c r="J559" s="10">
        <v>2017</v>
      </c>
      <c r="K559" s="5" t="str">
        <f>"260.13"</f>
        <v>260.13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1:30" ht="13.5" customHeight="1">
      <c r="A560" s="8">
        <v>558</v>
      </c>
      <c r="B560" s="8">
        <v>2263</v>
      </c>
      <c r="C560" s="9" t="s">
        <v>694</v>
      </c>
      <c r="D560" s="8" t="s">
        <v>16</v>
      </c>
      <c r="E560" s="8" t="str">
        <f>"260.56"</f>
        <v>260.56</v>
      </c>
      <c r="F560" s="8"/>
      <c r="G560" s="3">
        <v>288.56</v>
      </c>
      <c r="H560" s="10" t="s">
        <v>18</v>
      </c>
      <c r="I560" s="8">
        <v>1</v>
      </c>
      <c r="J560" s="10">
        <v>2017</v>
      </c>
      <c r="K560" s="5" t="str">
        <f>"260.56"</f>
        <v>260.56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1:30" ht="13.5" customHeight="1">
      <c r="A561" s="8">
        <v>559</v>
      </c>
      <c r="B561" s="8">
        <v>1621</v>
      </c>
      <c r="C561" s="9" t="s">
        <v>396</v>
      </c>
      <c r="D561" s="8" t="s">
        <v>247</v>
      </c>
      <c r="E561" s="8" t="str">
        <f>"260.92"</f>
        <v>260.92</v>
      </c>
      <c r="F561" s="8"/>
      <c r="G561" s="3">
        <v>288.92</v>
      </c>
      <c r="H561" s="10" t="s">
        <v>18</v>
      </c>
      <c r="I561" s="8">
        <v>1</v>
      </c>
      <c r="J561" s="10">
        <v>2017</v>
      </c>
      <c r="K561" s="5" t="str">
        <f>"260.92"</f>
        <v>260.92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1:30" ht="13.5" customHeight="1">
      <c r="A562" s="8">
        <v>560</v>
      </c>
      <c r="B562" s="8">
        <v>5720</v>
      </c>
      <c r="C562" s="9" t="s">
        <v>596</v>
      </c>
      <c r="D562" s="8" t="s">
        <v>177</v>
      </c>
      <c r="E562" s="8" t="str">
        <f>"288.84"</f>
        <v>288.84</v>
      </c>
      <c r="F562" s="8"/>
      <c r="G562" s="3">
        <v>289.39</v>
      </c>
      <c r="H562" s="10"/>
      <c r="I562" s="8">
        <v>3</v>
      </c>
      <c r="J562" s="10">
        <v>2017</v>
      </c>
      <c r="K562" s="5" t="str">
        <f>"291.56"</f>
        <v>291.56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 t="str">
        <f>"286.11"</f>
        <v>286.11</v>
      </c>
      <c r="Y562" s="5" t="str">
        <f>"292.66"</f>
        <v>292.66</v>
      </c>
      <c r="Z562" s="5"/>
      <c r="AA562" s="5"/>
      <c r="AB562" s="5"/>
      <c r="AC562" s="5"/>
      <c r="AD562" s="5"/>
    </row>
    <row r="563" spans="1:30" ht="13.5" customHeight="1">
      <c r="A563" s="8">
        <v>561</v>
      </c>
      <c r="B563" s="8">
        <v>11424</v>
      </c>
      <c r="C563" s="9" t="s">
        <v>1144</v>
      </c>
      <c r="D563" s="8" t="s">
        <v>16</v>
      </c>
      <c r="E563" s="8" t="str">
        <f>"289.76"</f>
        <v>289.76</v>
      </c>
      <c r="F563" s="8"/>
      <c r="G563" s="3">
        <v>289.76</v>
      </c>
      <c r="H563" s="10"/>
      <c r="I563" s="8">
        <v>5</v>
      </c>
      <c r="J563" s="10">
        <v>2017</v>
      </c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 t="str">
        <f>"273.88"</f>
        <v>273.88</v>
      </c>
      <c r="AD563" s="5" t="str">
        <f>"305.64"</f>
        <v>305.64</v>
      </c>
    </row>
    <row r="564" spans="1:30" ht="13.5" customHeight="1">
      <c r="A564" s="8">
        <v>562</v>
      </c>
      <c r="B564" s="8">
        <v>10425</v>
      </c>
      <c r="C564" s="9" t="s">
        <v>344</v>
      </c>
      <c r="D564" s="8" t="s">
        <v>29</v>
      </c>
      <c r="E564" s="8" t="str">
        <f>"290.34"</f>
        <v>290.34</v>
      </c>
      <c r="F564" s="8"/>
      <c r="G564" s="3">
        <v>290.33999999999997</v>
      </c>
      <c r="H564" s="10"/>
      <c r="I564" s="8">
        <v>3</v>
      </c>
      <c r="J564" s="10">
        <v>2017</v>
      </c>
      <c r="K564" s="5" t="str">
        <f>"562.69"</f>
        <v>562.69</v>
      </c>
      <c r="L564" s="5"/>
      <c r="M564" s="5"/>
      <c r="N564" s="5"/>
      <c r="O564" s="5"/>
      <c r="P564" s="5"/>
      <c r="Q564" s="5"/>
      <c r="R564" s="5"/>
      <c r="S564" s="5"/>
      <c r="T564" s="5"/>
      <c r="U564" s="5" t="str">
        <f>"711.02"</f>
        <v>711.02</v>
      </c>
      <c r="V564" s="5"/>
      <c r="W564" s="5"/>
      <c r="X564" s="5"/>
      <c r="Y564" s="5"/>
      <c r="Z564" s="5"/>
      <c r="AA564" s="5"/>
      <c r="AB564" s="5"/>
      <c r="AC564" s="5" t="str">
        <f>"261.62"</f>
        <v>261.62</v>
      </c>
      <c r="AD564" s="5" t="str">
        <f>"319.05"</f>
        <v>319.05</v>
      </c>
    </row>
    <row r="565" spans="1:30" ht="13.5" customHeight="1">
      <c r="A565" s="8">
        <v>563</v>
      </c>
      <c r="B565" s="8">
        <v>10912</v>
      </c>
      <c r="C565" s="9" t="s">
        <v>575</v>
      </c>
      <c r="D565" s="8" t="s">
        <v>16</v>
      </c>
      <c r="E565" s="8" t="str">
        <f>"287.36"</f>
        <v>287.36</v>
      </c>
      <c r="F565" s="8"/>
      <c r="G565" s="3">
        <v>290.91000000000003</v>
      </c>
      <c r="H565" s="10" t="s">
        <v>12</v>
      </c>
      <c r="I565" s="8">
        <v>2</v>
      </c>
      <c r="J565" s="10">
        <v>2017</v>
      </c>
      <c r="K565" s="5" t="str">
        <f>"311.80"</f>
        <v>311.80</v>
      </c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 t="str">
        <f>"262.91"</f>
        <v>262.91</v>
      </c>
      <c r="W565" s="5"/>
      <c r="X565" s="5"/>
      <c r="Y565" s="5"/>
      <c r="Z565" s="5"/>
      <c r="AA565" s="5"/>
      <c r="AB565" s="5"/>
      <c r="AC565" s="5"/>
      <c r="AD565" s="5"/>
    </row>
    <row r="566" spans="1:30" ht="13.5" customHeight="1">
      <c r="A566" s="8">
        <v>564</v>
      </c>
      <c r="B566" s="8">
        <v>10239</v>
      </c>
      <c r="C566" s="9" t="s">
        <v>579</v>
      </c>
      <c r="D566" s="8" t="s">
        <v>34</v>
      </c>
      <c r="E566" s="8" t="str">
        <f>"210.59"</f>
        <v>210.59</v>
      </c>
      <c r="F566" s="8"/>
      <c r="G566" s="3">
        <v>290.95</v>
      </c>
      <c r="H566" s="10"/>
      <c r="I566" s="8">
        <v>3</v>
      </c>
      <c r="J566" s="10">
        <v>2017</v>
      </c>
      <c r="K566" s="5" t="str">
        <f>"210.59"</f>
        <v>210.59</v>
      </c>
      <c r="L566" s="5"/>
      <c r="M566" s="5"/>
      <c r="N566" s="5"/>
      <c r="O566" s="5" t="str">
        <f>"240.41"</f>
        <v>240.41</v>
      </c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 t="str">
        <f>"341.49"</f>
        <v>341.49</v>
      </c>
      <c r="AA566" s="5"/>
      <c r="AB566" s="5"/>
      <c r="AC566" s="5"/>
      <c r="AD566" s="5"/>
    </row>
    <row r="567" spans="1:30" ht="13.5" customHeight="1">
      <c r="A567" s="8">
        <v>565</v>
      </c>
      <c r="B567" s="8">
        <v>809</v>
      </c>
      <c r="C567" s="9" t="s">
        <v>819</v>
      </c>
      <c r="D567" s="8" t="s">
        <v>820</v>
      </c>
      <c r="E567" s="8" t="str">
        <f>"263.69"</f>
        <v>263.69</v>
      </c>
      <c r="F567" s="8"/>
      <c r="G567" s="3">
        <v>291.69</v>
      </c>
      <c r="H567" s="10" t="s">
        <v>18</v>
      </c>
      <c r="I567" s="8">
        <v>1</v>
      </c>
      <c r="J567" s="10">
        <v>2017</v>
      </c>
      <c r="K567" s="5" t="str">
        <f>"263.69"</f>
        <v>263.69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1:30" ht="13.5" customHeight="1">
      <c r="A568" s="8">
        <v>566</v>
      </c>
      <c r="B568" s="8">
        <v>1719</v>
      </c>
      <c r="C568" s="9" t="s">
        <v>419</v>
      </c>
      <c r="D568" s="8" t="s">
        <v>420</v>
      </c>
      <c r="E568" s="8" t="str">
        <f>"221.37"</f>
        <v>221.37</v>
      </c>
      <c r="F568" s="8"/>
      <c r="G568" s="3">
        <v>291.83999999999997</v>
      </c>
      <c r="H568" s="10" t="s">
        <v>12</v>
      </c>
      <c r="I568" s="8">
        <v>2</v>
      </c>
      <c r="J568" s="10">
        <v>2017</v>
      </c>
      <c r="K568" s="5" t="str">
        <f>"221.37"</f>
        <v>221.37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 t="str">
        <f>"263.84"</f>
        <v>263.84</v>
      </c>
      <c r="Z568" s="5"/>
      <c r="AA568" s="5"/>
      <c r="AB568" s="5"/>
      <c r="AC568" s="5"/>
      <c r="AD568" s="5"/>
    </row>
    <row r="569" spans="1:30" ht="13.5" customHeight="1">
      <c r="A569" s="8">
        <v>567</v>
      </c>
      <c r="B569" s="8">
        <v>10340</v>
      </c>
      <c r="C569" s="9" t="s">
        <v>643</v>
      </c>
      <c r="D569" s="8" t="s">
        <v>16</v>
      </c>
      <c r="E569" s="8" t="str">
        <f>"292.21"</f>
        <v>292.21</v>
      </c>
      <c r="F569" s="8"/>
      <c r="G569" s="3">
        <v>292.20999999999998</v>
      </c>
      <c r="H569" s="10"/>
      <c r="I569" s="8">
        <v>3</v>
      </c>
      <c r="J569" s="10">
        <v>2017</v>
      </c>
      <c r="K569" s="5" t="str">
        <f>"337.20"</f>
        <v>337.20</v>
      </c>
      <c r="L569" s="5" t="str">
        <f>"500.88"</f>
        <v>500.88</v>
      </c>
      <c r="M569" s="5"/>
      <c r="N569" s="5"/>
      <c r="O569" s="5"/>
      <c r="P569" s="5"/>
      <c r="Q569" s="5"/>
      <c r="R569" s="5"/>
      <c r="S569" s="5"/>
      <c r="T569" s="5"/>
      <c r="U569" s="5"/>
      <c r="V569" s="5" t="str">
        <f>"290.32"</f>
        <v>290.32</v>
      </c>
      <c r="W569" s="5"/>
      <c r="X569" s="5"/>
      <c r="Y569" s="5"/>
      <c r="Z569" s="5"/>
      <c r="AA569" s="5" t="str">
        <f>"294.09"</f>
        <v>294.09</v>
      </c>
      <c r="AB569" s="5"/>
      <c r="AC569" s="5"/>
      <c r="AD569" s="5"/>
    </row>
    <row r="570" spans="1:30" ht="13.5" customHeight="1">
      <c r="A570" s="8">
        <v>568</v>
      </c>
      <c r="B570" s="8">
        <v>1636</v>
      </c>
      <c r="C570" s="9" t="s">
        <v>1174</v>
      </c>
      <c r="D570" s="8" t="s">
        <v>108</v>
      </c>
      <c r="E570" s="8" t="str">
        <f>"264.47"</f>
        <v>264.47</v>
      </c>
      <c r="F570" s="8"/>
      <c r="G570" s="3">
        <v>292.47000000000003</v>
      </c>
      <c r="H570" s="10" t="s">
        <v>18</v>
      </c>
      <c r="I570" s="8">
        <v>1</v>
      </c>
      <c r="J570" s="10">
        <v>2017</v>
      </c>
      <c r="K570" s="5" t="str">
        <f>"264.47"</f>
        <v>264.47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1:30" ht="13.5" customHeight="1">
      <c r="A571" s="8">
        <v>569</v>
      </c>
      <c r="B571" s="8">
        <v>3699</v>
      </c>
      <c r="C571" s="9" t="s">
        <v>236</v>
      </c>
      <c r="D571" s="8" t="s">
        <v>237</v>
      </c>
      <c r="E571" s="8" t="str">
        <f>"264.74"</f>
        <v>264.74</v>
      </c>
      <c r="F571" s="8"/>
      <c r="G571" s="3">
        <v>292.74</v>
      </c>
      <c r="H571" s="10" t="s">
        <v>18</v>
      </c>
      <c r="I571" s="8">
        <v>1</v>
      </c>
      <c r="J571" s="10">
        <v>2017</v>
      </c>
      <c r="K571" s="5" t="str">
        <f>"264.74"</f>
        <v>264.74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1:30" ht="13.5" customHeight="1">
      <c r="A572" s="8">
        <v>570</v>
      </c>
      <c r="B572" s="8">
        <v>3756</v>
      </c>
      <c r="C572" s="9" t="s">
        <v>546</v>
      </c>
      <c r="D572" s="8" t="s">
        <v>323</v>
      </c>
      <c r="E572" s="8" t="str">
        <f>"264.95"</f>
        <v>264.95</v>
      </c>
      <c r="F572" s="8"/>
      <c r="G572" s="3">
        <v>292.95</v>
      </c>
      <c r="H572" s="10" t="s">
        <v>18</v>
      </c>
      <c r="I572" s="8">
        <v>1</v>
      </c>
      <c r="J572" s="10">
        <v>2017</v>
      </c>
      <c r="K572" s="5" t="str">
        <f>"264.95"</f>
        <v>264.95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1:30" ht="13.5" customHeight="1">
      <c r="A573" s="8">
        <v>571</v>
      </c>
      <c r="B573" s="8">
        <v>5151</v>
      </c>
      <c r="C573" s="9" t="s">
        <v>756</v>
      </c>
      <c r="D573" s="8" t="s">
        <v>378</v>
      </c>
      <c r="E573" s="8" t="str">
        <f>"265.71"</f>
        <v>265.71</v>
      </c>
      <c r="F573" s="8"/>
      <c r="G573" s="3">
        <v>293.70999999999998</v>
      </c>
      <c r="H573" s="10" t="s">
        <v>18</v>
      </c>
      <c r="I573" s="8">
        <v>1</v>
      </c>
      <c r="J573" s="10">
        <v>2017</v>
      </c>
      <c r="K573" s="5" t="str">
        <f>"265.71"</f>
        <v>265.71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1:30" ht="13.5" customHeight="1">
      <c r="A574" s="8">
        <v>572</v>
      </c>
      <c r="B574" s="8">
        <v>10156</v>
      </c>
      <c r="C574" s="9" t="s">
        <v>936</v>
      </c>
      <c r="D574" s="8" t="s">
        <v>16</v>
      </c>
      <c r="E574" s="8" t="str">
        <f>"267.13"</f>
        <v>267.13</v>
      </c>
      <c r="F574" s="8"/>
      <c r="G574" s="3">
        <v>293.77</v>
      </c>
      <c r="H574" s="10"/>
      <c r="I574" s="8">
        <v>3</v>
      </c>
      <c r="J574" s="10">
        <v>2017</v>
      </c>
      <c r="K574" s="5" t="str">
        <f>"267.13"</f>
        <v>267.13</v>
      </c>
      <c r="L574" s="5" t="str">
        <f>"316.51"</f>
        <v>316.51</v>
      </c>
      <c r="M574" s="5"/>
      <c r="N574" s="5"/>
      <c r="O574" s="5"/>
      <c r="P574" s="5"/>
      <c r="Q574" s="5"/>
      <c r="R574" s="5"/>
      <c r="S574" s="5"/>
      <c r="T574" s="5"/>
      <c r="U574" s="5"/>
      <c r="V574" s="5" t="str">
        <f>"271.03"</f>
        <v>271.03</v>
      </c>
      <c r="W574" s="5" t="str">
        <f>"393.15"</f>
        <v>393.15</v>
      </c>
      <c r="X574" s="5"/>
      <c r="Y574" s="5"/>
      <c r="Z574" s="5"/>
      <c r="AA574" s="5"/>
      <c r="AB574" s="5"/>
      <c r="AC574" s="5"/>
      <c r="AD574" s="5"/>
    </row>
    <row r="575" spans="1:30" ht="13.5" customHeight="1">
      <c r="A575" s="8">
        <v>573</v>
      </c>
      <c r="B575" s="8">
        <v>8327</v>
      </c>
      <c r="C575" s="9" t="s">
        <v>658</v>
      </c>
      <c r="D575" s="8" t="s">
        <v>131</v>
      </c>
      <c r="E575" s="8" t="str">
        <f>"266.17"</f>
        <v>266.17</v>
      </c>
      <c r="F575" s="8"/>
      <c r="G575" s="3">
        <v>294.17</v>
      </c>
      <c r="H575" s="10" t="s">
        <v>18</v>
      </c>
      <c r="I575" s="8">
        <v>1</v>
      </c>
      <c r="J575" s="10">
        <v>2017</v>
      </c>
      <c r="K575" s="5" t="str">
        <f>"266.17"</f>
        <v>266.17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1:30" ht="13.5" customHeight="1">
      <c r="A576" s="8">
        <v>574</v>
      </c>
      <c r="B576" s="8">
        <v>5359</v>
      </c>
      <c r="C576" s="9" t="s">
        <v>465</v>
      </c>
      <c r="D576" s="8" t="s">
        <v>76</v>
      </c>
      <c r="E576" s="8" t="str">
        <f>"126.54"</f>
        <v>126.54</v>
      </c>
      <c r="F576" s="8"/>
      <c r="G576" s="3">
        <v>294.89</v>
      </c>
      <c r="H576" s="10" t="s">
        <v>12</v>
      </c>
      <c r="I576" s="8">
        <v>2</v>
      </c>
      <c r="J576" s="10">
        <v>2017</v>
      </c>
      <c r="K576" s="5" t="str">
        <f>"126.54"</f>
        <v>126.54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 t="str">
        <f>"266.89"</f>
        <v>266.89</v>
      </c>
      <c r="AB576" s="5"/>
      <c r="AC576" s="5"/>
      <c r="AD576" s="5"/>
    </row>
    <row r="577" spans="1:30" ht="13.5" customHeight="1">
      <c r="A577" s="8">
        <v>575</v>
      </c>
      <c r="B577" s="8">
        <v>10790</v>
      </c>
      <c r="C577" s="9" t="s">
        <v>535</v>
      </c>
      <c r="D577" s="8" t="s">
        <v>16</v>
      </c>
      <c r="E577" s="8" t="str">
        <f>"462.30"</f>
        <v>462.30</v>
      </c>
      <c r="F577" s="8"/>
      <c r="G577" s="3">
        <v>295.48</v>
      </c>
      <c r="H577" s="10" t="s">
        <v>12</v>
      </c>
      <c r="I577" s="8">
        <v>2</v>
      </c>
      <c r="J577" s="10">
        <v>2017</v>
      </c>
      <c r="K577" s="5" t="str">
        <f>"657.12"</f>
        <v>657.12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 t="str">
        <f>"267.48"</f>
        <v>267.48</v>
      </c>
      <c r="AD577" s="5"/>
    </row>
    <row r="578" spans="1:30" ht="13.5" customHeight="1">
      <c r="A578" s="8">
        <v>576</v>
      </c>
      <c r="B578" s="8">
        <v>5031</v>
      </c>
      <c r="C578" s="9" t="s">
        <v>409</v>
      </c>
      <c r="D578" s="8" t="s">
        <v>62</v>
      </c>
      <c r="E578" s="8" t="str">
        <f>"267.48"</f>
        <v>267.48</v>
      </c>
      <c r="F578" s="8"/>
      <c r="G578" s="3">
        <v>295.48</v>
      </c>
      <c r="H578" s="10" t="s">
        <v>18</v>
      </c>
      <c r="I578" s="8">
        <v>1</v>
      </c>
      <c r="J578" s="10">
        <v>2017</v>
      </c>
      <c r="K578" s="5" t="str">
        <f>"267.48"</f>
        <v>267.48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1:30" ht="13.5" customHeight="1">
      <c r="A579" s="8">
        <v>577</v>
      </c>
      <c r="B579" s="8">
        <v>10739</v>
      </c>
      <c r="C579" s="9" t="s">
        <v>402</v>
      </c>
      <c r="D579" s="8" t="s">
        <v>29</v>
      </c>
      <c r="E579" s="8" t="str">
        <f>"244.14"</f>
        <v>244.14</v>
      </c>
      <c r="F579" s="8"/>
      <c r="G579" s="3">
        <v>295.63</v>
      </c>
      <c r="H579" s="10"/>
      <c r="I579" s="8">
        <v>3</v>
      </c>
      <c r="J579" s="10">
        <v>2017</v>
      </c>
      <c r="K579" s="5" t="str">
        <f>"299.14"</f>
        <v>299.14</v>
      </c>
      <c r="L579" s="5"/>
      <c r="M579" s="5"/>
      <c r="N579" s="5"/>
      <c r="O579" s="5"/>
      <c r="P579" s="5"/>
      <c r="Q579" s="5"/>
      <c r="R579" s="5" t="str">
        <f>"402.12"</f>
        <v>402.12</v>
      </c>
      <c r="S579" s="5"/>
      <c r="T579" s="5"/>
      <c r="U579" s="5"/>
      <c r="V579" s="5"/>
      <c r="W579" s="5"/>
      <c r="X579" s="5"/>
      <c r="Y579" s="5"/>
      <c r="Z579" s="5"/>
      <c r="AA579" s="5"/>
      <c r="AB579" s="5" t="str">
        <f>"189.14"</f>
        <v>189.14</v>
      </c>
      <c r="AC579" s="5"/>
      <c r="AD579" s="5"/>
    </row>
    <row r="580" spans="1:30" ht="13.5" customHeight="1">
      <c r="A580" s="8">
        <v>578</v>
      </c>
      <c r="B580" s="8">
        <v>10815</v>
      </c>
      <c r="C580" s="9" t="s">
        <v>526</v>
      </c>
      <c r="D580" s="8" t="s">
        <v>29</v>
      </c>
      <c r="E580" s="8" t="str">
        <f>"236.30"</f>
        <v>236.30</v>
      </c>
      <c r="F580" s="8"/>
      <c r="G580" s="3">
        <v>295.72000000000003</v>
      </c>
      <c r="H580" s="10" t="s">
        <v>12</v>
      </c>
      <c r="I580" s="8">
        <v>2</v>
      </c>
      <c r="J580" s="10">
        <v>2017</v>
      </c>
      <c r="K580" s="5" t="str">
        <f>"236.30"</f>
        <v>236.30</v>
      </c>
      <c r="L580" s="5"/>
      <c r="M580" s="5"/>
      <c r="N580" s="5"/>
      <c r="O580" s="5"/>
      <c r="P580" s="5"/>
      <c r="Q580" s="5" t="str">
        <f>"267.72"</f>
        <v>267.72</v>
      </c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1:30" ht="13.5" customHeight="1">
      <c r="A581" s="8">
        <v>579</v>
      </c>
      <c r="B581" s="8">
        <v>4234</v>
      </c>
      <c r="C581" s="9" t="s">
        <v>1205</v>
      </c>
      <c r="D581" s="8" t="s">
        <v>62</v>
      </c>
      <c r="E581" s="8" t="str">
        <f>"267.95"</f>
        <v>267.95</v>
      </c>
      <c r="F581" s="8"/>
      <c r="G581" s="3">
        <v>295.95</v>
      </c>
      <c r="H581" s="10" t="s">
        <v>18</v>
      </c>
      <c r="I581" s="8">
        <v>1</v>
      </c>
      <c r="J581" s="10">
        <v>2017</v>
      </c>
      <c r="K581" s="5" t="str">
        <f>"267.95"</f>
        <v>267.95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1:30" ht="13.5" customHeight="1">
      <c r="A582" s="8">
        <v>580</v>
      </c>
      <c r="B582" s="8">
        <v>1296</v>
      </c>
      <c r="C582" s="9" t="s">
        <v>763</v>
      </c>
      <c r="D582" s="8" t="s">
        <v>108</v>
      </c>
      <c r="E582" s="8" t="str">
        <f>"271.07"</f>
        <v>271.07</v>
      </c>
      <c r="F582" s="8"/>
      <c r="G582" s="3">
        <v>296.74</v>
      </c>
      <c r="H582" s="10" t="s">
        <v>12</v>
      </c>
      <c r="I582" s="8">
        <v>2</v>
      </c>
      <c r="J582" s="10">
        <v>2017</v>
      </c>
      <c r="K582" s="5" t="str">
        <f>"273.40"</f>
        <v>273.40</v>
      </c>
      <c r="L582" s="5"/>
      <c r="M582" s="5"/>
      <c r="N582" s="5"/>
      <c r="O582" s="5" t="str">
        <f>"268.74"</f>
        <v>268.74</v>
      </c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1:30" ht="13.5" customHeight="1">
      <c r="A583" s="8">
        <v>581</v>
      </c>
      <c r="B583" s="8">
        <v>9971</v>
      </c>
      <c r="C583" s="9" t="s">
        <v>1199</v>
      </c>
      <c r="D583" s="8" t="s">
        <v>1200</v>
      </c>
      <c r="E583" s="8" t="str">
        <f>"268.96"</f>
        <v>268.96</v>
      </c>
      <c r="F583" s="8"/>
      <c r="G583" s="3">
        <v>296.95999999999998</v>
      </c>
      <c r="H583" s="10" t="s">
        <v>18</v>
      </c>
      <c r="I583" s="8">
        <v>1</v>
      </c>
      <c r="J583" s="10">
        <v>2017</v>
      </c>
      <c r="K583" s="5" t="str">
        <f>"268.96"</f>
        <v>268.96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1:30" ht="13.5" customHeight="1">
      <c r="A584" s="8">
        <v>582</v>
      </c>
      <c r="B584" s="8">
        <v>10696</v>
      </c>
      <c r="C584" s="9" t="s">
        <v>543</v>
      </c>
      <c r="D584" s="8" t="s">
        <v>34</v>
      </c>
      <c r="E584" s="8" t="str">
        <f>"269.19"</f>
        <v>269.19</v>
      </c>
      <c r="F584" s="8"/>
      <c r="G584" s="3">
        <v>297.19</v>
      </c>
      <c r="H584" s="10" t="s">
        <v>18</v>
      </c>
      <c r="I584" s="8">
        <v>1</v>
      </c>
      <c r="J584" s="10">
        <v>2017</v>
      </c>
      <c r="K584" s="5" t="str">
        <f>"269.19"</f>
        <v>269.19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1:30" ht="13.5" customHeight="1">
      <c r="A585" s="8">
        <v>583</v>
      </c>
      <c r="B585" s="8">
        <v>11129</v>
      </c>
      <c r="C585" s="9" t="s">
        <v>714</v>
      </c>
      <c r="D585" s="8" t="s">
        <v>29</v>
      </c>
      <c r="E585" s="8" t="str">
        <f>"297.60"</f>
        <v>297.60</v>
      </c>
      <c r="F585" s="8"/>
      <c r="G585" s="3">
        <v>297.60000000000002</v>
      </c>
      <c r="H585" s="10"/>
      <c r="I585" s="8">
        <v>5</v>
      </c>
      <c r="J585" s="10">
        <v>2017</v>
      </c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 t="str">
        <f>"322.54"</f>
        <v>322.54</v>
      </c>
      <c r="Y585" s="5"/>
      <c r="Z585" s="5"/>
      <c r="AA585" s="5"/>
      <c r="AB585" s="5" t="str">
        <f>"272.65"</f>
        <v>272.65</v>
      </c>
      <c r="AC585" s="5"/>
      <c r="AD585" s="5"/>
    </row>
    <row r="586" spans="1:30" ht="13.5" customHeight="1">
      <c r="A586" s="8">
        <v>584</v>
      </c>
      <c r="B586" s="8">
        <v>3177</v>
      </c>
      <c r="C586" s="9" t="s">
        <v>488</v>
      </c>
      <c r="D586" s="8" t="s">
        <v>489</v>
      </c>
      <c r="E586" s="8" t="str">
        <f>"269.64"</f>
        <v>269.64</v>
      </c>
      <c r="F586" s="8"/>
      <c r="G586" s="3">
        <v>297.64</v>
      </c>
      <c r="H586" s="10" t="s">
        <v>18</v>
      </c>
      <c r="I586" s="8">
        <v>1</v>
      </c>
      <c r="J586" s="10">
        <v>2017</v>
      </c>
      <c r="K586" s="5" t="str">
        <f>"269.64"</f>
        <v>269.64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1:30" ht="13.5" customHeight="1">
      <c r="A587" s="8">
        <v>585</v>
      </c>
      <c r="B587" s="8">
        <v>10592</v>
      </c>
      <c r="C587" s="9" t="s">
        <v>604</v>
      </c>
      <c r="D587" s="8" t="s">
        <v>16</v>
      </c>
      <c r="E587" s="8" t="str">
        <f>"297.76"</f>
        <v>297.76</v>
      </c>
      <c r="F587" s="8"/>
      <c r="G587" s="3">
        <v>297.76</v>
      </c>
      <c r="H587" s="10"/>
      <c r="I587" s="8">
        <v>3</v>
      </c>
      <c r="J587" s="10">
        <v>2017</v>
      </c>
      <c r="K587" s="5" t="str">
        <f>"340.28"</f>
        <v>340.28</v>
      </c>
      <c r="L587" s="5" t="str">
        <f>"307.46"</f>
        <v>307.46</v>
      </c>
      <c r="M587" s="5"/>
      <c r="N587" s="5"/>
      <c r="O587" s="5"/>
      <c r="P587" s="5"/>
      <c r="Q587" s="5"/>
      <c r="R587" s="5"/>
      <c r="S587" s="5"/>
      <c r="T587" s="5"/>
      <c r="U587" s="5"/>
      <c r="V587" s="5" t="str">
        <f>"288.05"</f>
        <v>288.05</v>
      </c>
      <c r="W587" s="5" t="str">
        <f>"394.93"</f>
        <v>394.93</v>
      </c>
      <c r="X587" s="5"/>
      <c r="Y587" s="5"/>
      <c r="Z587" s="5"/>
      <c r="AA587" s="5"/>
      <c r="AB587" s="5"/>
      <c r="AC587" s="5"/>
      <c r="AD587" s="5"/>
    </row>
    <row r="588" spans="1:30" ht="13.5" customHeight="1">
      <c r="A588" s="8">
        <v>586</v>
      </c>
      <c r="B588" s="8">
        <v>10451</v>
      </c>
      <c r="C588" s="9" t="s">
        <v>410</v>
      </c>
      <c r="D588" s="8" t="s">
        <v>16</v>
      </c>
      <c r="E588" s="8" t="str">
        <f>"298.22"</f>
        <v>298.22</v>
      </c>
      <c r="F588" s="8"/>
      <c r="G588" s="3">
        <v>298.22000000000003</v>
      </c>
      <c r="H588" s="10"/>
      <c r="I588" s="8">
        <v>3</v>
      </c>
      <c r="J588" s="10">
        <v>2017</v>
      </c>
      <c r="K588" s="5" t="str">
        <f>"582.12"</f>
        <v>582.12</v>
      </c>
      <c r="L588" s="5"/>
      <c r="M588" s="5"/>
      <c r="N588" s="5"/>
      <c r="O588" s="5"/>
      <c r="P588" s="5"/>
      <c r="Q588" s="5"/>
      <c r="R588" s="5" t="str">
        <f>"522.92"</f>
        <v>522.92</v>
      </c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 t="str">
        <f>"326.95"</f>
        <v>326.95</v>
      </c>
      <c r="AD588" s="5" t="str">
        <f>"269.49"</f>
        <v>269.49</v>
      </c>
    </row>
    <row r="589" spans="1:30" ht="13.5" customHeight="1">
      <c r="A589" s="8">
        <v>587</v>
      </c>
      <c r="B589" s="8">
        <v>8021</v>
      </c>
      <c r="C589" s="9" t="s">
        <v>1198</v>
      </c>
      <c r="D589" s="8" t="s">
        <v>549</v>
      </c>
      <c r="E589" s="8" t="str">
        <f>"270.45"</f>
        <v>270.45</v>
      </c>
      <c r="F589" s="8"/>
      <c r="G589" s="3">
        <v>298.45</v>
      </c>
      <c r="H589" s="10" t="s">
        <v>18</v>
      </c>
      <c r="I589" s="8">
        <v>1</v>
      </c>
      <c r="J589" s="10">
        <v>2017</v>
      </c>
      <c r="K589" s="5" t="str">
        <f>"270.45"</f>
        <v>270.45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1:30" ht="13.5" customHeight="1">
      <c r="A590" s="8">
        <v>588</v>
      </c>
      <c r="B590" s="8">
        <v>10900</v>
      </c>
      <c r="C590" s="9" t="s">
        <v>731</v>
      </c>
      <c r="D590" s="8" t="s">
        <v>16</v>
      </c>
      <c r="E590" s="8" t="str">
        <f>"288.38"</f>
        <v>288.38</v>
      </c>
      <c r="F590" s="8"/>
      <c r="G590" s="3">
        <v>298.48</v>
      </c>
      <c r="H590" s="10"/>
      <c r="I590" s="8">
        <v>3</v>
      </c>
      <c r="J590" s="10">
        <v>2017</v>
      </c>
      <c r="K590" s="5" t="str">
        <f>"329.40"</f>
        <v>329.40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 t="str">
        <f>"349.60"</f>
        <v>349.60</v>
      </c>
      <c r="Y590" s="5"/>
      <c r="Z590" s="5"/>
      <c r="AA590" s="5" t="str">
        <f>"460.72"</f>
        <v>460.72</v>
      </c>
      <c r="AB590" s="5"/>
      <c r="AC590" s="5" t="str">
        <f>"247.35"</f>
        <v>247.35</v>
      </c>
      <c r="AD590" s="5"/>
    </row>
    <row r="591" spans="1:30" ht="13.5" customHeight="1">
      <c r="A591" s="8">
        <v>589</v>
      </c>
      <c r="B591" s="8">
        <v>3398</v>
      </c>
      <c r="C591" s="9" t="s">
        <v>952</v>
      </c>
      <c r="D591" s="8" t="s">
        <v>807</v>
      </c>
      <c r="E591" s="8" t="str">
        <f>"233.21"</f>
        <v>233.21</v>
      </c>
      <c r="F591" s="8"/>
      <c r="G591" s="3">
        <v>299.12</v>
      </c>
      <c r="H591" s="10" t="s">
        <v>12</v>
      </c>
      <c r="I591" s="8">
        <v>2</v>
      </c>
      <c r="J591" s="10">
        <v>2018</v>
      </c>
      <c r="K591" s="5" t="str">
        <f>"233.21"</f>
        <v>233.21</v>
      </c>
      <c r="L591" s="5"/>
      <c r="M591" s="5"/>
      <c r="N591" s="5"/>
      <c r="O591" s="5" t="str">
        <f>"271.12"</f>
        <v>271.12</v>
      </c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1:30" ht="13.5" customHeight="1">
      <c r="A592" s="8">
        <v>590</v>
      </c>
      <c r="B592" s="8">
        <v>7323</v>
      </c>
      <c r="C592" s="9" t="s">
        <v>1178</v>
      </c>
      <c r="D592" s="8" t="s">
        <v>170</v>
      </c>
      <c r="E592" s="8" t="str">
        <f>"271.34"</f>
        <v>271.34</v>
      </c>
      <c r="F592" s="8"/>
      <c r="G592" s="3">
        <v>299.33999999999997</v>
      </c>
      <c r="H592" s="10" t="s">
        <v>18</v>
      </c>
      <c r="I592" s="8">
        <v>1</v>
      </c>
      <c r="J592" s="10">
        <v>2017</v>
      </c>
      <c r="K592" s="5" t="str">
        <f>"271.34"</f>
        <v>271.34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1:30" ht="13.5" customHeight="1">
      <c r="A593" s="8">
        <v>591</v>
      </c>
      <c r="B593" s="8">
        <v>6393</v>
      </c>
      <c r="C593" s="9" t="s">
        <v>1142</v>
      </c>
      <c r="D593" s="8" t="s">
        <v>213</v>
      </c>
      <c r="E593" s="8" t="str">
        <f>"271.79"</f>
        <v>271.79</v>
      </c>
      <c r="F593" s="8"/>
      <c r="G593" s="3">
        <v>299.79000000000002</v>
      </c>
      <c r="H593" s="10" t="s">
        <v>18</v>
      </c>
      <c r="I593" s="8">
        <v>1</v>
      </c>
      <c r="J593" s="10">
        <v>2018</v>
      </c>
      <c r="K593" s="5" t="str">
        <f>"271.79"</f>
        <v>271.79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1:30" ht="13.5" customHeight="1">
      <c r="A594" s="8">
        <v>592</v>
      </c>
      <c r="B594" s="8">
        <v>6707</v>
      </c>
      <c r="C594" s="9" t="s">
        <v>822</v>
      </c>
      <c r="D594" s="8" t="s">
        <v>34</v>
      </c>
      <c r="E594" s="8" t="str">
        <f>"285.57"</f>
        <v>285.57</v>
      </c>
      <c r="F594" s="8"/>
      <c r="G594" s="3">
        <v>299.86</v>
      </c>
      <c r="H594" s="10" t="s">
        <v>12</v>
      </c>
      <c r="I594" s="8">
        <v>2</v>
      </c>
      <c r="J594" s="10">
        <v>2017</v>
      </c>
      <c r="K594" s="5" t="str">
        <f>"299.27"</f>
        <v>299.27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 t="str">
        <f>"271.86"</f>
        <v>271.86</v>
      </c>
      <c r="AA594" s="5"/>
      <c r="AB594" s="5"/>
      <c r="AC594" s="5"/>
      <c r="AD594" s="5"/>
    </row>
    <row r="595" spans="1:30" ht="13.5" customHeight="1">
      <c r="A595" s="8">
        <v>593</v>
      </c>
      <c r="B595" s="8">
        <v>10892</v>
      </c>
      <c r="C595" s="9" t="s">
        <v>703</v>
      </c>
      <c r="D595" s="8" t="s">
        <v>16</v>
      </c>
      <c r="E595" s="8" t="str">
        <f>"300.04"</f>
        <v>300.04</v>
      </c>
      <c r="F595" s="8"/>
      <c r="G595" s="3">
        <v>300.04000000000002</v>
      </c>
      <c r="H595" s="10"/>
      <c r="I595" s="8">
        <v>3</v>
      </c>
      <c r="J595" s="10">
        <v>2017</v>
      </c>
      <c r="K595" s="5" t="str">
        <f>"418.52"</f>
        <v>418.52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 t="str">
        <f>"267.54"</f>
        <v>267.54</v>
      </c>
      <c r="W595" s="5" t="str">
        <f>"332.54"</f>
        <v>332.54</v>
      </c>
      <c r="X595" s="5"/>
      <c r="Y595" s="5"/>
      <c r="Z595" s="5"/>
      <c r="AA595" s="5"/>
      <c r="AB595" s="5"/>
      <c r="AC595" s="5"/>
      <c r="AD595" s="5"/>
    </row>
    <row r="596" spans="1:30" ht="13.5" customHeight="1">
      <c r="A596" s="8">
        <v>594</v>
      </c>
      <c r="B596" s="8">
        <v>10576</v>
      </c>
      <c r="C596" s="9" t="s">
        <v>811</v>
      </c>
      <c r="D596" s="8" t="s">
        <v>16</v>
      </c>
      <c r="E596" s="8" t="str">
        <f>"272.05"</f>
        <v>272.05</v>
      </c>
      <c r="F596" s="8"/>
      <c r="G596" s="3">
        <v>300.05</v>
      </c>
      <c r="H596" s="10" t="s">
        <v>18</v>
      </c>
      <c r="I596" s="8">
        <v>1</v>
      </c>
      <c r="J596" s="10">
        <v>2017</v>
      </c>
      <c r="K596" s="5" t="str">
        <f>"272.05"</f>
        <v>272.05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1:30" ht="13.5" customHeight="1">
      <c r="A597" s="8">
        <v>595</v>
      </c>
      <c r="B597" s="8">
        <v>5746</v>
      </c>
      <c r="C597" s="9" t="s">
        <v>812</v>
      </c>
      <c r="D597" s="8" t="s">
        <v>63</v>
      </c>
      <c r="E597" s="8" t="str">
        <f>"300.34"</f>
        <v>300.34</v>
      </c>
      <c r="F597" s="8"/>
      <c r="G597" s="3">
        <v>300.33999999999997</v>
      </c>
      <c r="H597" s="10"/>
      <c r="I597" s="8">
        <v>3</v>
      </c>
      <c r="J597" s="10">
        <v>2017</v>
      </c>
      <c r="K597" s="5" t="str">
        <f>"345.89"</f>
        <v>345.89</v>
      </c>
      <c r="L597" s="5"/>
      <c r="M597" s="5"/>
      <c r="N597" s="5"/>
      <c r="O597" s="5"/>
      <c r="P597" s="5"/>
      <c r="Q597" s="5"/>
      <c r="R597" s="5"/>
      <c r="S597" s="5"/>
      <c r="T597" s="5" t="str">
        <f>"334.24"</f>
        <v>334.24</v>
      </c>
      <c r="U597" s="5"/>
      <c r="V597" s="5"/>
      <c r="W597" s="5"/>
      <c r="X597" s="5"/>
      <c r="Y597" s="5"/>
      <c r="Z597" s="5" t="str">
        <f>"266.43"</f>
        <v>266.43</v>
      </c>
      <c r="AA597" s="5"/>
      <c r="AB597" s="5"/>
      <c r="AC597" s="5"/>
      <c r="AD597" s="5"/>
    </row>
    <row r="598" spans="1:30" ht="13.5" customHeight="1">
      <c r="A598" s="8">
        <v>596</v>
      </c>
      <c r="B598" s="8">
        <v>8066</v>
      </c>
      <c r="C598" s="9" t="s">
        <v>946</v>
      </c>
      <c r="D598" s="8" t="s">
        <v>947</v>
      </c>
      <c r="E598" s="8" t="str">
        <f>"272.36"</f>
        <v>272.36</v>
      </c>
      <c r="F598" s="8"/>
      <c r="G598" s="3">
        <v>300.36</v>
      </c>
      <c r="H598" s="10" t="s">
        <v>18</v>
      </c>
      <c r="I598" s="8">
        <v>1</v>
      </c>
      <c r="J598" s="10">
        <v>2017</v>
      </c>
      <c r="K598" s="5" t="str">
        <f>"272.36"</f>
        <v>272.36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1:30" ht="13.5" customHeight="1">
      <c r="A599" s="8">
        <v>597</v>
      </c>
      <c r="B599" s="8">
        <v>10717</v>
      </c>
      <c r="C599" s="9" t="s">
        <v>757</v>
      </c>
      <c r="D599" s="8" t="s">
        <v>29</v>
      </c>
      <c r="E599" s="8" t="str">
        <f>"486.97"</f>
        <v>486.97</v>
      </c>
      <c r="F599" s="8"/>
      <c r="G599" s="3">
        <v>300.62</v>
      </c>
      <c r="H599" s="10" t="s">
        <v>12</v>
      </c>
      <c r="I599" s="8">
        <v>2</v>
      </c>
      <c r="J599" s="10">
        <v>2017</v>
      </c>
      <c r="K599" s="5" t="str">
        <f>"701.32"</f>
        <v>701.32</v>
      </c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 t="str">
        <f>"272.62"</f>
        <v>272.62</v>
      </c>
      <c r="Y599" s="5"/>
      <c r="Z599" s="5"/>
      <c r="AA599" s="5"/>
      <c r="AB599" s="5"/>
      <c r="AC599" s="5"/>
      <c r="AD599" s="5"/>
    </row>
    <row r="600" spans="1:30" ht="13.5" customHeight="1">
      <c r="A600" s="8">
        <v>598</v>
      </c>
      <c r="B600" s="8">
        <v>11082</v>
      </c>
      <c r="C600" s="9" t="s">
        <v>795</v>
      </c>
      <c r="D600" s="8" t="s">
        <v>16</v>
      </c>
      <c r="E600" s="8" t="str">
        <f>"301.63"</f>
        <v>301.63</v>
      </c>
      <c r="F600" s="8"/>
      <c r="G600" s="3">
        <v>301.63</v>
      </c>
      <c r="H600" s="10"/>
      <c r="I600" s="8">
        <v>3</v>
      </c>
      <c r="J600" s="10">
        <v>2017</v>
      </c>
      <c r="K600" s="5" t="str">
        <f>"507.32"</f>
        <v>507.32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 t="str">
        <f>"339.19"</f>
        <v>339.19</v>
      </c>
      <c r="W600" s="5" t="str">
        <f>"417.82"</f>
        <v>417.82</v>
      </c>
      <c r="X600" s="5"/>
      <c r="Y600" s="5"/>
      <c r="Z600" s="5"/>
      <c r="AA600" s="5"/>
      <c r="AB600" s="5"/>
      <c r="AC600" s="5" t="str">
        <f>"344.79"</f>
        <v>344.79</v>
      </c>
      <c r="AD600" s="5" t="str">
        <f>"264.07"</f>
        <v>264.07</v>
      </c>
    </row>
    <row r="601" spans="1:30" ht="13.5" customHeight="1">
      <c r="A601" s="8">
        <v>599</v>
      </c>
      <c r="B601" s="8">
        <v>3310</v>
      </c>
      <c r="C601" s="9" t="s">
        <v>841</v>
      </c>
      <c r="D601" s="8" t="s">
        <v>208</v>
      </c>
      <c r="E601" s="8" t="str">
        <f>"273.70"</f>
        <v>273.70</v>
      </c>
      <c r="F601" s="8"/>
      <c r="G601" s="3">
        <v>301.7</v>
      </c>
      <c r="H601" s="10" t="s">
        <v>18</v>
      </c>
      <c r="I601" s="8">
        <v>1</v>
      </c>
      <c r="J601" s="10">
        <v>2017</v>
      </c>
      <c r="K601" s="5" t="str">
        <f>"273.70"</f>
        <v>273.70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1:30" ht="13.5" customHeight="1">
      <c r="A602" s="8">
        <v>600</v>
      </c>
      <c r="B602" s="8">
        <v>10899</v>
      </c>
      <c r="C602" s="9" t="s">
        <v>534</v>
      </c>
      <c r="D602" s="8" t="s">
        <v>16</v>
      </c>
      <c r="E602" s="8" t="str">
        <f>"301.83"</f>
        <v>301.83</v>
      </c>
      <c r="F602" s="8"/>
      <c r="G602" s="3">
        <v>301.83</v>
      </c>
      <c r="H602" s="10"/>
      <c r="I602" s="8">
        <v>3</v>
      </c>
      <c r="J602" s="10">
        <v>2017</v>
      </c>
      <c r="K602" s="5" t="str">
        <f>"446.21"</f>
        <v>446.21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 t="str">
        <f>"339.10"</f>
        <v>339.10</v>
      </c>
      <c r="W602" s="5"/>
      <c r="X602" s="5"/>
      <c r="Y602" s="5"/>
      <c r="Z602" s="5"/>
      <c r="AA602" s="5"/>
      <c r="AB602" s="5"/>
      <c r="AC602" s="5" t="str">
        <f>"264.55"</f>
        <v>264.55</v>
      </c>
      <c r="AD602" s="5" t="str">
        <f>"372.10"</f>
        <v>372.10</v>
      </c>
    </row>
    <row r="603" spans="1:30" ht="13.5" customHeight="1">
      <c r="A603" s="8">
        <v>601</v>
      </c>
      <c r="B603" s="8">
        <v>3195</v>
      </c>
      <c r="C603" s="9" t="s">
        <v>496</v>
      </c>
      <c r="D603" s="8" t="s">
        <v>128</v>
      </c>
      <c r="E603" s="8" t="str">
        <f>"301.88"</f>
        <v>301.88</v>
      </c>
      <c r="F603" s="8"/>
      <c r="G603" s="3">
        <v>301.88</v>
      </c>
      <c r="H603" s="10" t="s">
        <v>12</v>
      </c>
      <c r="I603" s="8">
        <v>4</v>
      </c>
      <c r="J603" s="10">
        <v>2018</v>
      </c>
      <c r="K603" s="5"/>
      <c r="L603" s="5"/>
      <c r="M603" s="5"/>
      <c r="N603" s="5"/>
      <c r="O603" s="5"/>
      <c r="P603" s="5"/>
      <c r="Q603" s="5"/>
      <c r="R603" s="5"/>
      <c r="S603" s="5" t="str">
        <f>"273.88"</f>
        <v>273.88</v>
      </c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1:30" ht="13.5" customHeight="1">
      <c r="A604" s="8">
        <v>602</v>
      </c>
      <c r="B604" s="8">
        <v>5492</v>
      </c>
      <c r="C604" s="9" t="s">
        <v>775</v>
      </c>
      <c r="D604" s="8" t="s">
        <v>16</v>
      </c>
      <c r="E604" s="8" t="str">
        <f>"303.87"</f>
        <v>303.87</v>
      </c>
      <c r="F604" s="8"/>
      <c r="G604" s="3">
        <v>303.87</v>
      </c>
      <c r="H604" s="10"/>
      <c r="I604" s="8">
        <v>3</v>
      </c>
      <c r="J604" s="10">
        <v>2017</v>
      </c>
      <c r="K604" s="5" t="str">
        <f>"371.05"</f>
        <v>371.05</v>
      </c>
      <c r="L604" s="5" t="str">
        <f>"392.41"</f>
        <v>392.41</v>
      </c>
      <c r="M604" s="5" t="str">
        <f>"338.82"</f>
        <v>338.82</v>
      </c>
      <c r="N604" s="5"/>
      <c r="O604" s="5"/>
      <c r="P604" s="5"/>
      <c r="Q604" s="5"/>
      <c r="R604" s="5"/>
      <c r="S604" s="5"/>
      <c r="T604" s="5"/>
      <c r="U604" s="5"/>
      <c r="V604" s="5" t="str">
        <f>"274.43"</f>
        <v>274.43</v>
      </c>
      <c r="W604" s="5" t="str">
        <f>"333.31"</f>
        <v>333.31</v>
      </c>
      <c r="X604" s="5"/>
      <c r="Y604" s="5"/>
      <c r="Z604" s="5"/>
      <c r="AA604" s="5"/>
      <c r="AB604" s="5"/>
      <c r="AC604" s="5"/>
      <c r="AD604" s="5"/>
    </row>
    <row r="605" spans="1:30" ht="13.5" customHeight="1">
      <c r="A605" s="8">
        <v>603</v>
      </c>
      <c r="B605" s="8">
        <v>5733</v>
      </c>
      <c r="C605" s="9" t="s">
        <v>893</v>
      </c>
      <c r="D605" s="8" t="s">
        <v>211</v>
      </c>
      <c r="E605" s="8" t="str">
        <f>"276.67"</f>
        <v>276.67</v>
      </c>
      <c r="F605" s="8"/>
      <c r="G605" s="3">
        <v>304.67</v>
      </c>
      <c r="H605" s="10" t="s">
        <v>18</v>
      </c>
      <c r="I605" s="8">
        <v>1</v>
      </c>
      <c r="J605" s="10">
        <v>2017</v>
      </c>
      <c r="K605" s="5" t="str">
        <f>"276.67"</f>
        <v>276.67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1:30" ht="13.5" customHeight="1">
      <c r="A606" s="8">
        <v>604</v>
      </c>
      <c r="B606" s="8">
        <v>5511</v>
      </c>
      <c r="C606" s="9" t="s">
        <v>806</v>
      </c>
      <c r="D606" s="8" t="s">
        <v>171</v>
      </c>
      <c r="E606" s="8" t="str">
        <f>"308.48"</f>
        <v>308.48</v>
      </c>
      <c r="F606" s="8"/>
      <c r="G606" s="3">
        <v>304.97000000000003</v>
      </c>
      <c r="H606" s="10" t="s">
        <v>12</v>
      </c>
      <c r="I606" s="8">
        <v>2</v>
      </c>
      <c r="J606" s="10">
        <v>2017</v>
      </c>
      <c r="K606" s="5" t="str">
        <f>"339.99"</f>
        <v>339.99</v>
      </c>
      <c r="L606" s="5"/>
      <c r="M606" s="5"/>
      <c r="N606" s="5"/>
      <c r="O606" s="5"/>
      <c r="P606" s="5" t="str">
        <f>"276.97"</f>
        <v>276.97</v>
      </c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1:30" ht="13.5" customHeight="1">
      <c r="A607" s="8">
        <v>605</v>
      </c>
      <c r="B607" s="8">
        <v>311</v>
      </c>
      <c r="C607" s="9" t="s">
        <v>371</v>
      </c>
      <c r="D607" s="8" t="s">
        <v>51</v>
      </c>
      <c r="E607" s="8" t="str">
        <f>"277.26"</f>
        <v>277.26</v>
      </c>
      <c r="F607" s="8"/>
      <c r="G607" s="3">
        <v>305.26</v>
      </c>
      <c r="H607" s="10" t="s">
        <v>18</v>
      </c>
      <c r="I607" s="8">
        <v>1</v>
      </c>
      <c r="J607" s="10">
        <v>2017</v>
      </c>
      <c r="K607" s="5" t="str">
        <f>"277.26"</f>
        <v>277.26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1:30" ht="13.5" customHeight="1">
      <c r="A608" s="8">
        <v>606</v>
      </c>
      <c r="B608" s="8">
        <v>10415</v>
      </c>
      <c r="C608" s="9" t="s">
        <v>440</v>
      </c>
      <c r="D608" s="8" t="s">
        <v>29</v>
      </c>
      <c r="E608" s="8" t="str">
        <f>"289.54"</f>
        <v>289.54</v>
      </c>
      <c r="F608" s="8"/>
      <c r="G608" s="3">
        <v>305.31</v>
      </c>
      <c r="H608" s="10"/>
      <c r="I608" s="8">
        <v>3</v>
      </c>
      <c r="J608" s="10">
        <v>2017</v>
      </c>
      <c r="K608" s="5" t="str">
        <f>"314.39"</f>
        <v>314.39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 t="str">
        <f>"264.69"</f>
        <v>264.69</v>
      </c>
      <c r="AC608" s="5" t="str">
        <f>"354.77"</f>
        <v>354.77</v>
      </c>
      <c r="AD608" s="5" t="str">
        <f>"345.93"</f>
        <v>345.93</v>
      </c>
    </row>
    <row r="609" spans="1:30" ht="13.5" customHeight="1">
      <c r="A609" s="8">
        <v>607</v>
      </c>
      <c r="B609" s="8">
        <v>10442</v>
      </c>
      <c r="C609" s="9" t="s">
        <v>779</v>
      </c>
      <c r="D609" s="8" t="s">
        <v>16</v>
      </c>
      <c r="E609" s="8" t="str">
        <f>"305.44"</f>
        <v>305.44</v>
      </c>
      <c r="F609" s="8"/>
      <c r="G609" s="3">
        <v>305.44</v>
      </c>
      <c r="H609" s="10"/>
      <c r="I609" s="8">
        <v>3</v>
      </c>
      <c r="J609" s="10">
        <v>2017</v>
      </c>
      <c r="K609" s="5" t="str">
        <f>"358.11"</f>
        <v>358.11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 t="str">
        <f>"337.09"</f>
        <v>337.09</v>
      </c>
      <c r="W609" s="5" t="str">
        <f>"418.28"</f>
        <v>418.28</v>
      </c>
      <c r="X609" s="5"/>
      <c r="Y609" s="5"/>
      <c r="Z609" s="5"/>
      <c r="AA609" s="5"/>
      <c r="AB609" s="5"/>
      <c r="AC609" s="5" t="str">
        <f>"273.79"</f>
        <v>273.79</v>
      </c>
      <c r="AD609" s="5"/>
    </row>
    <row r="610" spans="1:30" ht="13.5" customHeight="1">
      <c r="A610" s="8">
        <v>608</v>
      </c>
      <c r="B610" s="8">
        <v>2268</v>
      </c>
      <c r="C610" s="9" t="s">
        <v>553</v>
      </c>
      <c r="D610" s="8" t="s">
        <v>16</v>
      </c>
      <c r="E610" s="8" t="str">
        <f>"218.13"</f>
        <v>218.13</v>
      </c>
      <c r="F610" s="8"/>
      <c r="G610" s="3">
        <v>305.85000000000002</v>
      </c>
      <c r="H610" s="10" t="s">
        <v>12</v>
      </c>
      <c r="I610" s="8">
        <v>2</v>
      </c>
      <c r="J610" s="10">
        <v>2017</v>
      </c>
      <c r="K610" s="5" t="str">
        <f>"218.13"</f>
        <v>218.13</v>
      </c>
      <c r="L610" s="5"/>
      <c r="M610" s="5" t="str">
        <f>"277.85"</f>
        <v>277.85</v>
      </c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1:30" ht="13.5" customHeight="1">
      <c r="A611" s="8">
        <v>609</v>
      </c>
      <c r="B611" s="8">
        <v>11121</v>
      </c>
      <c r="C611" s="9" t="s">
        <v>683</v>
      </c>
      <c r="D611" s="8" t="s">
        <v>29</v>
      </c>
      <c r="E611" s="8" t="str">
        <f>"306.24"</f>
        <v>306.24</v>
      </c>
      <c r="F611" s="8"/>
      <c r="G611" s="3">
        <v>306.24</v>
      </c>
      <c r="H611" s="10"/>
      <c r="I611" s="8">
        <v>5</v>
      </c>
      <c r="J611" s="10">
        <v>2017</v>
      </c>
      <c r="K611" s="5"/>
      <c r="L611" s="5"/>
      <c r="M611" s="5"/>
      <c r="N611" s="5" t="str">
        <f>"274.62"</f>
        <v>274.62</v>
      </c>
      <c r="O611" s="5"/>
      <c r="P611" s="5"/>
      <c r="Q611" s="5" t="str">
        <f>"337.85"</f>
        <v>337.85</v>
      </c>
      <c r="R611" s="5" t="str">
        <f>"339.58"</f>
        <v>339.58</v>
      </c>
      <c r="S611" s="5"/>
      <c r="T611" s="5"/>
      <c r="U611" s="5" t="str">
        <f>"634.16"</f>
        <v>634.16</v>
      </c>
      <c r="V611" s="5"/>
      <c r="W611" s="5"/>
      <c r="X611" s="5"/>
      <c r="Y611" s="5"/>
      <c r="Z611" s="5"/>
      <c r="AA611" s="5"/>
      <c r="AB611" s="5"/>
      <c r="AC611" s="5"/>
      <c r="AD611" s="5"/>
    </row>
    <row r="612" spans="1:30" ht="13.5" customHeight="1">
      <c r="A612" s="8">
        <v>610</v>
      </c>
      <c r="B612" s="8">
        <v>7651</v>
      </c>
      <c r="C612" s="9" t="s">
        <v>620</v>
      </c>
      <c r="D612" s="8" t="s">
        <v>164</v>
      </c>
      <c r="E612" s="8" t="str">
        <f>"236.85"</f>
        <v>236.85</v>
      </c>
      <c r="F612" s="8"/>
      <c r="G612" s="3">
        <v>306.42</v>
      </c>
      <c r="H612" s="10" t="s">
        <v>12</v>
      </c>
      <c r="I612" s="8">
        <v>2</v>
      </c>
      <c r="J612" s="10">
        <v>2017</v>
      </c>
      <c r="K612" s="5" t="str">
        <f>"236.85"</f>
        <v>236.85</v>
      </c>
      <c r="L612" s="5"/>
      <c r="M612" s="5"/>
      <c r="N612" s="5"/>
      <c r="O612" s="5" t="str">
        <f>"278.42"</f>
        <v>278.42</v>
      </c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1:30" ht="13.5" customHeight="1">
      <c r="A613" s="8">
        <v>611</v>
      </c>
      <c r="B613" s="8">
        <v>6692</v>
      </c>
      <c r="C613" s="9" t="s">
        <v>792</v>
      </c>
      <c r="D613" s="8" t="s">
        <v>83</v>
      </c>
      <c r="E613" s="8" t="str">
        <f>"279.84"</f>
        <v>279.84</v>
      </c>
      <c r="F613" s="8"/>
      <c r="G613" s="3">
        <v>307.83999999999997</v>
      </c>
      <c r="H613" s="10" t="s">
        <v>18</v>
      </c>
      <c r="I613" s="8">
        <v>1</v>
      </c>
      <c r="J613" s="10">
        <v>2017</v>
      </c>
      <c r="K613" s="5" t="str">
        <f>"279.84"</f>
        <v>279.84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1:30" ht="13.5" customHeight="1">
      <c r="A614" s="8">
        <v>612</v>
      </c>
      <c r="B614" s="8">
        <v>5757</v>
      </c>
      <c r="C614" s="9" t="s">
        <v>564</v>
      </c>
      <c r="D614" s="8" t="s">
        <v>274</v>
      </c>
      <c r="E614" s="8" t="str">
        <f>"279.99"</f>
        <v>279.99</v>
      </c>
      <c r="F614" s="8"/>
      <c r="G614" s="3">
        <v>307.99</v>
      </c>
      <c r="H614" s="10" t="s">
        <v>18</v>
      </c>
      <c r="I614" s="8">
        <v>1</v>
      </c>
      <c r="J614" s="10">
        <v>2017</v>
      </c>
      <c r="K614" s="5" t="str">
        <f>"279.99"</f>
        <v>279.99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1:30" ht="13.5" customHeight="1">
      <c r="A615" s="8">
        <v>613</v>
      </c>
      <c r="B615" s="8">
        <v>10148</v>
      </c>
      <c r="C615" s="9" t="s">
        <v>751</v>
      </c>
      <c r="D615" s="8" t="s">
        <v>16</v>
      </c>
      <c r="E615" s="8" t="str">
        <f>"308.04"</f>
        <v>308.04</v>
      </c>
      <c r="F615" s="8"/>
      <c r="G615" s="3">
        <v>308.04000000000002</v>
      </c>
      <c r="H615" s="10"/>
      <c r="I615" s="8">
        <v>3</v>
      </c>
      <c r="J615" s="10">
        <v>2017</v>
      </c>
      <c r="K615" s="5" t="str">
        <f>"535.57"</f>
        <v>535.57</v>
      </c>
      <c r="L615" s="5" t="str">
        <f>"484.68"</f>
        <v>484.68</v>
      </c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 t="str">
        <f>"310.81"</f>
        <v>310.81</v>
      </c>
      <c r="Y615" s="5"/>
      <c r="Z615" s="5"/>
      <c r="AA615" s="5"/>
      <c r="AB615" s="5"/>
      <c r="AC615" s="5" t="str">
        <f>"305.27"</f>
        <v>305.27</v>
      </c>
      <c r="AD615" s="5" t="str">
        <f>"341.01"</f>
        <v>341.01</v>
      </c>
    </row>
    <row r="616" spans="1:30" ht="13.5" customHeight="1">
      <c r="A616" s="8">
        <v>614</v>
      </c>
      <c r="B616" s="8">
        <v>10153</v>
      </c>
      <c r="C616" s="9" t="s">
        <v>887</v>
      </c>
      <c r="D616" s="8" t="s">
        <v>16</v>
      </c>
      <c r="E616" s="8" t="str">
        <f>"302.09"</f>
        <v>302.09</v>
      </c>
      <c r="F616" s="8"/>
      <c r="G616" s="3">
        <v>308.39999999999998</v>
      </c>
      <c r="H616" s="10"/>
      <c r="I616" s="8">
        <v>3</v>
      </c>
      <c r="J616" s="10">
        <v>2017</v>
      </c>
      <c r="K616" s="5" t="str">
        <f>"306.71"</f>
        <v>306.71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 t="str">
        <f>"297.47"</f>
        <v>297.47</v>
      </c>
      <c r="W616" s="5"/>
      <c r="X616" s="5"/>
      <c r="Y616" s="5"/>
      <c r="Z616" s="5"/>
      <c r="AA616" s="5"/>
      <c r="AB616" s="5"/>
      <c r="AC616" s="5" t="str">
        <f>"322.74"</f>
        <v>322.74</v>
      </c>
      <c r="AD616" s="5" t="str">
        <f>"319.33"</f>
        <v>319.33</v>
      </c>
    </row>
    <row r="617" spans="1:30" ht="13.5" customHeight="1">
      <c r="A617" s="8">
        <v>615</v>
      </c>
      <c r="B617" s="8">
        <v>11022</v>
      </c>
      <c r="C617" s="9" t="s">
        <v>665</v>
      </c>
      <c r="D617" s="8" t="s">
        <v>27</v>
      </c>
      <c r="E617" s="8" t="str">
        <f>"280.91"</f>
        <v>280.91</v>
      </c>
      <c r="F617" s="8"/>
      <c r="G617" s="3">
        <v>308.91000000000003</v>
      </c>
      <c r="H617" s="10" t="s">
        <v>18</v>
      </c>
      <c r="I617" s="8">
        <v>1</v>
      </c>
      <c r="J617" s="10">
        <v>2017</v>
      </c>
      <c r="K617" s="5" t="str">
        <f>"280.91"</f>
        <v>280.91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1:30" ht="13.5" customHeight="1">
      <c r="A618" s="8">
        <v>616</v>
      </c>
      <c r="B618" s="8">
        <v>6590</v>
      </c>
      <c r="C618" s="9" t="s">
        <v>828</v>
      </c>
      <c r="D618" s="8" t="s">
        <v>22</v>
      </c>
      <c r="E618" s="8" t="str">
        <f>"281.27"</f>
        <v>281.27</v>
      </c>
      <c r="F618" s="8"/>
      <c r="G618" s="3">
        <v>309.27</v>
      </c>
      <c r="H618" s="10" t="s">
        <v>18</v>
      </c>
      <c r="I618" s="8">
        <v>1</v>
      </c>
      <c r="J618" s="10">
        <v>2017</v>
      </c>
      <c r="K618" s="5" t="str">
        <f>"281.27"</f>
        <v>281.27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1:30" ht="13.5" customHeight="1">
      <c r="A619" s="8">
        <v>617</v>
      </c>
      <c r="B619" s="8">
        <v>5713</v>
      </c>
      <c r="C619" s="9" t="s">
        <v>741</v>
      </c>
      <c r="D619" s="8" t="s">
        <v>318</v>
      </c>
      <c r="E619" s="8" t="str">
        <f>"309.30"</f>
        <v>309.30</v>
      </c>
      <c r="F619" s="8"/>
      <c r="G619" s="3">
        <v>309.3</v>
      </c>
      <c r="H619" s="10" t="s">
        <v>12</v>
      </c>
      <c r="I619" s="8">
        <v>4</v>
      </c>
      <c r="J619" s="10">
        <v>2017</v>
      </c>
      <c r="K619" s="5"/>
      <c r="L619" s="5"/>
      <c r="M619" s="5"/>
      <c r="N619" s="5"/>
      <c r="O619" s="5"/>
      <c r="P619" s="5"/>
      <c r="Q619" s="5"/>
      <c r="R619" s="5"/>
      <c r="S619" s="5" t="str">
        <f>"281.30"</f>
        <v>281.30</v>
      </c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1:30" ht="13.5" customHeight="1">
      <c r="A620" s="8">
        <v>618</v>
      </c>
      <c r="B620" s="8">
        <v>10426</v>
      </c>
      <c r="C620" s="9" t="s">
        <v>888</v>
      </c>
      <c r="D620" s="8" t="s">
        <v>29</v>
      </c>
      <c r="E620" s="8" t="str">
        <f>"309.72"</f>
        <v>309.72</v>
      </c>
      <c r="F620" s="8"/>
      <c r="G620" s="3">
        <v>309.72000000000003</v>
      </c>
      <c r="H620" s="10"/>
      <c r="I620" s="8">
        <v>3</v>
      </c>
      <c r="J620" s="10">
        <v>2017</v>
      </c>
      <c r="K620" s="5" t="str">
        <f>"583.09"</f>
        <v>583.09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 t="str">
        <f>"340.83"</f>
        <v>340.83</v>
      </c>
      <c r="Z620" s="5"/>
      <c r="AA620" s="5"/>
      <c r="AB620" s="5" t="str">
        <f>"282.06"</f>
        <v>282.06</v>
      </c>
      <c r="AC620" s="5" t="str">
        <f>"337.38"</f>
        <v>337.38</v>
      </c>
      <c r="AD620" s="5"/>
    </row>
    <row r="621" spans="1:30" ht="13.5" customHeight="1">
      <c r="A621" s="8">
        <v>619</v>
      </c>
      <c r="B621" s="8">
        <v>2292</v>
      </c>
      <c r="C621" s="9" t="s">
        <v>619</v>
      </c>
      <c r="D621" s="8" t="s">
        <v>16</v>
      </c>
      <c r="E621" s="8" t="str">
        <f>"282.18"</f>
        <v>282.18</v>
      </c>
      <c r="F621" s="8"/>
      <c r="G621" s="3">
        <v>310.18</v>
      </c>
      <c r="H621" s="10" t="s">
        <v>18</v>
      </c>
      <c r="I621" s="8">
        <v>1</v>
      </c>
      <c r="J621" s="10">
        <v>2017</v>
      </c>
      <c r="K621" s="5" t="str">
        <f>"282.18"</f>
        <v>282.18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1:30" ht="13.5" customHeight="1">
      <c r="A622" s="8">
        <v>620</v>
      </c>
      <c r="B622" s="8">
        <v>2278</v>
      </c>
      <c r="C622" s="9" t="s">
        <v>695</v>
      </c>
      <c r="D622" s="8" t="s">
        <v>16</v>
      </c>
      <c r="E622" s="8" t="str">
        <f>"282.20"</f>
        <v>282.20</v>
      </c>
      <c r="F622" s="8"/>
      <c r="G622" s="3">
        <v>310.38</v>
      </c>
      <c r="H622" s="10"/>
      <c r="I622" s="8">
        <v>3</v>
      </c>
      <c r="J622" s="10">
        <v>2017</v>
      </c>
      <c r="K622" s="5" t="str">
        <f>"282.20"</f>
        <v>282.20</v>
      </c>
      <c r="L622" s="5" t="str">
        <f>"327.82"</f>
        <v>327.82</v>
      </c>
      <c r="M622" s="5"/>
      <c r="N622" s="5"/>
      <c r="O622" s="5"/>
      <c r="P622" s="5"/>
      <c r="Q622" s="5"/>
      <c r="R622" s="5"/>
      <c r="S622" s="5"/>
      <c r="T622" s="5"/>
      <c r="U622" s="5"/>
      <c r="V622" s="5" t="str">
        <f>"292.93"</f>
        <v>292.93</v>
      </c>
      <c r="W622" s="5" t="str">
        <f>"372.59"</f>
        <v>372.59</v>
      </c>
      <c r="X622" s="5"/>
      <c r="Y622" s="5"/>
      <c r="Z622" s="5"/>
      <c r="AA622" s="5"/>
      <c r="AB622" s="5"/>
      <c r="AC622" s="5"/>
      <c r="AD622" s="5"/>
    </row>
    <row r="623" spans="1:30" ht="13.5" customHeight="1">
      <c r="A623" s="8">
        <v>621</v>
      </c>
      <c r="B623" s="8">
        <v>4128</v>
      </c>
      <c r="C623" s="9" t="s">
        <v>527</v>
      </c>
      <c r="D623" s="8" t="s">
        <v>119</v>
      </c>
      <c r="E623" s="8" t="str">
        <f>"285.50"</f>
        <v>285.50</v>
      </c>
      <c r="F623" s="8"/>
      <c r="G623" s="3">
        <v>310.49</v>
      </c>
      <c r="H623" s="10"/>
      <c r="I623" s="8">
        <v>3</v>
      </c>
      <c r="J623" s="10">
        <v>2017</v>
      </c>
      <c r="K623" s="5" t="str">
        <f>"290.78"</f>
        <v>290.78</v>
      </c>
      <c r="L623" s="5"/>
      <c r="M623" s="5"/>
      <c r="N623" s="5"/>
      <c r="O623" s="5"/>
      <c r="P623" s="5"/>
      <c r="Q623" s="5"/>
      <c r="R623" s="5"/>
      <c r="S623" s="5" t="str">
        <f>"280.21"</f>
        <v>280.21</v>
      </c>
      <c r="T623" s="5"/>
      <c r="U623" s="5"/>
      <c r="V623" s="5"/>
      <c r="W623" s="5"/>
      <c r="X623" s="5" t="str">
        <f>"347.76"</f>
        <v>347.76</v>
      </c>
      <c r="Y623" s="5"/>
      <c r="Z623" s="5"/>
      <c r="AA623" s="5" t="str">
        <f>"340.76"</f>
        <v>340.76</v>
      </c>
      <c r="AB623" s="5"/>
      <c r="AC623" s="5"/>
      <c r="AD623" s="5"/>
    </row>
    <row r="624" spans="1:30" ht="13.5" customHeight="1">
      <c r="A624" s="8">
        <v>622</v>
      </c>
      <c r="B624" s="8">
        <v>13</v>
      </c>
      <c r="C624" s="9" t="s">
        <v>801</v>
      </c>
      <c r="D624" s="8" t="s">
        <v>802</v>
      </c>
      <c r="E624" s="8" t="str">
        <f>"224.59"</f>
        <v>224.59</v>
      </c>
      <c r="F624" s="8"/>
      <c r="G624" s="3">
        <v>310.76</v>
      </c>
      <c r="H624" s="10" t="s">
        <v>12</v>
      </c>
      <c r="I624" s="8">
        <v>2</v>
      </c>
      <c r="J624" s="10">
        <v>2017</v>
      </c>
      <c r="K624" s="5" t="str">
        <f>"224.59"</f>
        <v>224.59</v>
      </c>
      <c r="L624" s="5"/>
      <c r="M624" s="5"/>
      <c r="N624" s="5"/>
      <c r="O624" s="5"/>
      <c r="P624" s="5"/>
      <c r="Q624" s="5"/>
      <c r="R624" s="5"/>
      <c r="S624" s="5"/>
      <c r="T624" s="5" t="str">
        <f>"282.76"</f>
        <v>282.76</v>
      </c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1:30" ht="13.5" customHeight="1">
      <c r="A625" s="8">
        <v>623</v>
      </c>
      <c r="B625" s="8">
        <v>11253</v>
      </c>
      <c r="C625" s="9" t="s">
        <v>646</v>
      </c>
      <c r="D625" s="8" t="s">
        <v>16</v>
      </c>
      <c r="E625" s="8" t="str">
        <f>"311.35"</f>
        <v>311.35</v>
      </c>
      <c r="F625" s="8"/>
      <c r="G625" s="3">
        <v>311.35000000000002</v>
      </c>
      <c r="H625" s="10"/>
      <c r="I625" s="8">
        <v>5</v>
      </c>
      <c r="J625" s="10">
        <v>2017</v>
      </c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 t="str">
        <f>"378.46"</f>
        <v>378.46</v>
      </c>
      <c r="W625" s="5"/>
      <c r="X625" s="5"/>
      <c r="Y625" s="5"/>
      <c r="Z625" s="5"/>
      <c r="AA625" s="5"/>
      <c r="AB625" s="5"/>
      <c r="AC625" s="5" t="str">
        <f>"319.27"</f>
        <v>319.27</v>
      </c>
      <c r="AD625" s="5" t="str">
        <f>"303.43"</f>
        <v>303.43</v>
      </c>
    </row>
    <row r="626" spans="1:30" ht="13.5" customHeight="1">
      <c r="A626" s="8">
        <v>624</v>
      </c>
      <c r="B626" s="8">
        <v>8313</v>
      </c>
      <c r="C626" s="9" t="s">
        <v>557</v>
      </c>
      <c r="D626" s="8" t="s">
        <v>26</v>
      </c>
      <c r="E626" s="8" t="str">
        <f>"199.59"</f>
        <v>199.59</v>
      </c>
      <c r="F626" s="8"/>
      <c r="G626" s="3">
        <v>311.75</v>
      </c>
      <c r="H626" s="10"/>
      <c r="I626" s="8">
        <v>3</v>
      </c>
      <c r="J626" s="10">
        <v>2018</v>
      </c>
      <c r="K626" s="5" t="str">
        <f>"199.59"</f>
        <v>199.59</v>
      </c>
      <c r="L626" s="5"/>
      <c r="M626" s="5"/>
      <c r="N626" s="5"/>
      <c r="O626" s="5" t="str">
        <f>"280.55"</f>
        <v>280.55</v>
      </c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 t="str">
        <f>"342.95"</f>
        <v>342.95</v>
      </c>
      <c r="AA626" s="5"/>
      <c r="AB626" s="5"/>
      <c r="AC626" s="5"/>
      <c r="AD626" s="5"/>
    </row>
    <row r="627" spans="1:30" ht="13.5" customHeight="1">
      <c r="A627" s="8">
        <v>625</v>
      </c>
      <c r="B627" s="8">
        <v>5407</v>
      </c>
      <c r="C627" s="9" t="s">
        <v>748</v>
      </c>
      <c r="D627" s="8" t="s">
        <v>117</v>
      </c>
      <c r="E627" s="8" t="str">
        <f>"242.02"</f>
        <v>242.02</v>
      </c>
      <c r="F627" s="8"/>
      <c r="G627" s="3">
        <v>311.89999999999998</v>
      </c>
      <c r="H627" s="10" t="s">
        <v>12</v>
      </c>
      <c r="I627" s="8">
        <v>2</v>
      </c>
      <c r="J627" s="10">
        <v>2017</v>
      </c>
      <c r="K627" s="5" t="str">
        <f>"242.02"</f>
        <v>242.02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 t="str">
        <f>"283.90"</f>
        <v>283.90</v>
      </c>
      <c r="Y627" s="5"/>
      <c r="Z627" s="5"/>
      <c r="AA627" s="5"/>
      <c r="AB627" s="5"/>
      <c r="AC627" s="5"/>
      <c r="AD627" s="5"/>
    </row>
    <row r="628" spans="1:30" ht="13.5" customHeight="1">
      <c r="A628" s="8">
        <v>626</v>
      </c>
      <c r="B628" s="8">
        <v>11225</v>
      </c>
      <c r="C628" s="9" t="s">
        <v>668</v>
      </c>
      <c r="D628" s="8" t="s">
        <v>29</v>
      </c>
      <c r="E628" s="8" t="str">
        <f>"312.19"</f>
        <v>312.19</v>
      </c>
      <c r="F628" s="8"/>
      <c r="G628" s="3">
        <v>312.19</v>
      </c>
      <c r="H628" s="10"/>
      <c r="I628" s="8">
        <v>5</v>
      </c>
      <c r="J628" s="10">
        <v>2017</v>
      </c>
      <c r="K628" s="5"/>
      <c r="L628" s="5"/>
      <c r="M628" s="5"/>
      <c r="N628" s="5"/>
      <c r="O628" s="5"/>
      <c r="P628" s="5"/>
      <c r="Q628" s="5"/>
      <c r="R628" s="5" t="str">
        <f>"384.25"</f>
        <v>384.25</v>
      </c>
      <c r="S628" s="5"/>
      <c r="T628" s="5"/>
      <c r="U628" s="5" t="str">
        <f>"565.62"</f>
        <v>565.62</v>
      </c>
      <c r="V628" s="5"/>
      <c r="W628" s="5"/>
      <c r="X628" s="5"/>
      <c r="Y628" s="5"/>
      <c r="Z628" s="5"/>
      <c r="AA628" s="5"/>
      <c r="AB628" s="5" t="str">
        <f>"240.12"</f>
        <v>240.12</v>
      </c>
      <c r="AC628" s="5"/>
      <c r="AD628" s="5"/>
    </row>
    <row r="629" spans="1:30" ht="13.5" customHeight="1">
      <c r="A629" s="8">
        <v>627</v>
      </c>
      <c r="B629" s="8">
        <v>4113</v>
      </c>
      <c r="C629" s="9" t="s">
        <v>974</v>
      </c>
      <c r="D629" s="8" t="s">
        <v>802</v>
      </c>
      <c r="E629" s="8" t="str">
        <f>"284.25"</f>
        <v>284.25</v>
      </c>
      <c r="F629" s="8"/>
      <c r="G629" s="3">
        <v>312.25</v>
      </c>
      <c r="H629" s="10" t="s">
        <v>18</v>
      </c>
      <c r="I629" s="8">
        <v>1</v>
      </c>
      <c r="J629" s="10">
        <v>2017</v>
      </c>
      <c r="K629" s="5" t="str">
        <f>"284.25"</f>
        <v>284.25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1:30" ht="13.5" customHeight="1">
      <c r="A630" s="8">
        <v>628</v>
      </c>
      <c r="B630" s="8">
        <v>10809</v>
      </c>
      <c r="C630" s="9" t="s">
        <v>768</v>
      </c>
      <c r="D630" s="8" t="s">
        <v>29</v>
      </c>
      <c r="E630" s="8" t="str">
        <f>"312.67"</f>
        <v>312.67</v>
      </c>
      <c r="F630" s="8"/>
      <c r="G630" s="3">
        <v>312.67</v>
      </c>
      <c r="H630" s="10"/>
      <c r="I630" s="8">
        <v>3</v>
      </c>
      <c r="J630" s="10">
        <v>2017</v>
      </c>
      <c r="K630" s="5" t="str">
        <f>"420.25"</f>
        <v>420.25</v>
      </c>
      <c r="L630" s="5"/>
      <c r="M630" s="5"/>
      <c r="N630" s="5"/>
      <c r="O630" s="5"/>
      <c r="P630" s="5"/>
      <c r="Q630" s="5" t="str">
        <f>"357.45"</f>
        <v>357.45</v>
      </c>
      <c r="R630" s="5"/>
      <c r="S630" s="5"/>
      <c r="T630" s="5"/>
      <c r="U630" s="5" t="str">
        <f>"599.42"</f>
        <v>599.42</v>
      </c>
      <c r="V630" s="5"/>
      <c r="W630" s="5"/>
      <c r="X630" s="5"/>
      <c r="Y630" s="5" t="str">
        <f>"267.88"</f>
        <v>267.88</v>
      </c>
      <c r="Z630" s="5"/>
      <c r="AA630" s="5"/>
      <c r="AB630" s="5"/>
      <c r="AC630" s="5"/>
      <c r="AD630" s="5"/>
    </row>
    <row r="631" spans="1:30" ht="13.5" customHeight="1">
      <c r="A631" s="8">
        <v>629</v>
      </c>
      <c r="B631" s="8">
        <v>10438</v>
      </c>
      <c r="C631" s="9" t="s">
        <v>364</v>
      </c>
      <c r="D631" s="8" t="s">
        <v>29</v>
      </c>
      <c r="E631" s="8" t="str">
        <f>"313.04"</f>
        <v>313.04</v>
      </c>
      <c r="F631" s="8"/>
      <c r="G631" s="3">
        <v>313.04000000000002</v>
      </c>
      <c r="H631" s="10"/>
      <c r="I631" s="8">
        <v>3</v>
      </c>
      <c r="J631" s="10">
        <v>2017</v>
      </c>
      <c r="K631" s="5" t="str">
        <f>"400.66"</f>
        <v>400.66</v>
      </c>
      <c r="L631" s="5"/>
      <c r="M631" s="5"/>
      <c r="N631" s="5"/>
      <c r="O631" s="5"/>
      <c r="P631" s="5"/>
      <c r="Q631" s="5"/>
      <c r="R631" s="5"/>
      <c r="S631" s="5"/>
      <c r="T631" s="5"/>
      <c r="U631" s="5" t="str">
        <f>"683.60"</f>
        <v>683.60</v>
      </c>
      <c r="V631" s="5"/>
      <c r="W631" s="5"/>
      <c r="X631" s="5"/>
      <c r="Y631" s="5"/>
      <c r="Z631" s="5"/>
      <c r="AA631" s="5"/>
      <c r="AB631" s="5"/>
      <c r="AC631" s="5" t="str">
        <f>"324.57"</f>
        <v>324.57</v>
      </c>
      <c r="AD631" s="5" t="str">
        <f>"301.51"</f>
        <v>301.51</v>
      </c>
    </row>
    <row r="632" spans="1:30" ht="13.5" customHeight="1">
      <c r="A632" s="8">
        <v>630</v>
      </c>
      <c r="B632" s="8">
        <v>5903</v>
      </c>
      <c r="C632" s="9" t="s">
        <v>793</v>
      </c>
      <c r="D632" s="8" t="s">
        <v>765</v>
      </c>
      <c r="E632" s="8" t="str">
        <f>"285.64"</f>
        <v>285.64</v>
      </c>
      <c r="F632" s="8"/>
      <c r="G632" s="3">
        <v>313.64</v>
      </c>
      <c r="H632" s="10" t="s">
        <v>18</v>
      </c>
      <c r="I632" s="8">
        <v>1</v>
      </c>
      <c r="J632" s="10">
        <v>2017</v>
      </c>
      <c r="K632" s="5" t="str">
        <f>"285.64"</f>
        <v>285.64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1:30" ht="13.5" customHeight="1">
      <c r="A633" s="8">
        <v>631</v>
      </c>
      <c r="B633" s="8">
        <v>10439</v>
      </c>
      <c r="C633" s="9" t="s">
        <v>878</v>
      </c>
      <c r="D633" s="8" t="s">
        <v>29</v>
      </c>
      <c r="E633" s="8" t="str">
        <f>"313.70"</f>
        <v>313.70</v>
      </c>
      <c r="F633" s="8"/>
      <c r="G633" s="3">
        <v>313.7</v>
      </c>
      <c r="H633" s="10"/>
      <c r="I633" s="8">
        <v>3</v>
      </c>
      <c r="J633" s="10">
        <v>2017</v>
      </c>
      <c r="K633" s="5" t="str">
        <f>"639.75"</f>
        <v>639.75</v>
      </c>
      <c r="L633" s="5"/>
      <c r="M633" s="5"/>
      <c r="N633" s="5"/>
      <c r="O633" s="5"/>
      <c r="P633" s="5"/>
      <c r="Q633" s="5"/>
      <c r="R633" s="5"/>
      <c r="S633" s="5"/>
      <c r="T633" s="5"/>
      <c r="U633" s="5" t="str">
        <f>"859.92"</f>
        <v>859.92</v>
      </c>
      <c r="V633" s="5"/>
      <c r="W633" s="5"/>
      <c r="X633" s="5"/>
      <c r="Y633" s="5"/>
      <c r="Z633" s="5"/>
      <c r="AA633" s="5"/>
      <c r="AB633" s="5" t="str">
        <f>"255.34"</f>
        <v>255.34</v>
      </c>
      <c r="AC633" s="5" t="str">
        <f>"372.06"</f>
        <v>372.06</v>
      </c>
      <c r="AD633" s="5"/>
    </row>
    <row r="634" spans="1:30" ht="13.5" customHeight="1">
      <c r="A634" s="8">
        <v>632</v>
      </c>
      <c r="B634" s="8">
        <v>6860</v>
      </c>
      <c r="C634" s="9" t="s">
        <v>675</v>
      </c>
      <c r="D634" s="8" t="s">
        <v>287</v>
      </c>
      <c r="E634" s="8" t="str">
        <f>"317.56"</f>
        <v>317.56</v>
      </c>
      <c r="F634" s="8"/>
      <c r="G634" s="3">
        <v>314.04000000000002</v>
      </c>
      <c r="H634" s="10" t="s">
        <v>12</v>
      </c>
      <c r="I634" s="8">
        <v>2</v>
      </c>
      <c r="J634" s="10">
        <v>2017</v>
      </c>
      <c r="K634" s="5" t="str">
        <f>"349.08"</f>
        <v>349.08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 t="str">
        <f>"286.04"</f>
        <v>286.04</v>
      </c>
      <c r="Y634" s="5"/>
      <c r="Z634" s="5"/>
      <c r="AA634" s="5"/>
      <c r="AB634" s="5"/>
      <c r="AC634" s="5"/>
      <c r="AD634" s="5"/>
    </row>
    <row r="635" spans="1:30" ht="13.5" customHeight="1">
      <c r="A635" s="8">
        <v>633</v>
      </c>
      <c r="B635" s="8">
        <v>10174</v>
      </c>
      <c r="C635" s="9" t="s">
        <v>640</v>
      </c>
      <c r="D635" s="8" t="s">
        <v>16</v>
      </c>
      <c r="E635" s="8" t="str">
        <f>"314.79"</f>
        <v>314.79</v>
      </c>
      <c r="F635" s="8"/>
      <c r="G635" s="3">
        <v>314.79000000000002</v>
      </c>
      <c r="H635" s="10"/>
      <c r="I635" s="8">
        <v>3</v>
      </c>
      <c r="J635" s="10">
        <v>2017</v>
      </c>
      <c r="K635" s="5" t="str">
        <f>"359.82"</f>
        <v>359.82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 t="str">
        <f>"304.54"</f>
        <v>304.54</v>
      </c>
      <c r="W635" s="5"/>
      <c r="X635" s="5"/>
      <c r="Y635" s="5"/>
      <c r="Z635" s="5"/>
      <c r="AA635" s="5"/>
      <c r="AB635" s="5"/>
      <c r="AC635" s="5" t="str">
        <f>"331.89"</f>
        <v>331.89</v>
      </c>
      <c r="AD635" s="5" t="str">
        <f>"325.04"</f>
        <v>325.04</v>
      </c>
    </row>
    <row r="636" spans="1:30" ht="13.5" customHeight="1">
      <c r="A636" s="8">
        <v>634</v>
      </c>
      <c r="B636" s="8">
        <v>5071</v>
      </c>
      <c r="C636" s="9" t="s">
        <v>818</v>
      </c>
      <c r="D636" s="8" t="s">
        <v>765</v>
      </c>
      <c r="E636" s="8" t="str">
        <f>"255.53"</f>
        <v>255.53</v>
      </c>
      <c r="F636" s="8"/>
      <c r="G636" s="3">
        <v>314.85000000000002</v>
      </c>
      <c r="H636" s="10"/>
      <c r="I636" s="8">
        <v>3</v>
      </c>
      <c r="J636" s="10">
        <v>2017</v>
      </c>
      <c r="K636" s="5" t="str">
        <f>"255.53"</f>
        <v>255.53</v>
      </c>
      <c r="L636" s="5"/>
      <c r="M636" s="5"/>
      <c r="N636" s="5"/>
      <c r="O636" s="5" t="str">
        <f>"301.71"</f>
        <v>301.71</v>
      </c>
      <c r="P636" s="5"/>
      <c r="Q636" s="5"/>
      <c r="R636" s="5"/>
      <c r="S636" s="5"/>
      <c r="T636" s="5" t="str">
        <f>"327.98"</f>
        <v>327.98</v>
      </c>
      <c r="U636" s="5"/>
      <c r="V636" s="5"/>
      <c r="W636" s="5"/>
      <c r="X636" s="5"/>
      <c r="Y636" s="5"/>
      <c r="Z636" s="5" t="str">
        <f>"397.42"</f>
        <v>397.42</v>
      </c>
      <c r="AA636" s="5"/>
      <c r="AB636" s="5"/>
      <c r="AC636" s="5"/>
      <c r="AD636" s="5"/>
    </row>
    <row r="637" spans="1:30" ht="13.5" customHeight="1">
      <c r="A637" s="8">
        <v>635</v>
      </c>
      <c r="B637" s="8">
        <v>9469</v>
      </c>
      <c r="C637" s="9" t="s">
        <v>800</v>
      </c>
      <c r="D637" s="8" t="s">
        <v>289</v>
      </c>
      <c r="E637" s="8" t="str">
        <f>"307.20"</f>
        <v>307.20</v>
      </c>
      <c r="F637" s="8"/>
      <c r="G637" s="3">
        <v>315.14</v>
      </c>
      <c r="H637" s="10" t="s">
        <v>12</v>
      </c>
      <c r="I637" s="8">
        <v>2</v>
      </c>
      <c r="J637" s="10">
        <v>2017</v>
      </c>
      <c r="K637" s="5" t="str">
        <f>"327.25"</f>
        <v>327.25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 t="str">
        <f>"287.14"</f>
        <v>287.14</v>
      </c>
      <c r="Y637" s="5"/>
      <c r="Z637" s="5"/>
      <c r="AA637" s="5"/>
      <c r="AB637" s="5"/>
      <c r="AC637" s="5"/>
      <c r="AD637" s="5"/>
    </row>
    <row r="638" spans="1:30" ht="13.5" customHeight="1">
      <c r="A638" s="8">
        <v>636</v>
      </c>
      <c r="B638" s="8">
        <v>10141</v>
      </c>
      <c r="C638" s="9" t="s">
        <v>685</v>
      </c>
      <c r="D638" s="8" t="s">
        <v>16</v>
      </c>
      <c r="E638" s="8" t="str">
        <f>"315.98"</f>
        <v>315.98</v>
      </c>
      <c r="F638" s="8"/>
      <c r="G638" s="3">
        <v>315.98</v>
      </c>
      <c r="H638" s="10"/>
      <c r="I638" s="8">
        <v>3</v>
      </c>
      <c r="J638" s="10">
        <v>2017</v>
      </c>
      <c r="K638" s="5" t="str">
        <f>"527.88"</f>
        <v>527.88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 t="str">
        <f>"302.71"</f>
        <v>302.71</v>
      </c>
      <c r="W638" s="5" t="str">
        <f>"417.59"</f>
        <v>417.59</v>
      </c>
      <c r="X638" s="5"/>
      <c r="Y638" s="5"/>
      <c r="Z638" s="5"/>
      <c r="AA638" s="5"/>
      <c r="AB638" s="5"/>
      <c r="AC638" s="5" t="str">
        <f>"329.24"</f>
        <v>329.24</v>
      </c>
      <c r="AD638" s="5" t="str">
        <f>"370.96"</f>
        <v>370.96</v>
      </c>
    </row>
    <row r="639" spans="1:30" ht="13.5" customHeight="1">
      <c r="A639" s="8">
        <v>637</v>
      </c>
      <c r="B639" s="8">
        <v>2275</v>
      </c>
      <c r="C639" s="9" t="s">
        <v>197</v>
      </c>
      <c r="D639" s="8" t="s">
        <v>121</v>
      </c>
      <c r="E639" s="8" t="str">
        <f>"288.98"</f>
        <v>288.98</v>
      </c>
      <c r="F639" s="8"/>
      <c r="G639" s="3">
        <v>316.98</v>
      </c>
      <c r="H639" s="10" t="s">
        <v>18</v>
      </c>
      <c r="I639" s="8">
        <v>1</v>
      </c>
      <c r="J639" s="10">
        <v>2017</v>
      </c>
      <c r="K639" s="5" t="str">
        <f>"288.98"</f>
        <v>288.98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1:30" ht="13.5" customHeight="1">
      <c r="A640" s="8">
        <v>638</v>
      </c>
      <c r="B640" s="8">
        <v>2172</v>
      </c>
      <c r="C640" s="9" t="s">
        <v>773</v>
      </c>
      <c r="D640" s="8" t="s">
        <v>16</v>
      </c>
      <c r="E640" s="8" t="str">
        <f>"311.62"</f>
        <v>311.62</v>
      </c>
      <c r="F640" s="8"/>
      <c r="G640" s="3">
        <v>317.05</v>
      </c>
      <c r="H640" s="10"/>
      <c r="I640" s="8">
        <v>3</v>
      </c>
      <c r="J640" s="10">
        <v>2017</v>
      </c>
      <c r="K640" s="5" t="str">
        <f>"331.35"</f>
        <v>331.35</v>
      </c>
      <c r="L640" s="5" t="str">
        <f>"342.20"</f>
        <v>342.20</v>
      </c>
      <c r="M640" s="5" t="str">
        <f>"406.18"</f>
        <v>406.18</v>
      </c>
      <c r="N640" s="5"/>
      <c r="O640" s="5"/>
      <c r="P640" s="5"/>
      <c r="Q640" s="5"/>
      <c r="R640" s="5"/>
      <c r="S640" s="5"/>
      <c r="T640" s="5"/>
      <c r="U640" s="5"/>
      <c r="V640" s="5" t="str">
        <f>"291.89"</f>
        <v>291.89</v>
      </c>
      <c r="W640" s="5" t="str">
        <f>"348.00"</f>
        <v>348.00</v>
      </c>
      <c r="X640" s="5"/>
      <c r="Y640" s="5"/>
      <c r="Z640" s="5"/>
      <c r="AA640" s="5"/>
      <c r="AB640" s="5"/>
      <c r="AC640" s="5"/>
      <c r="AD640" s="5"/>
    </row>
    <row r="641" spans="1:30" ht="13.5" customHeight="1">
      <c r="A641" s="8">
        <v>639</v>
      </c>
      <c r="B641" s="8">
        <v>10419</v>
      </c>
      <c r="C641" s="9" t="s">
        <v>732</v>
      </c>
      <c r="D641" s="8" t="s">
        <v>16</v>
      </c>
      <c r="E641" s="8" t="str">
        <f>"317.20"</f>
        <v>317.20</v>
      </c>
      <c r="F641" s="8"/>
      <c r="G641" s="3">
        <v>317.2</v>
      </c>
      <c r="H641" s="10"/>
      <c r="I641" s="8">
        <v>3</v>
      </c>
      <c r="J641" s="10">
        <v>2017</v>
      </c>
      <c r="K641" s="5" t="str">
        <f>"789.74"</f>
        <v>789.74</v>
      </c>
      <c r="L641" s="5"/>
      <c r="M641" s="5"/>
      <c r="N641" s="5"/>
      <c r="O641" s="5"/>
      <c r="P641" s="5"/>
      <c r="Q641" s="5"/>
      <c r="R641" s="5"/>
      <c r="S641" s="5"/>
      <c r="T641" s="5"/>
      <c r="U641" s="5" t="str">
        <f>"502.48"</f>
        <v>502.48</v>
      </c>
      <c r="V641" s="5"/>
      <c r="W641" s="5"/>
      <c r="X641" s="5"/>
      <c r="Y641" s="5"/>
      <c r="Z641" s="5"/>
      <c r="AA641" s="5"/>
      <c r="AB641" s="5"/>
      <c r="AC641" s="5" t="str">
        <f>"279.55"</f>
        <v>279.55</v>
      </c>
      <c r="AD641" s="5" t="str">
        <f>"354.84"</f>
        <v>354.84</v>
      </c>
    </row>
    <row r="642" spans="1:30" ht="13.5" customHeight="1">
      <c r="A642" s="8">
        <v>640</v>
      </c>
      <c r="B642" s="8">
        <v>11301</v>
      </c>
      <c r="C642" s="9" t="s">
        <v>1164</v>
      </c>
      <c r="D642" s="8" t="s">
        <v>16</v>
      </c>
      <c r="E642" s="8" t="str">
        <f>"318.49"</f>
        <v>318.49</v>
      </c>
      <c r="F642" s="8"/>
      <c r="G642" s="3">
        <v>318.49</v>
      </c>
      <c r="H642" s="10" t="s">
        <v>12</v>
      </c>
      <c r="I642" s="8">
        <v>4</v>
      </c>
      <c r="J642" s="10">
        <v>2017</v>
      </c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 t="str">
        <f>"290.49"</f>
        <v>290.49</v>
      </c>
      <c r="W642" s="5"/>
      <c r="X642" s="5"/>
      <c r="Y642" s="5"/>
      <c r="Z642" s="5"/>
      <c r="AA642" s="5"/>
      <c r="AB642" s="5"/>
      <c r="AC642" s="5"/>
      <c r="AD642" s="5"/>
    </row>
    <row r="643" spans="1:30" ht="13.5" customHeight="1">
      <c r="A643" s="8">
        <v>641</v>
      </c>
      <c r="B643" s="8">
        <v>1812</v>
      </c>
      <c r="C643" s="9" t="s">
        <v>868</v>
      </c>
      <c r="D643" s="8" t="s">
        <v>11</v>
      </c>
      <c r="E643" s="8" t="str">
        <f>"278.25"</f>
        <v>278.25</v>
      </c>
      <c r="F643" s="8"/>
      <c r="G643" s="3">
        <v>318.92</v>
      </c>
      <c r="H643" s="10" t="s">
        <v>12</v>
      </c>
      <c r="I643" s="8">
        <v>2</v>
      </c>
      <c r="J643" s="10">
        <v>2018</v>
      </c>
      <c r="K643" s="5" t="str">
        <f>"278.25"</f>
        <v>278.25</v>
      </c>
      <c r="L643" s="5"/>
      <c r="M643" s="5"/>
      <c r="N643" s="5"/>
      <c r="O643" s="5"/>
      <c r="P643" s="5"/>
      <c r="Q643" s="5"/>
      <c r="R643" s="5"/>
      <c r="S643" s="5"/>
      <c r="T643" s="5" t="str">
        <f>"290.92"</f>
        <v>290.92</v>
      </c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1:30" ht="13.5" customHeight="1">
      <c r="A644" s="8">
        <v>642</v>
      </c>
      <c r="B644" s="8">
        <v>10440</v>
      </c>
      <c r="C644" s="9" t="s">
        <v>645</v>
      </c>
      <c r="D644" s="8" t="s">
        <v>29</v>
      </c>
      <c r="E644" s="8" t="str">
        <f>"319.10"</f>
        <v>319.10</v>
      </c>
      <c r="F644" s="8"/>
      <c r="G644" s="3">
        <v>319.10000000000002</v>
      </c>
      <c r="H644" s="10"/>
      <c r="I644" s="8">
        <v>3</v>
      </c>
      <c r="J644" s="10">
        <v>2017</v>
      </c>
      <c r="K644" s="5" t="str">
        <f>"416.06"</f>
        <v>416.06</v>
      </c>
      <c r="L644" s="5"/>
      <c r="M644" s="5"/>
      <c r="N644" s="5"/>
      <c r="O644" s="5"/>
      <c r="P644" s="5"/>
      <c r="Q644" s="5"/>
      <c r="R644" s="5"/>
      <c r="S644" s="5"/>
      <c r="T644" s="5"/>
      <c r="U644" s="5" t="str">
        <f>"781.48"</f>
        <v>781.48</v>
      </c>
      <c r="V644" s="5"/>
      <c r="W644" s="5"/>
      <c r="X644" s="5"/>
      <c r="Y644" s="5"/>
      <c r="Z644" s="5"/>
      <c r="AA644" s="5"/>
      <c r="AB644" s="5" t="str">
        <f>"279.22"</f>
        <v>279.22</v>
      </c>
      <c r="AC644" s="5" t="str">
        <f>"358.98"</f>
        <v>358.98</v>
      </c>
      <c r="AD644" s="5"/>
    </row>
    <row r="645" spans="1:30" ht="13.5" customHeight="1">
      <c r="A645" s="8">
        <v>643</v>
      </c>
      <c r="B645" s="8">
        <v>6697</v>
      </c>
      <c r="C645" s="9" t="s">
        <v>588</v>
      </c>
      <c r="D645" s="8" t="s">
        <v>431</v>
      </c>
      <c r="E645" s="8" t="str">
        <f>"260.22"</f>
        <v>260.22</v>
      </c>
      <c r="F645" s="8"/>
      <c r="G645" s="3">
        <v>319.38</v>
      </c>
      <c r="H645" s="10" t="s">
        <v>12</v>
      </c>
      <c r="I645" s="8">
        <v>2</v>
      </c>
      <c r="J645" s="10">
        <v>2017</v>
      </c>
      <c r="K645" s="5" t="str">
        <f>"260.22"</f>
        <v>260.22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 t="str">
        <f>"291.38"</f>
        <v>291.38</v>
      </c>
      <c r="AB645" s="5"/>
      <c r="AC645" s="5"/>
      <c r="AD645" s="5"/>
    </row>
    <row r="646" spans="1:30" ht="13.5" customHeight="1">
      <c r="A646" s="8">
        <v>644</v>
      </c>
      <c r="B646" s="8">
        <v>4194</v>
      </c>
      <c r="C646" s="9" t="s">
        <v>1191</v>
      </c>
      <c r="D646" s="8" t="s">
        <v>501</v>
      </c>
      <c r="E646" s="8" t="str">
        <f>"291.76"</f>
        <v>291.76</v>
      </c>
      <c r="F646" s="8"/>
      <c r="G646" s="3">
        <v>319.76</v>
      </c>
      <c r="H646" s="10" t="s">
        <v>18</v>
      </c>
      <c r="I646" s="8">
        <v>1</v>
      </c>
      <c r="J646" s="10">
        <v>2017</v>
      </c>
      <c r="K646" s="5" t="str">
        <f>"291.76"</f>
        <v>291.76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1:30" ht="13.5" customHeight="1">
      <c r="A647" s="8">
        <v>645</v>
      </c>
      <c r="B647" s="8">
        <v>8481</v>
      </c>
      <c r="C647" s="9" t="s">
        <v>495</v>
      </c>
      <c r="D647" s="8" t="s">
        <v>16</v>
      </c>
      <c r="E647" s="8" t="str">
        <f>"122.94"</f>
        <v>122.94</v>
      </c>
      <c r="F647" s="8"/>
      <c r="G647" s="3">
        <v>321.72000000000003</v>
      </c>
      <c r="H647" s="10" t="s">
        <v>12</v>
      </c>
      <c r="I647" s="8">
        <v>2</v>
      </c>
      <c r="J647" s="10">
        <v>2017</v>
      </c>
      <c r="K647" s="5" t="str">
        <f>"122.94"</f>
        <v>122.94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 t="str">
        <f>"293.72"</f>
        <v>293.72</v>
      </c>
      <c r="X647" s="5"/>
      <c r="Y647" s="5"/>
      <c r="Z647" s="5"/>
      <c r="AA647" s="5"/>
      <c r="AB647" s="5"/>
      <c r="AC647" s="5"/>
      <c r="AD647" s="5"/>
    </row>
    <row r="648" spans="1:30" ht="13.5" customHeight="1">
      <c r="A648" s="8">
        <v>646</v>
      </c>
      <c r="B648" s="8">
        <v>2283</v>
      </c>
      <c r="C648" s="9" t="s">
        <v>826</v>
      </c>
      <c r="D648" s="8" t="s">
        <v>16</v>
      </c>
      <c r="E648" s="8" t="str">
        <f>"299.20"</f>
        <v>299.20</v>
      </c>
      <c r="F648" s="8"/>
      <c r="G648" s="3">
        <v>321.97000000000003</v>
      </c>
      <c r="H648" s="10"/>
      <c r="I648" s="8">
        <v>3</v>
      </c>
      <c r="J648" s="10">
        <v>2017</v>
      </c>
      <c r="K648" s="5" t="str">
        <f>"299.20"</f>
        <v>299.20</v>
      </c>
      <c r="L648" s="5" t="str">
        <f>"306.83"</f>
        <v>306.83</v>
      </c>
      <c r="M648" s="5" t="str">
        <f>"337.10"</f>
        <v>337.10</v>
      </c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1:30" ht="13.5" customHeight="1">
      <c r="A649" s="8">
        <v>647</v>
      </c>
      <c r="B649" s="8">
        <v>2715</v>
      </c>
      <c r="C649" s="9" t="s">
        <v>1186</v>
      </c>
      <c r="D649" s="8" t="s">
        <v>489</v>
      </c>
      <c r="E649" s="8" t="str">
        <f>"297.53"</f>
        <v>297.53</v>
      </c>
      <c r="F649" s="8"/>
      <c r="G649" s="3">
        <v>325.52999999999997</v>
      </c>
      <c r="H649" s="10" t="s">
        <v>18</v>
      </c>
      <c r="I649" s="8">
        <v>1</v>
      </c>
      <c r="J649" s="10">
        <v>2017</v>
      </c>
      <c r="K649" s="5" t="str">
        <f>"297.53"</f>
        <v>297.53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1:30" ht="13.5" customHeight="1">
      <c r="A650" s="8">
        <v>648</v>
      </c>
      <c r="B650" s="8">
        <v>11240</v>
      </c>
      <c r="C650" s="9" t="s">
        <v>499</v>
      </c>
      <c r="D650" s="8" t="s">
        <v>16</v>
      </c>
      <c r="E650" s="8" t="str">
        <f>"325.70"</f>
        <v>325.70</v>
      </c>
      <c r="F650" s="8"/>
      <c r="G650" s="3">
        <v>325.7</v>
      </c>
      <c r="H650" s="10"/>
      <c r="I650" s="8">
        <v>5</v>
      </c>
      <c r="J650" s="10">
        <v>2017</v>
      </c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 t="str">
        <f>"352.28"</f>
        <v>352.28</v>
      </c>
      <c r="W650" s="5" t="str">
        <f>"427.25"</f>
        <v>427.25</v>
      </c>
      <c r="X650" s="5"/>
      <c r="Y650" s="5"/>
      <c r="Z650" s="5"/>
      <c r="AA650" s="5"/>
      <c r="AB650" s="5"/>
      <c r="AC650" s="5" t="str">
        <f>"335.55"</f>
        <v>335.55</v>
      </c>
      <c r="AD650" s="5" t="str">
        <f>"315.84"</f>
        <v>315.84</v>
      </c>
    </row>
    <row r="651" spans="1:30" ht="13.5" customHeight="1">
      <c r="A651" s="8">
        <v>649</v>
      </c>
      <c r="B651" s="8">
        <v>10392</v>
      </c>
      <c r="C651" s="9" t="s">
        <v>960</v>
      </c>
      <c r="D651" s="8" t="s">
        <v>29</v>
      </c>
      <c r="E651" s="8" t="str">
        <f>"503.76"</f>
        <v>503.76</v>
      </c>
      <c r="F651" s="8"/>
      <c r="G651" s="3">
        <v>325.73</v>
      </c>
      <c r="H651" s="10" t="s">
        <v>12</v>
      </c>
      <c r="I651" s="8">
        <v>2</v>
      </c>
      <c r="J651" s="10">
        <v>2017</v>
      </c>
      <c r="K651" s="5" t="str">
        <f>"709.79"</f>
        <v>709.79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 t="str">
        <f>"297.73"</f>
        <v>297.73</v>
      </c>
      <c r="AC651" s="5"/>
      <c r="AD651" s="5"/>
    </row>
    <row r="652" spans="1:30" ht="13.5" customHeight="1">
      <c r="A652" s="8">
        <v>650</v>
      </c>
      <c r="B652" s="8">
        <v>10180</v>
      </c>
      <c r="C652" s="9" t="s">
        <v>610</v>
      </c>
      <c r="D652" s="8" t="s">
        <v>16</v>
      </c>
      <c r="E652" s="8" t="str">
        <f>"325.80"</f>
        <v>325.80</v>
      </c>
      <c r="F652" s="8"/>
      <c r="G652" s="3">
        <v>325.8</v>
      </c>
      <c r="H652" s="10"/>
      <c r="I652" s="8">
        <v>3</v>
      </c>
      <c r="J652" s="10">
        <v>2017</v>
      </c>
      <c r="K652" s="5" t="str">
        <f>"547.28"</f>
        <v>547.28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 t="str">
        <f>"288.83"</f>
        <v>288.83</v>
      </c>
      <c r="W652" s="5" t="str">
        <f>"362.77"</f>
        <v>362.77</v>
      </c>
      <c r="X652" s="5"/>
      <c r="Y652" s="5"/>
      <c r="Z652" s="5"/>
      <c r="AA652" s="5"/>
      <c r="AB652" s="5"/>
      <c r="AC652" s="5"/>
      <c r="AD652" s="5"/>
    </row>
    <row r="653" spans="1:30" ht="13.5" customHeight="1">
      <c r="A653" s="8">
        <v>651</v>
      </c>
      <c r="B653" s="8">
        <v>10727</v>
      </c>
      <c r="C653" s="9" t="s">
        <v>544</v>
      </c>
      <c r="D653" s="8" t="s">
        <v>29</v>
      </c>
      <c r="E653" s="8" t="str">
        <f>"326.35"</f>
        <v>326.35</v>
      </c>
      <c r="F653" s="8"/>
      <c r="G653" s="3">
        <v>326.35000000000002</v>
      </c>
      <c r="H653" s="10"/>
      <c r="I653" s="8">
        <v>3</v>
      </c>
      <c r="J653" s="10">
        <v>2017</v>
      </c>
      <c r="K653" s="5" t="str">
        <f>"500.21"</f>
        <v>500.21</v>
      </c>
      <c r="L653" s="5"/>
      <c r="M653" s="5"/>
      <c r="N653" s="5"/>
      <c r="O653" s="5"/>
      <c r="P653" s="5"/>
      <c r="Q653" s="5"/>
      <c r="R653" s="5"/>
      <c r="S653" s="5"/>
      <c r="T653" s="5"/>
      <c r="U653" s="5" t="str">
        <f>"473.78"</f>
        <v>473.78</v>
      </c>
      <c r="V653" s="5"/>
      <c r="W653" s="5"/>
      <c r="X653" s="5"/>
      <c r="Y653" s="5"/>
      <c r="Z653" s="5"/>
      <c r="AA653" s="5"/>
      <c r="AB653" s="5" t="str">
        <f>"178.91"</f>
        <v>178.91</v>
      </c>
      <c r="AC653" s="5"/>
      <c r="AD653" s="5"/>
    </row>
    <row r="654" spans="1:30" ht="13.5" customHeight="1">
      <c r="A654" s="8">
        <v>652</v>
      </c>
      <c r="B654" s="8">
        <v>10636</v>
      </c>
      <c r="C654" s="9" t="s">
        <v>897</v>
      </c>
      <c r="D654" s="8" t="s">
        <v>16</v>
      </c>
      <c r="E654" s="8" t="str">
        <f>"272.42"</f>
        <v>272.42</v>
      </c>
      <c r="F654" s="8"/>
      <c r="G654" s="3">
        <v>327.2</v>
      </c>
      <c r="H654" s="10"/>
      <c r="I654" s="8">
        <v>3</v>
      </c>
      <c r="J654" s="10">
        <v>2017</v>
      </c>
      <c r="K654" s="5" t="str">
        <f>"292.39"</f>
        <v>292.39</v>
      </c>
      <c r="L654" s="5" t="str">
        <f>"540.86"</f>
        <v>540.86</v>
      </c>
      <c r="M654" s="5" t="str">
        <f>"401.95"</f>
        <v>401.95</v>
      </c>
      <c r="N654" s="5"/>
      <c r="O654" s="5"/>
      <c r="P654" s="5"/>
      <c r="Q654" s="5"/>
      <c r="R654" s="5"/>
      <c r="S654" s="5"/>
      <c r="T654" s="5"/>
      <c r="U654" s="5"/>
      <c r="V654" s="5" t="str">
        <f>"252.44"</f>
        <v>252.44</v>
      </c>
      <c r="W654" s="5"/>
      <c r="X654" s="5"/>
      <c r="Y654" s="5"/>
      <c r="Z654" s="5"/>
      <c r="AA654" s="5"/>
      <c r="AB654" s="5"/>
      <c r="AC654" s="5"/>
      <c r="AD654" s="5"/>
    </row>
    <row r="655" spans="1:30" ht="13.5" customHeight="1">
      <c r="A655" s="8">
        <v>653</v>
      </c>
      <c r="B655" s="8">
        <v>10227</v>
      </c>
      <c r="C655" s="9" t="s">
        <v>594</v>
      </c>
      <c r="D655" s="8" t="s">
        <v>363</v>
      </c>
      <c r="E655" s="8" t="str">
        <f>"301.72"</f>
        <v>301.72</v>
      </c>
      <c r="F655" s="8"/>
      <c r="G655" s="3">
        <v>327.38</v>
      </c>
      <c r="H655" s="10" t="s">
        <v>12</v>
      </c>
      <c r="I655" s="8">
        <v>2</v>
      </c>
      <c r="J655" s="10">
        <v>2017</v>
      </c>
      <c r="K655" s="5" t="str">
        <f>"304.05"</f>
        <v>304.05</v>
      </c>
      <c r="L655" s="5"/>
      <c r="M655" s="5"/>
      <c r="N655" s="5"/>
      <c r="O655" s="5"/>
      <c r="P655" s="5" t="str">
        <f>"299.38"</f>
        <v>299.38</v>
      </c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1:30" ht="13.5" customHeight="1">
      <c r="A656" s="8">
        <v>654</v>
      </c>
      <c r="B656" s="8">
        <v>10954</v>
      </c>
      <c r="C656" s="9" t="s">
        <v>698</v>
      </c>
      <c r="D656" s="8" t="s">
        <v>34</v>
      </c>
      <c r="E656" s="8" t="str">
        <f>"299.98"</f>
        <v>299.98</v>
      </c>
      <c r="F656" s="8"/>
      <c r="G656" s="3">
        <v>327.98</v>
      </c>
      <c r="H656" s="10" t="s">
        <v>18</v>
      </c>
      <c r="I656" s="8">
        <v>1</v>
      </c>
      <c r="J656" s="10">
        <v>2017</v>
      </c>
      <c r="K656" s="5" t="str">
        <f>"299.98"</f>
        <v>299.98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1:30" ht="13.5" customHeight="1">
      <c r="A657" s="8">
        <v>655</v>
      </c>
      <c r="B657" s="8">
        <v>10446</v>
      </c>
      <c r="C657" s="9" t="s">
        <v>559</v>
      </c>
      <c r="D657" s="8" t="s">
        <v>16</v>
      </c>
      <c r="E657" s="8" t="str">
        <f>"328.32"</f>
        <v>328.32</v>
      </c>
      <c r="F657" s="8"/>
      <c r="G657" s="3">
        <v>328.32</v>
      </c>
      <c r="H657" s="10"/>
      <c r="I657" s="8">
        <v>3</v>
      </c>
      <c r="J657" s="10">
        <v>2017</v>
      </c>
      <c r="K657" s="5" t="str">
        <f>"575.76"</f>
        <v>575.76</v>
      </c>
      <c r="L657" s="5"/>
      <c r="M657" s="5"/>
      <c r="N657" s="5"/>
      <c r="O657" s="5"/>
      <c r="P657" s="5"/>
      <c r="Q657" s="5"/>
      <c r="R657" s="5"/>
      <c r="S657" s="5"/>
      <c r="T657" s="5"/>
      <c r="U657" s="5" t="str">
        <f>"1218.66"</f>
        <v>1218.66</v>
      </c>
      <c r="V657" s="5"/>
      <c r="W657" s="5"/>
      <c r="X657" s="5"/>
      <c r="Y657" s="5"/>
      <c r="Z657" s="5"/>
      <c r="AA657" s="5"/>
      <c r="AB657" s="5"/>
      <c r="AC657" s="5" t="str">
        <f>"339.58"</f>
        <v>339.58</v>
      </c>
      <c r="AD657" s="5" t="str">
        <f>"317.05"</f>
        <v>317.05</v>
      </c>
    </row>
    <row r="658" spans="1:30" ht="13.5" customHeight="1">
      <c r="A658" s="8">
        <v>656</v>
      </c>
      <c r="B658" s="8">
        <v>11264</v>
      </c>
      <c r="C658" s="9" t="s">
        <v>824</v>
      </c>
      <c r="D658" s="8" t="s">
        <v>16</v>
      </c>
      <c r="E658" s="8" t="str">
        <f>"329.19"</f>
        <v>329.19</v>
      </c>
      <c r="F658" s="8"/>
      <c r="G658" s="3">
        <v>329.19</v>
      </c>
      <c r="H658" s="10"/>
      <c r="I658" s="8">
        <v>5</v>
      </c>
      <c r="J658" s="10">
        <v>2017</v>
      </c>
      <c r="K658" s="5"/>
      <c r="L658" s="5" t="str">
        <f>"471.48"</f>
        <v>471.48</v>
      </c>
      <c r="M658" s="5" t="str">
        <f>"519.23"</f>
        <v>519.23</v>
      </c>
      <c r="N658" s="5"/>
      <c r="O658" s="5"/>
      <c r="P658" s="5"/>
      <c r="Q658" s="5"/>
      <c r="R658" s="5"/>
      <c r="S658" s="5"/>
      <c r="T658" s="5"/>
      <c r="U658" s="5"/>
      <c r="V658" s="5" t="str">
        <f>"359.70"</f>
        <v>359.70</v>
      </c>
      <c r="W658" s="5"/>
      <c r="X658" s="5"/>
      <c r="Y658" s="5"/>
      <c r="Z658" s="5"/>
      <c r="AA658" s="5"/>
      <c r="AB658" s="5"/>
      <c r="AC658" s="5" t="str">
        <f>"298.68"</f>
        <v>298.68</v>
      </c>
      <c r="AD658" s="5" t="str">
        <f>"389.57"</f>
        <v>389.57</v>
      </c>
    </row>
    <row r="659" spans="1:30" ht="13.5" customHeight="1">
      <c r="A659" s="8">
        <v>657</v>
      </c>
      <c r="B659" s="8">
        <v>7169</v>
      </c>
      <c r="C659" s="9" t="s">
        <v>631</v>
      </c>
      <c r="D659" s="8" t="s">
        <v>34</v>
      </c>
      <c r="E659" s="8" t="str">
        <f>"329.54"</f>
        <v>329.54</v>
      </c>
      <c r="F659" s="8"/>
      <c r="G659" s="3">
        <v>329.54</v>
      </c>
      <c r="H659" s="10" t="s">
        <v>12</v>
      </c>
      <c r="I659" s="8">
        <v>4</v>
      </c>
      <c r="J659" s="10">
        <v>2017</v>
      </c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 t="str">
        <f>"301.54"</f>
        <v>301.54</v>
      </c>
      <c r="Z659" s="5"/>
      <c r="AA659" s="5"/>
      <c r="AB659" s="5"/>
      <c r="AC659" s="5"/>
      <c r="AD659" s="5"/>
    </row>
    <row r="660" spans="1:30" ht="13.5" customHeight="1">
      <c r="A660" s="8">
        <v>658</v>
      </c>
      <c r="B660" s="8">
        <v>10853</v>
      </c>
      <c r="C660" s="9" t="s">
        <v>656</v>
      </c>
      <c r="D660" s="8" t="s">
        <v>16</v>
      </c>
      <c r="E660" s="8" t="str">
        <f>"329.81"</f>
        <v>329.81</v>
      </c>
      <c r="F660" s="8"/>
      <c r="G660" s="3">
        <v>329.81</v>
      </c>
      <c r="H660" s="10"/>
      <c r="I660" s="8">
        <v>3</v>
      </c>
      <c r="J660" s="10">
        <v>2017</v>
      </c>
      <c r="K660" s="5" t="str">
        <f>"504.48"</f>
        <v>504.48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 t="str">
        <f>"336.65"</f>
        <v>336.65</v>
      </c>
      <c r="AD660" s="5" t="str">
        <f>"322.97"</f>
        <v>322.97</v>
      </c>
    </row>
    <row r="661" spans="1:30" ht="13.5" customHeight="1">
      <c r="A661" s="8">
        <v>659</v>
      </c>
      <c r="B661" s="8">
        <v>10123</v>
      </c>
      <c r="C661" s="9" t="s">
        <v>786</v>
      </c>
      <c r="D661" s="8" t="s">
        <v>16</v>
      </c>
      <c r="E661" s="8" t="str">
        <f>"329.96"</f>
        <v>329.96</v>
      </c>
      <c r="F661" s="8"/>
      <c r="G661" s="3">
        <v>329.96</v>
      </c>
      <c r="H661" s="10"/>
      <c r="I661" s="8">
        <v>3</v>
      </c>
      <c r="J661" s="10">
        <v>2017</v>
      </c>
      <c r="K661" s="5" t="str">
        <f>"573.66"</f>
        <v>573.66</v>
      </c>
      <c r="L661" s="5" t="str">
        <f>"425.07"</f>
        <v>425.07</v>
      </c>
      <c r="M661" s="5" t="str">
        <f>"422.75"</f>
        <v>422.75</v>
      </c>
      <c r="N661" s="5"/>
      <c r="O661" s="5"/>
      <c r="P661" s="5"/>
      <c r="Q661" s="5"/>
      <c r="R661" s="5"/>
      <c r="S661" s="5"/>
      <c r="T661" s="5"/>
      <c r="U661" s="5"/>
      <c r="V661" s="5" t="str">
        <f>"347.83"</f>
        <v>347.83</v>
      </c>
      <c r="W661" s="5" t="str">
        <f>"451.22"</f>
        <v>451.22</v>
      </c>
      <c r="X661" s="5"/>
      <c r="Y661" s="5"/>
      <c r="Z661" s="5"/>
      <c r="AA661" s="5" t="str">
        <f>"312.08"</f>
        <v>312.08</v>
      </c>
      <c r="AB661" s="5"/>
      <c r="AC661" s="5"/>
      <c r="AD661" s="5"/>
    </row>
    <row r="662" spans="1:30" ht="13.5" customHeight="1">
      <c r="A662" s="8">
        <v>660</v>
      </c>
      <c r="B662" s="8">
        <v>8311</v>
      </c>
      <c r="C662" s="9" t="s">
        <v>635</v>
      </c>
      <c r="D662" s="8" t="s">
        <v>11</v>
      </c>
      <c r="E662" s="8" t="str">
        <f>"241.81"</f>
        <v>241.81</v>
      </c>
      <c r="F662" s="8"/>
      <c r="G662" s="3">
        <v>330.54</v>
      </c>
      <c r="H662" s="10" t="s">
        <v>12</v>
      </c>
      <c r="I662" s="8">
        <v>2</v>
      </c>
      <c r="J662" s="10">
        <v>2018</v>
      </c>
      <c r="K662" s="5" t="str">
        <f>"241.81"</f>
        <v>241.81</v>
      </c>
      <c r="L662" s="5"/>
      <c r="M662" s="5"/>
      <c r="N662" s="5"/>
      <c r="O662" s="5"/>
      <c r="P662" s="5"/>
      <c r="Q662" s="5"/>
      <c r="R662" s="5"/>
      <c r="S662" s="5" t="str">
        <f>"302.54"</f>
        <v>302.54</v>
      </c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1:30" ht="13.5" customHeight="1">
      <c r="A663" s="8">
        <v>660</v>
      </c>
      <c r="B663" s="8">
        <v>8442</v>
      </c>
      <c r="C663" s="9" t="s">
        <v>856</v>
      </c>
      <c r="D663" s="8" t="s">
        <v>76</v>
      </c>
      <c r="E663" s="8" t="str">
        <f>"302.54"</f>
        <v>302.54</v>
      </c>
      <c r="F663" s="8"/>
      <c r="G663" s="3">
        <v>330.54</v>
      </c>
      <c r="H663" s="10" t="s">
        <v>18</v>
      </c>
      <c r="I663" s="8">
        <v>1</v>
      </c>
      <c r="J663" s="10">
        <v>2017</v>
      </c>
      <c r="K663" s="5" t="str">
        <f>"302.54"</f>
        <v>302.54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1:30" ht="13.5" customHeight="1">
      <c r="A664" s="8">
        <v>662</v>
      </c>
      <c r="B664" s="8">
        <v>2188</v>
      </c>
      <c r="C664" s="9" t="s">
        <v>494</v>
      </c>
      <c r="D664" s="8" t="s">
        <v>196</v>
      </c>
      <c r="E664" s="8" t="str">
        <f>"179.24"</f>
        <v>179.24</v>
      </c>
      <c r="F664" s="8"/>
      <c r="G664" s="3">
        <v>331.3</v>
      </c>
      <c r="H664" s="10" t="s">
        <v>12</v>
      </c>
      <c r="I664" s="8">
        <v>2</v>
      </c>
      <c r="J664" s="10">
        <v>2017</v>
      </c>
      <c r="K664" s="5" t="str">
        <f>"179.24"</f>
        <v>179.24</v>
      </c>
      <c r="L664" s="5"/>
      <c r="M664" s="5"/>
      <c r="N664" s="5"/>
      <c r="O664" s="5" t="str">
        <f>"303.30"</f>
        <v>303.30</v>
      </c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1:30" ht="13.5" customHeight="1">
      <c r="A665" s="8">
        <v>663</v>
      </c>
      <c r="B665" s="8">
        <v>10112</v>
      </c>
      <c r="C665" s="9" t="s">
        <v>998</v>
      </c>
      <c r="D665" s="8" t="s">
        <v>16</v>
      </c>
      <c r="E665" s="8" t="str">
        <f>"303.36"</f>
        <v>303.36</v>
      </c>
      <c r="F665" s="8"/>
      <c r="G665" s="3">
        <v>331.36</v>
      </c>
      <c r="H665" s="10" t="s">
        <v>18</v>
      </c>
      <c r="I665" s="8">
        <v>1</v>
      </c>
      <c r="J665" s="10">
        <v>2017</v>
      </c>
      <c r="K665" s="5" t="str">
        <f>"303.36"</f>
        <v>303.36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1:30" ht="13.5" customHeight="1">
      <c r="A666" s="8">
        <v>664</v>
      </c>
      <c r="B666" s="8">
        <v>2454</v>
      </c>
      <c r="C666" s="9" t="s">
        <v>852</v>
      </c>
      <c r="D666" s="8" t="s">
        <v>708</v>
      </c>
      <c r="E666" s="8" t="str">
        <f>"303.66"</f>
        <v>303.66</v>
      </c>
      <c r="F666" s="8"/>
      <c r="G666" s="3">
        <v>331.66</v>
      </c>
      <c r="H666" s="10" t="s">
        <v>18</v>
      </c>
      <c r="I666" s="8">
        <v>1</v>
      </c>
      <c r="J666" s="10">
        <v>2017</v>
      </c>
      <c r="K666" s="5" t="str">
        <f>"303.66"</f>
        <v>303.66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1:30" ht="13.5" customHeight="1">
      <c r="A667" s="8">
        <v>665</v>
      </c>
      <c r="B667" s="8">
        <v>10844</v>
      </c>
      <c r="C667" s="9" t="s">
        <v>677</v>
      </c>
      <c r="D667" s="8" t="s">
        <v>16</v>
      </c>
      <c r="E667" s="8" t="str">
        <f>"326.44"</f>
        <v>326.44</v>
      </c>
      <c r="F667" s="8"/>
      <c r="G667" s="3">
        <v>332.48</v>
      </c>
      <c r="H667" s="10"/>
      <c r="I667" s="8">
        <v>3</v>
      </c>
      <c r="J667" s="10">
        <v>2017</v>
      </c>
      <c r="K667" s="5" t="str">
        <f>"341.70"</f>
        <v>341.70</v>
      </c>
      <c r="L667" s="5" t="str">
        <f>"353.78"</f>
        <v>353.78</v>
      </c>
      <c r="M667" s="5" t="str">
        <f>"427.27"</f>
        <v>427.27</v>
      </c>
      <c r="N667" s="5"/>
      <c r="O667" s="5"/>
      <c r="P667" s="5"/>
      <c r="Q667" s="5"/>
      <c r="R667" s="5"/>
      <c r="S667" s="5"/>
      <c r="T667" s="5"/>
      <c r="U667" s="5"/>
      <c r="V667" s="5" t="str">
        <f>"311.17"</f>
        <v>311.17</v>
      </c>
      <c r="W667" s="5" t="str">
        <f>"386.89"</f>
        <v>386.89</v>
      </c>
      <c r="X667" s="5"/>
      <c r="Y667" s="5"/>
      <c r="Z667" s="5"/>
      <c r="AA667" s="5"/>
      <c r="AB667" s="5"/>
      <c r="AC667" s="5"/>
      <c r="AD667" s="5"/>
    </row>
    <row r="668" spans="1:30" ht="13.5" customHeight="1">
      <c r="A668" s="8">
        <v>666</v>
      </c>
      <c r="B668" s="8">
        <v>271</v>
      </c>
      <c r="C668" s="9" t="s">
        <v>1190</v>
      </c>
      <c r="D668" s="8" t="s">
        <v>55</v>
      </c>
      <c r="E668" s="8" t="str">
        <f>"305.27"</f>
        <v>305.27</v>
      </c>
      <c r="F668" s="8"/>
      <c r="G668" s="3">
        <v>333.27</v>
      </c>
      <c r="H668" s="10" t="s">
        <v>18</v>
      </c>
      <c r="I668" s="8">
        <v>1</v>
      </c>
      <c r="J668" s="10">
        <v>2017</v>
      </c>
      <c r="K668" s="5" t="str">
        <f>"305.27"</f>
        <v>305.27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1:30" ht="13.5" customHeight="1">
      <c r="A669" s="8">
        <v>667</v>
      </c>
      <c r="B669" s="8">
        <v>3264</v>
      </c>
      <c r="C669" s="9" t="s">
        <v>744</v>
      </c>
      <c r="D669" s="8" t="s">
        <v>726</v>
      </c>
      <c r="E669" s="8" t="str">
        <f>"225.03"</f>
        <v>225.03</v>
      </c>
      <c r="F669" s="8"/>
      <c r="G669" s="3">
        <v>333.88</v>
      </c>
      <c r="H669" s="10" t="s">
        <v>12</v>
      </c>
      <c r="I669" s="8">
        <v>2</v>
      </c>
      <c r="J669" s="10">
        <v>2018</v>
      </c>
      <c r="K669" s="5" t="str">
        <f>"225.03"</f>
        <v>225.03</v>
      </c>
      <c r="L669" s="5"/>
      <c r="M669" s="5"/>
      <c r="N669" s="5"/>
      <c r="O669" s="5"/>
      <c r="P669" s="5"/>
      <c r="Q669" s="5"/>
      <c r="R669" s="5"/>
      <c r="S669" s="5" t="str">
        <f>"305.88"</f>
        <v>305.88</v>
      </c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1:30" ht="13.5" customHeight="1">
      <c r="A670" s="8">
        <v>668</v>
      </c>
      <c r="B670" s="8">
        <v>10586</v>
      </c>
      <c r="C670" s="9" t="s">
        <v>1027</v>
      </c>
      <c r="D670" s="8" t="s">
        <v>16</v>
      </c>
      <c r="E670" s="8" t="str">
        <f>"306.59"</f>
        <v>306.59</v>
      </c>
      <c r="F670" s="8"/>
      <c r="G670" s="3">
        <v>334.59</v>
      </c>
      <c r="H670" s="10" t="s">
        <v>18</v>
      </c>
      <c r="I670" s="8">
        <v>1</v>
      </c>
      <c r="J670" s="10">
        <v>2017</v>
      </c>
      <c r="K670" s="5" t="str">
        <f>"306.59"</f>
        <v>306.59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1:30" ht="13.5" customHeight="1">
      <c r="A671" s="8">
        <v>669</v>
      </c>
      <c r="B671" s="8">
        <v>10621</v>
      </c>
      <c r="C671" s="9" t="s">
        <v>892</v>
      </c>
      <c r="D671" s="8" t="s">
        <v>16</v>
      </c>
      <c r="E671" s="8" t="str">
        <f>"335.71"</f>
        <v>335.71</v>
      </c>
      <c r="F671" s="8"/>
      <c r="G671" s="3">
        <v>335.71</v>
      </c>
      <c r="H671" s="10"/>
      <c r="I671" s="8">
        <v>3</v>
      </c>
      <c r="J671" s="10">
        <v>2017</v>
      </c>
      <c r="K671" s="5" t="str">
        <f>"371.50"</f>
        <v>371.50</v>
      </c>
      <c r="L671" s="5" t="str">
        <f>"340.85"</f>
        <v>340.85</v>
      </c>
      <c r="M671" s="5" t="str">
        <f>"337.03"</f>
        <v>337.03</v>
      </c>
      <c r="N671" s="5"/>
      <c r="O671" s="5"/>
      <c r="P671" s="5"/>
      <c r="Q671" s="5"/>
      <c r="R671" s="5"/>
      <c r="S671" s="5"/>
      <c r="T671" s="5"/>
      <c r="U671" s="5"/>
      <c r="V671" s="5" t="str">
        <f>"334.39"</f>
        <v>334.39</v>
      </c>
      <c r="W671" s="5"/>
      <c r="X671" s="5"/>
      <c r="Y671" s="5"/>
      <c r="Z671" s="5"/>
      <c r="AA671" s="5"/>
      <c r="AB671" s="5"/>
      <c r="AC671" s="5"/>
      <c r="AD671" s="5"/>
    </row>
    <row r="672" spans="1:30" ht="13.5" customHeight="1">
      <c r="A672" s="8">
        <v>670</v>
      </c>
      <c r="B672" s="8">
        <v>3937</v>
      </c>
      <c r="C672" s="9" t="s">
        <v>1172</v>
      </c>
      <c r="D672" s="8" t="s">
        <v>164</v>
      </c>
      <c r="E672" s="8" t="str">
        <f>"308.27"</f>
        <v>308.27</v>
      </c>
      <c r="F672" s="8"/>
      <c r="G672" s="3">
        <v>336.27</v>
      </c>
      <c r="H672" s="10" t="s">
        <v>18</v>
      </c>
      <c r="I672" s="8">
        <v>1</v>
      </c>
      <c r="J672" s="10">
        <v>2017</v>
      </c>
      <c r="K672" s="5" t="str">
        <f>"308.27"</f>
        <v>308.27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1:30" ht="13.5" customHeight="1">
      <c r="A673" s="8">
        <v>671</v>
      </c>
      <c r="B673" s="8">
        <v>10850</v>
      </c>
      <c r="C673" s="9" t="s">
        <v>730</v>
      </c>
      <c r="D673" s="8" t="s">
        <v>16</v>
      </c>
      <c r="E673" s="8" t="str">
        <f>"336.75"</f>
        <v>336.75</v>
      </c>
      <c r="F673" s="8"/>
      <c r="G673" s="3">
        <v>336.75</v>
      </c>
      <c r="H673" s="10"/>
      <c r="I673" s="8">
        <v>3</v>
      </c>
      <c r="J673" s="10">
        <v>2017</v>
      </c>
      <c r="K673" s="5" t="str">
        <f>"404.71"</f>
        <v>404.71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 t="str">
        <f>"338.49"</f>
        <v>338.49</v>
      </c>
      <c r="W673" s="5" t="str">
        <f>"380.71"</f>
        <v>380.71</v>
      </c>
      <c r="X673" s="5"/>
      <c r="Y673" s="5"/>
      <c r="Z673" s="5"/>
      <c r="AA673" s="5"/>
      <c r="AB673" s="5"/>
      <c r="AC673" s="5" t="str">
        <f>"335.00"</f>
        <v>335.00</v>
      </c>
      <c r="AD673" s="5" t="str">
        <f>"443.55"</f>
        <v>443.55</v>
      </c>
    </row>
    <row r="674" spans="1:30" ht="13.5" customHeight="1">
      <c r="A674" s="8">
        <v>672</v>
      </c>
      <c r="B674" s="8">
        <v>11072</v>
      </c>
      <c r="C674" s="9" t="s">
        <v>958</v>
      </c>
      <c r="D674" s="8" t="s">
        <v>76</v>
      </c>
      <c r="E674" s="8" t="str">
        <f>"308.92"</f>
        <v>308.92</v>
      </c>
      <c r="F674" s="8"/>
      <c r="G674" s="3">
        <v>336.92</v>
      </c>
      <c r="H674" s="10" t="s">
        <v>18</v>
      </c>
      <c r="I674" s="8">
        <v>1</v>
      </c>
      <c r="J674" s="10">
        <v>2017</v>
      </c>
      <c r="K674" s="5" t="str">
        <f>"308.92"</f>
        <v>308.92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1:30" ht="13.5" customHeight="1">
      <c r="A675" s="8">
        <v>673</v>
      </c>
      <c r="B675" s="8">
        <v>10275</v>
      </c>
      <c r="C675" s="9" t="s">
        <v>674</v>
      </c>
      <c r="D675" s="8" t="s">
        <v>577</v>
      </c>
      <c r="E675" s="8" t="str">
        <f>"297.04"</f>
        <v>297.04</v>
      </c>
      <c r="F675" s="8"/>
      <c r="G675" s="3">
        <v>337.57</v>
      </c>
      <c r="H675" s="10"/>
      <c r="I675" s="8">
        <v>3</v>
      </c>
      <c r="J675" s="10">
        <v>2017</v>
      </c>
      <c r="K675" s="5" t="str">
        <f>"297.04"</f>
        <v>297.04</v>
      </c>
      <c r="L675" s="5"/>
      <c r="M675" s="5"/>
      <c r="N675" s="5"/>
      <c r="O675" s="5"/>
      <c r="P675" s="5" t="str">
        <f>"351.35"</f>
        <v>351.35</v>
      </c>
      <c r="Q675" s="5"/>
      <c r="R675" s="5"/>
      <c r="S675" s="5"/>
      <c r="T675" s="5"/>
      <c r="U675" s="5"/>
      <c r="V675" s="5"/>
      <c r="W675" s="5"/>
      <c r="X675" s="5" t="str">
        <f>"323.79"</f>
        <v>323.79</v>
      </c>
      <c r="Y675" s="5"/>
      <c r="Z675" s="5"/>
      <c r="AA675" s="5"/>
      <c r="AB675" s="5"/>
      <c r="AC675" s="5"/>
      <c r="AD675" s="5"/>
    </row>
    <row r="676" spans="1:30" ht="13.5" customHeight="1">
      <c r="A676" s="8">
        <v>674</v>
      </c>
      <c r="B676" s="8">
        <v>10479</v>
      </c>
      <c r="C676" s="9" t="s">
        <v>654</v>
      </c>
      <c r="D676" s="8" t="s">
        <v>29</v>
      </c>
      <c r="E676" s="8" t="str">
        <f>"336.72"</f>
        <v>336.72</v>
      </c>
      <c r="F676" s="8"/>
      <c r="G676" s="3">
        <v>338.64</v>
      </c>
      <c r="H676" s="10" t="s">
        <v>12</v>
      </c>
      <c r="I676" s="8">
        <v>2</v>
      </c>
      <c r="J676" s="10">
        <v>2017</v>
      </c>
      <c r="K676" s="5" t="str">
        <f>"362.80"</f>
        <v>362.80</v>
      </c>
      <c r="L676" s="5"/>
      <c r="M676" s="5"/>
      <c r="N676" s="5"/>
      <c r="O676" s="5"/>
      <c r="P676" s="5"/>
      <c r="Q676" s="5"/>
      <c r="R676" s="5" t="str">
        <f>"310.64"</f>
        <v>310.64</v>
      </c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1:30" ht="13.5" customHeight="1">
      <c r="A677" s="8">
        <v>675</v>
      </c>
      <c r="B677" s="8">
        <v>8505</v>
      </c>
      <c r="C677" s="9" t="s">
        <v>902</v>
      </c>
      <c r="D677" s="8" t="s">
        <v>16</v>
      </c>
      <c r="E677" s="8" t="str">
        <f>"312.77"</f>
        <v>312.77</v>
      </c>
      <c r="F677" s="8"/>
      <c r="G677" s="3">
        <v>340.77</v>
      </c>
      <c r="H677" s="10" t="s">
        <v>18</v>
      </c>
      <c r="I677" s="8">
        <v>1</v>
      </c>
      <c r="J677" s="10">
        <v>2017</v>
      </c>
      <c r="K677" s="5" t="str">
        <f>"312.77"</f>
        <v>312.77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1:30" ht="13.5" customHeight="1">
      <c r="A678" s="8">
        <v>676</v>
      </c>
      <c r="B678" s="8">
        <v>10186</v>
      </c>
      <c r="C678" s="9" t="s">
        <v>869</v>
      </c>
      <c r="D678" s="8" t="s">
        <v>16</v>
      </c>
      <c r="E678" s="8" t="str">
        <f>"340.80"</f>
        <v>340.80</v>
      </c>
      <c r="F678" s="8"/>
      <c r="G678" s="3">
        <v>340.8</v>
      </c>
      <c r="H678" s="10"/>
      <c r="I678" s="8">
        <v>3</v>
      </c>
      <c r="J678" s="10">
        <v>2017</v>
      </c>
      <c r="K678" s="5" t="str">
        <f>"904.28"</f>
        <v>904.28</v>
      </c>
      <c r="L678" s="5" t="str">
        <f>"432.58"</f>
        <v>432.58</v>
      </c>
      <c r="M678" s="5" t="str">
        <f>"395.63"</f>
        <v>395.63</v>
      </c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 t="str">
        <f>"285.96"</f>
        <v>285.96</v>
      </c>
      <c r="AD678" s="5"/>
    </row>
    <row r="679" spans="1:30" ht="13.5" customHeight="1">
      <c r="A679" s="8">
        <v>677</v>
      </c>
      <c r="B679" s="8">
        <v>3621</v>
      </c>
      <c r="C679" s="9" t="s">
        <v>915</v>
      </c>
      <c r="D679" s="8" t="s">
        <v>431</v>
      </c>
      <c r="E679" s="8" t="str">
        <f>"315.48"</f>
        <v>315.48</v>
      </c>
      <c r="F679" s="8"/>
      <c r="G679" s="3">
        <v>341.19</v>
      </c>
      <c r="H679" s="10" t="s">
        <v>12</v>
      </c>
      <c r="I679" s="8">
        <v>2</v>
      </c>
      <c r="J679" s="10">
        <v>2017</v>
      </c>
      <c r="K679" s="5" t="str">
        <f>"317.77"</f>
        <v>317.77</v>
      </c>
      <c r="L679" s="5"/>
      <c r="M679" s="5"/>
      <c r="N679" s="5"/>
      <c r="O679" s="5" t="str">
        <f>"313.19"</f>
        <v>313.19</v>
      </c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1:30" ht="13.5" customHeight="1">
      <c r="A680" s="8">
        <v>678</v>
      </c>
      <c r="B680" s="8">
        <v>10231</v>
      </c>
      <c r="C680" s="9" t="s">
        <v>583</v>
      </c>
      <c r="D680" s="8" t="s">
        <v>363</v>
      </c>
      <c r="E680" s="8" t="str">
        <f>"313.28"</f>
        <v>313.28</v>
      </c>
      <c r="F680" s="8"/>
      <c r="G680" s="3">
        <v>341.28</v>
      </c>
      <c r="H680" s="10" t="s">
        <v>18</v>
      </c>
      <c r="I680" s="8">
        <v>1</v>
      </c>
      <c r="J680" s="10">
        <v>2017</v>
      </c>
      <c r="K680" s="5" t="str">
        <f>"313.28"</f>
        <v>313.28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1:30" ht="13.5" customHeight="1">
      <c r="A681" s="8">
        <v>679</v>
      </c>
      <c r="B681" s="8">
        <v>7299</v>
      </c>
      <c r="C681" s="9" t="s">
        <v>882</v>
      </c>
      <c r="D681" s="8" t="s">
        <v>615</v>
      </c>
      <c r="E681" s="8" t="str">
        <f>"313.93"</f>
        <v>313.93</v>
      </c>
      <c r="F681" s="8"/>
      <c r="G681" s="3">
        <v>341.93</v>
      </c>
      <c r="H681" s="10" t="s">
        <v>18</v>
      </c>
      <c r="I681" s="8">
        <v>1</v>
      </c>
      <c r="J681" s="10">
        <v>2017</v>
      </c>
      <c r="K681" s="5" t="str">
        <f>"313.93"</f>
        <v>313.93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1:30" ht="13.5" customHeight="1">
      <c r="A682" s="8">
        <v>680</v>
      </c>
      <c r="B682" s="8">
        <v>10680</v>
      </c>
      <c r="C682" s="9" t="s">
        <v>441</v>
      </c>
      <c r="D682" s="8" t="s">
        <v>29</v>
      </c>
      <c r="E682" s="8" t="str">
        <f>"342.07"</f>
        <v>342.07</v>
      </c>
      <c r="F682" s="8"/>
      <c r="G682" s="3">
        <v>342.07</v>
      </c>
      <c r="H682" s="10"/>
      <c r="I682" s="8">
        <v>3</v>
      </c>
      <c r="J682" s="10">
        <v>2017</v>
      </c>
      <c r="K682" s="5" t="str">
        <f>"438.58"</f>
        <v>438.58</v>
      </c>
      <c r="L682" s="5"/>
      <c r="M682" s="5"/>
      <c r="N682" s="5"/>
      <c r="O682" s="5"/>
      <c r="P682" s="5"/>
      <c r="Q682" s="5" t="str">
        <f>"318.78"</f>
        <v>318.78</v>
      </c>
      <c r="R682" s="5" t="str">
        <f>"388.45"</f>
        <v>388.45</v>
      </c>
      <c r="S682" s="5"/>
      <c r="T682" s="5"/>
      <c r="U682" s="5" t="str">
        <f>"365.36"</f>
        <v>365.36</v>
      </c>
      <c r="V682" s="5"/>
      <c r="W682" s="5"/>
      <c r="X682" s="5"/>
      <c r="Y682" s="5"/>
      <c r="Z682" s="5"/>
      <c r="AA682" s="5"/>
      <c r="AB682" s="5" t="str">
        <f>"646.55"</f>
        <v>646.55</v>
      </c>
      <c r="AC682" s="5"/>
      <c r="AD682" s="5"/>
    </row>
    <row r="683" spans="1:30" ht="13.5" customHeight="1">
      <c r="A683" s="8">
        <v>681</v>
      </c>
      <c r="B683" s="8">
        <v>1917</v>
      </c>
      <c r="C683" s="9" t="s">
        <v>931</v>
      </c>
      <c r="D683" s="8" t="s">
        <v>24</v>
      </c>
      <c r="E683" s="8" t="str">
        <f>"315.03"</f>
        <v>315.03</v>
      </c>
      <c r="F683" s="8"/>
      <c r="G683" s="3">
        <v>343.03</v>
      </c>
      <c r="H683" s="10" t="s">
        <v>18</v>
      </c>
      <c r="I683" s="8">
        <v>1</v>
      </c>
      <c r="J683" s="10">
        <v>2017</v>
      </c>
      <c r="K683" s="5" t="str">
        <f>"315.03"</f>
        <v>315.03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1:30" ht="13.5" customHeight="1">
      <c r="A684" s="8">
        <v>682</v>
      </c>
      <c r="B684" s="8">
        <v>2396</v>
      </c>
      <c r="C684" s="9" t="s">
        <v>883</v>
      </c>
      <c r="D684" s="8" t="s">
        <v>16</v>
      </c>
      <c r="E684" s="8" t="str">
        <f>"316.86"</f>
        <v>316.86</v>
      </c>
      <c r="F684" s="8"/>
      <c r="G684" s="3">
        <v>343.16</v>
      </c>
      <c r="H684" s="10"/>
      <c r="I684" s="8">
        <v>3</v>
      </c>
      <c r="J684" s="10">
        <v>2017</v>
      </c>
      <c r="K684" s="5" t="str">
        <f>"339.55"</f>
        <v>339.55</v>
      </c>
      <c r="L684" s="5" t="str">
        <f>"455.55"</f>
        <v>455.55</v>
      </c>
      <c r="M684" s="5"/>
      <c r="N684" s="5"/>
      <c r="O684" s="5"/>
      <c r="P684" s="5"/>
      <c r="Q684" s="5"/>
      <c r="R684" s="5"/>
      <c r="S684" s="5"/>
      <c r="T684" s="5"/>
      <c r="U684" s="5"/>
      <c r="V684" s="5" t="str">
        <f>"294.16"</f>
        <v>294.16</v>
      </c>
      <c r="W684" s="5" t="str">
        <f>"392.15"</f>
        <v>392.15</v>
      </c>
      <c r="X684" s="5"/>
      <c r="Y684" s="5"/>
      <c r="Z684" s="5"/>
      <c r="AA684" s="5"/>
      <c r="AB684" s="5"/>
      <c r="AC684" s="5"/>
      <c r="AD684" s="5"/>
    </row>
    <row r="685" spans="1:30" ht="13.5" customHeight="1">
      <c r="A685" s="8">
        <v>683</v>
      </c>
      <c r="B685" s="8">
        <v>6275</v>
      </c>
      <c r="C685" s="9" t="s">
        <v>437</v>
      </c>
      <c r="D685" s="8" t="s">
        <v>29</v>
      </c>
      <c r="E685" s="8" t="str">
        <f>"274.60"</f>
        <v>274.60</v>
      </c>
      <c r="F685" s="8"/>
      <c r="G685" s="3">
        <v>343.3</v>
      </c>
      <c r="H685" s="10"/>
      <c r="I685" s="8">
        <v>3</v>
      </c>
      <c r="J685" s="10">
        <v>2017</v>
      </c>
      <c r="K685" s="5" t="str">
        <f>"274.60"</f>
        <v>274.60</v>
      </c>
      <c r="L685" s="5"/>
      <c r="M685" s="5"/>
      <c r="N685" s="5"/>
      <c r="O685" s="5"/>
      <c r="P685" s="5"/>
      <c r="Q685" s="5" t="str">
        <f>"277.88"</f>
        <v>277.88</v>
      </c>
      <c r="R685" s="5" t="str">
        <f>"441.52"</f>
        <v>441.52</v>
      </c>
      <c r="S685" s="5"/>
      <c r="T685" s="5"/>
      <c r="U685" s="5" t="str">
        <f>"408.72"</f>
        <v>408.72</v>
      </c>
      <c r="V685" s="5"/>
      <c r="W685" s="5"/>
      <c r="X685" s="5"/>
      <c r="Y685" s="5"/>
      <c r="Z685" s="5"/>
      <c r="AA685" s="5"/>
      <c r="AB685" s="5"/>
      <c r="AC685" s="5"/>
      <c r="AD685" s="5"/>
    </row>
    <row r="686" spans="1:30" ht="13.5" customHeight="1">
      <c r="A686" s="8">
        <v>684</v>
      </c>
      <c r="B686" s="8">
        <v>10167</v>
      </c>
      <c r="C686" s="9" t="s">
        <v>478</v>
      </c>
      <c r="D686" s="8" t="s">
        <v>16</v>
      </c>
      <c r="E686" s="8" t="str">
        <f>"283.42"</f>
        <v>283.42</v>
      </c>
      <c r="F686" s="8"/>
      <c r="G686" s="3">
        <v>343.95</v>
      </c>
      <c r="H686" s="10"/>
      <c r="I686" s="8">
        <v>3</v>
      </c>
      <c r="J686" s="10">
        <v>2017</v>
      </c>
      <c r="K686" s="5" t="str">
        <f>"283.42"</f>
        <v>283.42</v>
      </c>
      <c r="L686" s="5" t="str">
        <f>"335.96"</f>
        <v>335.96</v>
      </c>
      <c r="M686" s="5"/>
      <c r="N686" s="5"/>
      <c r="O686" s="5"/>
      <c r="P686" s="5"/>
      <c r="Q686" s="5"/>
      <c r="R686" s="5"/>
      <c r="S686" s="5"/>
      <c r="T686" s="5"/>
      <c r="U686" s="5"/>
      <c r="V686" s="5" t="str">
        <f>"351.93"</f>
        <v>351.93</v>
      </c>
      <c r="W686" s="5" t="str">
        <f>"561.48"</f>
        <v>561.48</v>
      </c>
      <c r="X686" s="5"/>
      <c r="Y686" s="5"/>
      <c r="Z686" s="5"/>
      <c r="AA686" s="5"/>
      <c r="AB686" s="5"/>
      <c r="AC686" s="5"/>
      <c r="AD686" s="5"/>
    </row>
    <row r="687" spans="1:30" ht="13.5" customHeight="1">
      <c r="A687" s="8">
        <v>685</v>
      </c>
      <c r="B687" s="8">
        <v>1321</v>
      </c>
      <c r="C687" s="9" t="s">
        <v>538</v>
      </c>
      <c r="D687" s="8" t="s">
        <v>85</v>
      </c>
      <c r="E687" s="8" t="str">
        <f>"317.75"</f>
        <v>317.75</v>
      </c>
      <c r="F687" s="8"/>
      <c r="G687" s="3">
        <v>345.75</v>
      </c>
      <c r="H687" s="10" t="s">
        <v>18</v>
      </c>
      <c r="I687" s="8">
        <v>1</v>
      </c>
      <c r="J687" s="10">
        <v>2017</v>
      </c>
      <c r="K687" s="5" t="str">
        <f>"317.75"</f>
        <v>317.75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1:30" ht="13.5" customHeight="1">
      <c r="A688" s="8">
        <v>686</v>
      </c>
      <c r="B688" s="8">
        <v>10955</v>
      </c>
      <c r="C688" s="9" t="s">
        <v>484</v>
      </c>
      <c r="D688" s="8" t="s">
        <v>29</v>
      </c>
      <c r="E688" s="8" t="str">
        <f>"342.57"</f>
        <v>342.57</v>
      </c>
      <c r="F688" s="8"/>
      <c r="G688" s="3">
        <v>346.8</v>
      </c>
      <c r="H688" s="10" t="s">
        <v>12</v>
      </c>
      <c r="I688" s="8">
        <v>2</v>
      </c>
      <c r="J688" s="10">
        <v>2017</v>
      </c>
      <c r="K688" s="5" t="str">
        <f>"366.33"</f>
        <v>366.33</v>
      </c>
      <c r="L688" s="5"/>
      <c r="M688" s="5"/>
      <c r="N688" s="5"/>
      <c r="O688" s="5"/>
      <c r="P688" s="5"/>
      <c r="Q688" s="5"/>
      <c r="R688" s="5"/>
      <c r="S688" s="5"/>
      <c r="T688" s="5"/>
      <c r="U688" s="5" t="str">
        <f>"318.80"</f>
        <v>318.80</v>
      </c>
      <c r="V688" s="5"/>
      <c r="W688" s="5"/>
      <c r="X688" s="5"/>
      <c r="Y688" s="5"/>
      <c r="Z688" s="5"/>
      <c r="AA688" s="5"/>
      <c r="AB688" s="5"/>
      <c r="AC688" s="5"/>
      <c r="AD688" s="5"/>
    </row>
    <row r="689" spans="1:30" ht="13.5" customHeight="1">
      <c r="A689" s="8">
        <v>687</v>
      </c>
      <c r="B689" s="8">
        <v>10898</v>
      </c>
      <c r="C689" s="9" t="s">
        <v>875</v>
      </c>
      <c r="D689" s="8" t="s">
        <v>16</v>
      </c>
      <c r="E689" s="8" t="str">
        <f>"346.93"</f>
        <v>346.93</v>
      </c>
      <c r="F689" s="8"/>
      <c r="G689" s="3">
        <v>346.93</v>
      </c>
      <c r="H689" s="10"/>
      <c r="I689" s="8">
        <v>3</v>
      </c>
      <c r="J689" s="10">
        <v>2017</v>
      </c>
      <c r="K689" s="5" t="str">
        <f>"659.84"</f>
        <v>659.84</v>
      </c>
      <c r="L689" s="5" t="str">
        <f>"615.49"</f>
        <v>615.49</v>
      </c>
      <c r="M689" s="5" t="str">
        <f>"547.85"</f>
        <v>547.85</v>
      </c>
      <c r="N689" s="5"/>
      <c r="O689" s="5"/>
      <c r="P689" s="5"/>
      <c r="Q689" s="5"/>
      <c r="R689" s="5"/>
      <c r="S689" s="5"/>
      <c r="T689" s="5"/>
      <c r="U689" s="5"/>
      <c r="V689" s="5" t="str">
        <f>"395.74"</f>
        <v>395.74</v>
      </c>
      <c r="W689" s="5"/>
      <c r="X689" s="5"/>
      <c r="Y689" s="5"/>
      <c r="Z689" s="5"/>
      <c r="AA689" s="5"/>
      <c r="AB689" s="5"/>
      <c r="AC689" s="5" t="str">
        <f>"337.38"</f>
        <v>337.38</v>
      </c>
      <c r="AD689" s="5" t="str">
        <f>"356.48"</f>
        <v>356.48</v>
      </c>
    </row>
    <row r="690" spans="1:30" ht="13.5" customHeight="1">
      <c r="A690" s="8">
        <v>688</v>
      </c>
      <c r="B690" s="8">
        <v>10907</v>
      </c>
      <c r="C690" s="9" t="s">
        <v>817</v>
      </c>
      <c r="D690" s="8" t="s">
        <v>16</v>
      </c>
      <c r="E690" s="8" t="str">
        <f>"347.65"</f>
        <v>347.65</v>
      </c>
      <c r="F690" s="8"/>
      <c r="G690" s="3">
        <v>347.65</v>
      </c>
      <c r="H690" s="10"/>
      <c r="I690" s="8">
        <v>3</v>
      </c>
      <c r="J690" s="10">
        <v>2017</v>
      </c>
      <c r="K690" s="5" t="str">
        <f>"614.24"</f>
        <v>614.24</v>
      </c>
      <c r="L690" s="5" t="str">
        <f>"621.74"</f>
        <v>621.74</v>
      </c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 t="str">
        <f>"314.42"</f>
        <v>314.42</v>
      </c>
      <c r="AD690" s="5" t="str">
        <f>"380.87"</f>
        <v>380.87</v>
      </c>
    </row>
    <row r="691" spans="1:30" ht="13.5" customHeight="1">
      <c r="A691" s="8">
        <v>689</v>
      </c>
      <c r="B691" s="8">
        <v>10372</v>
      </c>
      <c r="C691" s="9" t="s">
        <v>831</v>
      </c>
      <c r="D691" s="8" t="s">
        <v>198</v>
      </c>
      <c r="E691" s="8" t="str">
        <f>"322.35"</f>
        <v>322.35</v>
      </c>
      <c r="F691" s="8"/>
      <c r="G691" s="3">
        <v>350.35</v>
      </c>
      <c r="H691" s="10" t="s">
        <v>18</v>
      </c>
      <c r="I691" s="8">
        <v>1</v>
      </c>
      <c r="J691" s="10">
        <v>2017</v>
      </c>
      <c r="K691" s="5" t="str">
        <f>"322.35"</f>
        <v>322.35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1:30" ht="13.5" customHeight="1">
      <c r="A692" s="8">
        <v>690</v>
      </c>
      <c r="B692" s="8">
        <v>10437</v>
      </c>
      <c r="C692" s="9" t="s">
        <v>798</v>
      </c>
      <c r="D692" s="8" t="s">
        <v>29</v>
      </c>
      <c r="E692" s="8" t="str">
        <f>"340.63"</f>
        <v>340.63</v>
      </c>
      <c r="F692" s="8"/>
      <c r="G692" s="3">
        <v>350.72</v>
      </c>
      <c r="H692" s="10"/>
      <c r="I692" s="8">
        <v>3</v>
      </c>
      <c r="J692" s="10">
        <v>2017</v>
      </c>
      <c r="K692" s="5" t="str">
        <f>"391.87"</f>
        <v>391.87</v>
      </c>
      <c r="L692" s="5"/>
      <c r="M692" s="5"/>
      <c r="N692" s="5"/>
      <c r="O692" s="5"/>
      <c r="P692" s="5"/>
      <c r="Q692" s="5"/>
      <c r="R692" s="5"/>
      <c r="S692" s="5"/>
      <c r="T692" s="5"/>
      <c r="U692" s="5" t="str">
        <f>"771.60"</f>
        <v>771.60</v>
      </c>
      <c r="V692" s="5"/>
      <c r="W692" s="5"/>
      <c r="X692" s="5"/>
      <c r="Y692" s="5"/>
      <c r="Z692" s="5"/>
      <c r="AA692" s="5"/>
      <c r="AB692" s="5" t="str">
        <f>"289.39"</f>
        <v>289.39</v>
      </c>
      <c r="AC692" s="5" t="str">
        <f>"412.04"</f>
        <v>412.04</v>
      </c>
      <c r="AD692" s="5"/>
    </row>
    <row r="693" spans="1:30" ht="13.5" customHeight="1">
      <c r="A693" s="8">
        <v>691</v>
      </c>
      <c r="B693" s="8">
        <v>10584</v>
      </c>
      <c r="C693" s="9" t="s">
        <v>839</v>
      </c>
      <c r="D693" s="8" t="s">
        <v>16</v>
      </c>
      <c r="E693" s="8" t="str">
        <f>"292.60"</f>
        <v>292.60</v>
      </c>
      <c r="F693" s="8"/>
      <c r="G693" s="3">
        <v>351.09</v>
      </c>
      <c r="H693" s="10"/>
      <c r="I693" s="8">
        <v>3</v>
      </c>
      <c r="J693" s="10">
        <v>2017</v>
      </c>
      <c r="K693" s="5" t="str">
        <f>"292.60"</f>
        <v>292.60</v>
      </c>
      <c r="L693" s="5" t="str">
        <f>"367.35"</f>
        <v>367.35</v>
      </c>
      <c r="M693" s="5"/>
      <c r="N693" s="5"/>
      <c r="O693" s="5"/>
      <c r="P693" s="5"/>
      <c r="Q693" s="5"/>
      <c r="R693" s="5"/>
      <c r="S693" s="5"/>
      <c r="T693" s="5"/>
      <c r="U693" s="5"/>
      <c r="V693" s="5" t="str">
        <f>"334.82"</f>
        <v>334.82</v>
      </c>
      <c r="W693" s="5" t="str">
        <f>"412.25"</f>
        <v>412.25</v>
      </c>
      <c r="X693" s="5"/>
      <c r="Y693" s="5"/>
      <c r="Z693" s="5"/>
      <c r="AA693" s="5"/>
      <c r="AB693" s="5"/>
      <c r="AC693" s="5"/>
      <c r="AD693" s="5"/>
    </row>
    <row r="694" spans="1:30" ht="13.5" customHeight="1">
      <c r="A694" s="8">
        <v>692</v>
      </c>
      <c r="B694" s="8">
        <v>10888</v>
      </c>
      <c r="C694" s="9" t="s">
        <v>750</v>
      </c>
      <c r="D694" s="8" t="s">
        <v>16</v>
      </c>
      <c r="E694" s="8" t="str">
        <f>"351.30"</f>
        <v>351.30</v>
      </c>
      <c r="F694" s="8"/>
      <c r="G694" s="3">
        <v>351.3</v>
      </c>
      <c r="H694" s="10"/>
      <c r="I694" s="8">
        <v>3</v>
      </c>
      <c r="J694" s="10">
        <v>2017</v>
      </c>
      <c r="K694" s="5" t="str">
        <f>"507.01"</f>
        <v>507.01</v>
      </c>
      <c r="L694" s="5" t="str">
        <f>"418.92"</f>
        <v>418.92</v>
      </c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 t="str">
        <f>"359.52"</f>
        <v>359.52</v>
      </c>
      <c r="AD694" s="5" t="str">
        <f>"343.08"</f>
        <v>343.08</v>
      </c>
    </row>
    <row r="695" spans="1:30" ht="13.5" customHeight="1">
      <c r="A695" s="8">
        <v>693</v>
      </c>
      <c r="B695" s="8">
        <v>10298</v>
      </c>
      <c r="C695" s="9" t="s">
        <v>710</v>
      </c>
      <c r="D695" s="8" t="s">
        <v>184</v>
      </c>
      <c r="E695" s="8" t="str">
        <f>"323.32"</f>
        <v>323.32</v>
      </c>
      <c r="F695" s="8"/>
      <c r="G695" s="3">
        <v>351.32</v>
      </c>
      <c r="H695" s="10" t="s">
        <v>18</v>
      </c>
      <c r="I695" s="8">
        <v>1</v>
      </c>
      <c r="J695" s="10">
        <v>2017</v>
      </c>
      <c r="K695" s="5" t="str">
        <f>"323.32"</f>
        <v>323.32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1:30" ht="13.5" customHeight="1">
      <c r="A696" s="8">
        <v>694</v>
      </c>
      <c r="B696" s="8">
        <v>11097</v>
      </c>
      <c r="C696" s="9" t="s">
        <v>689</v>
      </c>
      <c r="D696" s="8" t="s">
        <v>22</v>
      </c>
      <c r="E696" s="8" t="str">
        <f>"332.93"</f>
        <v>332.93</v>
      </c>
      <c r="F696" s="8"/>
      <c r="G696" s="3">
        <v>352.23</v>
      </c>
      <c r="H696" s="10" t="s">
        <v>12</v>
      </c>
      <c r="I696" s="8">
        <v>2</v>
      </c>
      <c r="J696" s="10">
        <v>2017</v>
      </c>
      <c r="K696" s="5" t="str">
        <f>"341.63"</f>
        <v>341.63</v>
      </c>
      <c r="L696" s="5"/>
      <c r="M696" s="5"/>
      <c r="N696" s="5"/>
      <c r="O696" s="5"/>
      <c r="P696" s="5" t="str">
        <f>"324.23"</f>
        <v>324.23</v>
      </c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1:30" ht="13.5" customHeight="1">
      <c r="A697" s="8">
        <v>695</v>
      </c>
      <c r="B697" s="8">
        <v>4546</v>
      </c>
      <c r="C697" s="9" t="s">
        <v>380</v>
      </c>
      <c r="D697" s="8" t="s">
        <v>169</v>
      </c>
      <c r="E697" s="8" t="str">
        <f>"324.60"</f>
        <v>324.60</v>
      </c>
      <c r="F697" s="8"/>
      <c r="G697" s="3">
        <v>352.6</v>
      </c>
      <c r="H697" s="10" t="s">
        <v>18</v>
      </c>
      <c r="I697" s="8">
        <v>1</v>
      </c>
      <c r="J697" s="10">
        <v>2017</v>
      </c>
      <c r="K697" s="5" t="str">
        <f>"324.60"</f>
        <v>324.60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1:30" ht="13.5" customHeight="1">
      <c r="A698" s="8">
        <v>696</v>
      </c>
      <c r="B698" s="8">
        <v>10458</v>
      </c>
      <c r="C698" s="9" t="s">
        <v>1161</v>
      </c>
      <c r="D698" s="8" t="s">
        <v>16</v>
      </c>
      <c r="E698" s="8" t="str">
        <f>"354.53"</f>
        <v>354.53</v>
      </c>
      <c r="F698" s="8"/>
      <c r="G698" s="3">
        <v>354.53</v>
      </c>
      <c r="H698" s="10"/>
      <c r="I698" s="8">
        <v>5</v>
      </c>
      <c r="J698" s="10">
        <v>2017</v>
      </c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 t="str">
        <f>"843.34"</f>
        <v>843.34</v>
      </c>
      <c r="V698" s="5"/>
      <c r="W698" s="5"/>
      <c r="X698" s="5"/>
      <c r="Y698" s="5"/>
      <c r="Z698" s="5"/>
      <c r="AA698" s="5"/>
      <c r="AB698" s="5"/>
      <c r="AC698" s="5" t="str">
        <f>"366.48"</f>
        <v>366.48</v>
      </c>
      <c r="AD698" s="5" t="str">
        <f>"342.58"</f>
        <v>342.58</v>
      </c>
    </row>
    <row r="699" spans="1:30" ht="13.5" customHeight="1">
      <c r="A699" s="8">
        <v>697</v>
      </c>
      <c r="B699" s="8">
        <v>3924</v>
      </c>
      <c r="C699" s="9" t="s">
        <v>909</v>
      </c>
      <c r="D699" s="8" t="s">
        <v>910</v>
      </c>
      <c r="E699" s="8" t="str">
        <f>"320.83"</f>
        <v>320.83</v>
      </c>
      <c r="F699" s="8"/>
      <c r="G699" s="3">
        <v>354.72</v>
      </c>
      <c r="H699" s="10" t="s">
        <v>12</v>
      </c>
      <c r="I699" s="8">
        <v>2</v>
      </c>
      <c r="J699" s="10">
        <v>2017</v>
      </c>
      <c r="K699" s="5" t="str">
        <f>"320.83"</f>
        <v>320.83</v>
      </c>
      <c r="L699" s="5"/>
      <c r="M699" s="5"/>
      <c r="N699" s="5"/>
      <c r="O699" s="5" t="str">
        <f>"326.72"</f>
        <v>326.72</v>
      </c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1:30" ht="13.5" customHeight="1">
      <c r="A700" s="8">
        <v>698</v>
      </c>
      <c r="B700" s="8">
        <v>11204</v>
      </c>
      <c r="C700" s="9" t="s">
        <v>734</v>
      </c>
      <c r="D700" s="8" t="s">
        <v>29</v>
      </c>
      <c r="E700" s="8" t="str">
        <f>"354.78"</f>
        <v>354.78</v>
      </c>
      <c r="F700" s="8"/>
      <c r="G700" s="3">
        <v>354.78</v>
      </c>
      <c r="H700" s="10"/>
      <c r="I700" s="8">
        <v>5</v>
      </c>
      <c r="J700" s="10">
        <v>2017</v>
      </c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 t="str">
        <f>"507.90"</f>
        <v>507.90</v>
      </c>
      <c r="V700" s="5"/>
      <c r="W700" s="5"/>
      <c r="X700" s="5"/>
      <c r="Y700" s="5"/>
      <c r="Z700" s="5"/>
      <c r="AA700" s="5"/>
      <c r="AB700" s="5" t="str">
        <f>"201.65"</f>
        <v>201.65</v>
      </c>
      <c r="AC700" s="5"/>
      <c r="AD700" s="5"/>
    </row>
    <row r="701" spans="1:30" ht="13.5" customHeight="1">
      <c r="A701" s="8">
        <v>699</v>
      </c>
      <c r="B701" s="8">
        <v>11227</v>
      </c>
      <c r="C701" s="9" t="s">
        <v>754</v>
      </c>
      <c r="D701" s="8" t="s">
        <v>164</v>
      </c>
      <c r="E701" s="8" t="str">
        <f>"355.04"</f>
        <v>355.04</v>
      </c>
      <c r="F701" s="8"/>
      <c r="G701" s="3">
        <v>355.04</v>
      </c>
      <c r="H701" s="10" t="s">
        <v>12</v>
      </c>
      <c r="I701" s="8">
        <v>4</v>
      </c>
      <c r="J701" s="10">
        <v>2017</v>
      </c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 t="str">
        <f>"327.04"</f>
        <v>327.04</v>
      </c>
      <c r="AB701" s="5"/>
      <c r="AC701" s="5"/>
      <c r="AD701" s="5"/>
    </row>
    <row r="702" spans="1:30" ht="13.5" customHeight="1">
      <c r="A702" s="8">
        <v>700</v>
      </c>
      <c r="B702" s="8">
        <v>11043</v>
      </c>
      <c r="C702" s="9" t="s">
        <v>937</v>
      </c>
      <c r="D702" s="8" t="s">
        <v>76</v>
      </c>
      <c r="E702" s="8" t="str">
        <f>"344.02"</f>
        <v>344.02</v>
      </c>
      <c r="F702" s="8"/>
      <c r="G702" s="3">
        <v>355.27</v>
      </c>
      <c r="H702" s="10" t="s">
        <v>12</v>
      </c>
      <c r="I702" s="8">
        <v>2</v>
      </c>
      <c r="J702" s="10">
        <v>2017</v>
      </c>
      <c r="K702" s="5" t="str">
        <f>"360.76"</f>
        <v>360.76</v>
      </c>
      <c r="L702" s="5"/>
      <c r="M702" s="5"/>
      <c r="N702" s="5"/>
      <c r="O702" s="5"/>
      <c r="P702" s="5" t="str">
        <f>"327.27"</f>
        <v>327.27</v>
      </c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1:30" ht="13.5" customHeight="1">
      <c r="A703" s="8">
        <v>701</v>
      </c>
      <c r="B703" s="8">
        <v>10115</v>
      </c>
      <c r="C703" s="9" t="s">
        <v>808</v>
      </c>
      <c r="D703" s="8" t="s">
        <v>16</v>
      </c>
      <c r="E703" s="8" t="str">
        <f>"417.28"</f>
        <v>417.28</v>
      </c>
      <c r="F703" s="8"/>
      <c r="G703" s="3">
        <v>356.54</v>
      </c>
      <c r="H703" s="10" t="s">
        <v>12</v>
      </c>
      <c r="I703" s="8">
        <v>2</v>
      </c>
      <c r="J703" s="10">
        <v>2017</v>
      </c>
      <c r="K703" s="5" t="str">
        <f>"506.01"</f>
        <v>506.01</v>
      </c>
      <c r="L703" s="5" t="str">
        <f>"328.54"</f>
        <v>328.54</v>
      </c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1:30" ht="13.5" customHeight="1">
      <c r="A704" s="8">
        <v>702</v>
      </c>
      <c r="B704" s="8">
        <v>2817</v>
      </c>
      <c r="C704" s="9" t="s">
        <v>1203</v>
      </c>
      <c r="D704" s="8" t="s">
        <v>615</v>
      </c>
      <c r="E704" s="8" t="str">
        <f>"328.82"</f>
        <v>328.82</v>
      </c>
      <c r="F704" s="8"/>
      <c r="G704" s="3">
        <v>356.82</v>
      </c>
      <c r="H704" s="10" t="s">
        <v>18</v>
      </c>
      <c r="I704" s="8">
        <v>1</v>
      </c>
      <c r="J704" s="10">
        <v>2017</v>
      </c>
      <c r="K704" s="5" t="str">
        <f>"328.82"</f>
        <v>328.82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1:30" ht="13.5" customHeight="1">
      <c r="A705" s="8">
        <v>703</v>
      </c>
      <c r="B705" s="8">
        <v>10702</v>
      </c>
      <c r="C705" s="9" t="s">
        <v>661</v>
      </c>
      <c r="D705" s="8" t="s">
        <v>16</v>
      </c>
      <c r="E705" s="8" t="str">
        <f>"329.98"</f>
        <v>329.98</v>
      </c>
      <c r="F705" s="8"/>
      <c r="G705" s="3">
        <v>357.98</v>
      </c>
      <c r="H705" s="10" t="s">
        <v>18</v>
      </c>
      <c r="I705" s="8">
        <v>1</v>
      </c>
      <c r="J705" s="10">
        <v>2017</v>
      </c>
      <c r="K705" s="5" t="str">
        <f>"329.98"</f>
        <v>329.98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1:30" ht="13.5" customHeight="1">
      <c r="A706" s="8">
        <v>704</v>
      </c>
      <c r="B706" s="8">
        <v>5190</v>
      </c>
      <c r="C706" s="9" t="s">
        <v>933</v>
      </c>
      <c r="D706" s="8" t="s">
        <v>760</v>
      </c>
      <c r="E706" s="8" t="str">
        <f>"330.31"</f>
        <v>330.31</v>
      </c>
      <c r="F706" s="8"/>
      <c r="G706" s="3">
        <v>358.31</v>
      </c>
      <c r="H706" s="10" t="s">
        <v>18</v>
      </c>
      <c r="I706" s="8">
        <v>1</v>
      </c>
      <c r="J706" s="10">
        <v>2017</v>
      </c>
      <c r="K706" s="5" t="str">
        <f>"330.31"</f>
        <v>330.31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1:30" ht="13.5" customHeight="1">
      <c r="A707" s="8">
        <v>705</v>
      </c>
      <c r="B707" s="8">
        <v>9143</v>
      </c>
      <c r="C707" s="9" t="s">
        <v>473</v>
      </c>
      <c r="D707" s="8" t="s">
        <v>420</v>
      </c>
      <c r="E707" s="8" t="str">
        <f>"358.46"</f>
        <v>358.46</v>
      </c>
      <c r="F707" s="8"/>
      <c r="G707" s="3">
        <v>358.46</v>
      </c>
      <c r="H707" s="10" t="s">
        <v>12</v>
      </c>
      <c r="I707" s="8">
        <v>4</v>
      </c>
      <c r="J707" s="10">
        <v>2017</v>
      </c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 t="str">
        <f>"330.46"</f>
        <v>330.46</v>
      </c>
      <c r="Z707" s="5"/>
      <c r="AA707" s="5"/>
      <c r="AB707" s="5"/>
      <c r="AC707" s="5"/>
      <c r="AD707" s="5"/>
    </row>
    <row r="708" spans="1:30" ht="13.5" customHeight="1">
      <c r="A708" s="8">
        <v>706</v>
      </c>
      <c r="B708" s="8">
        <v>10993</v>
      </c>
      <c r="C708" s="9" t="s">
        <v>567</v>
      </c>
      <c r="D708" s="8" t="s">
        <v>195</v>
      </c>
      <c r="E708" s="8" t="str">
        <f>"346.73"</f>
        <v>346.73</v>
      </c>
      <c r="F708" s="8"/>
      <c r="G708" s="3">
        <v>358.81</v>
      </c>
      <c r="H708" s="10"/>
      <c r="I708" s="8">
        <v>3</v>
      </c>
      <c r="J708" s="10">
        <v>2017</v>
      </c>
      <c r="K708" s="5" t="str">
        <f>"374.23"</f>
        <v>374.23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 t="str">
        <f>"319.22"</f>
        <v>319.22</v>
      </c>
      <c r="Y708" s="5" t="str">
        <f>"398.40"</f>
        <v>398.40</v>
      </c>
      <c r="Z708" s="5"/>
      <c r="AA708" s="5"/>
      <c r="AB708" s="5"/>
      <c r="AC708" s="5"/>
      <c r="AD708" s="5"/>
    </row>
    <row r="709" spans="1:30" ht="13.5" customHeight="1">
      <c r="A709" s="8">
        <v>707</v>
      </c>
      <c r="B709" s="8">
        <v>10774</v>
      </c>
      <c r="C709" s="9" t="s">
        <v>525</v>
      </c>
      <c r="D709" s="8" t="s">
        <v>29</v>
      </c>
      <c r="E709" s="8" t="str">
        <f>"359.11"</f>
        <v>359.11</v>
      </c>
      <c r="F709" s="8"/>
      <c r="G709" s="3">
        <v>359.11</v>
      </c>
      <c r="H709" s="10"/>
      <c r="I709" s="8">
        <v>3</v>
      </c>
      <c r="J709" s="10">
        <v>2017</v>
      </c>
      <c r="K709" s="5" t="str">
        <f>"808.44"</f>
        <v>808.44</v>
      </c>
      <c r="L709" s="5"/>
      <c r="M709" s="5"/>
      <c r="N709" s="5"/>
      <c r="O709" s="5"/>
      <c r="P709" s="5"/>
      <c r="Q709" s="5"/>
      <c r="R709" s="5"/>
      <c r="S709" s="5"/>
      <c r="T709" s="5"/>
      <c r="U709" s="5" t="str">
        <f>"726.00"</f>
        <v>726.00</v>
      </c>
      <c r="V709" s="5"/>
      <c r="W709" s="5"/>
      <c r="X709" s="5"/>
      <c r="Y709" s="5"/>
      <c r="Z709" s="5"/>
      <c r="AA709" s="5"/>
      <c r="AB709" s="5" t="str">
        <f>"325.84"</f>
        <v>325.84</v>
      </c>
      <c r="AC709" s="5" t="str">
        <f>"392.37"</f>
        <v>392.37</v>
      </c>
      <c r="AD709" s="5"/>
    </row>
    <row r="710" spans="1:30" ht="13.5" customHeight="1">
      <c r="A710" s="8">
        <v>708</v>
      </c>
      <c r="B710" s="8">
        <v>1275</v>
      </c>
      <c r="C710" s="9" t="s">
        <v>607</v>
      </c>
      <c r="D710" s="8" t="s">
        <v>170</v>
      </c>
      <c r="E710" s="8" t="str">
        <f>"212.11"</f>
        <v>212.11</v>
      </c>
      <c r="F710" s="8"/>
      <c r="G710" s="3">
        <v>359.76</v>
      </c>
      <c r="H710" s="10" t="s">
        <v>12</v>
      </c>
      <c r="I710" s="8">
        <v>2</v>
      </c>
      <c r="J710" s="10">
        <v>2017</v>
      </c>
      <c r="K710" s="5" t="str">
        <f>"212.11"</f>
        <v>212.11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 t="str">
        <f>"331.76"</f>
        <v>331.76</v>
      </c>
      <c r="Y710" s="5"/>
      <c r="Z710" s="5"/>
      <c r="AA710" s="5"/>
      <c r="AB710" s="5"/>
      <c r="AC710" s="5"/>
      <c r="AD710" s="5"/>
    </row>
    <row r="711" spans="1:30" ht="13.5" customHeight="1">
      <c r="A711" s="8">
        <v>709</v>
      </c>
      <c r="B711" s="8">
        <v>9332</v>
      </c>
      <c r="C711" s="9" t="s">
        <v>617</v>
      </c>
      <c r="D711" s="8" t="s">
        <v>618</v>
      </c>
      <c r="E711" s="8" t="str">
        <f>"332.55"</f>
        <v>332.55</v>
      </c>
      <c r="F711" s="8"/>
      <c r="G711" s="3">
        <v>360.55</v>
      </c>
      <c r="H711" s="10" t="s">
        <v>18</v>
      </c>
      <c r="I711" s="8">
        <v>1</v>
      </c>
      <c r="J711" s="10">
        <v>2017</v>
      </c>
      <c r="K711" s="5" t="str">
        <f>"332.55"</f>
        <v>332.55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1:30" ht="13.5" customHeight="1">
      <c r="A712" s="8">
        <v>710</v>
      </c>
      <c r="B712" s="8">
        <v>1236</v>
      </c>
      <c r="C712" s="9" t="s">
        <v>653</v>
      </c>
      <c r="D712" s="8" t="s">
        <v>55</v>
      </c>
      <c r="E712" s="8" t="str">
        <f>"264.52"</f>
        <v>264.52</v>
      </c>
      <c r="F712" s="8"/>
      <c r="G712" s="3">
        <v>360.56</v>
      </c>
      <c r="H712" s="10" t="s">
        <v>12</v>
      </c>
      <c r="I712" s="8">
        <v>2</v>
      </c>
      <c r="J712" s="10">
        <v>2018</v>
      </c>
      <c r="K712" s="5" t="str">
        <f>"264.52"</f>
        <v>264.52</v>
      </c>
      <c r="L712" s="5"/>
      <c r="M712" s="5"/>
      <c r="N712" s="5"/>
      <c r="O712" s="5"/>
      <c r="P712" s="5"/>
      <c r="Q712" s="5"/>
      <c r="R712" s="5"/>
      <c r="S712" s="5"/>
      <c r="T712" s="5" t="str">
        <f>"332.56"</f>
        <v>332.56</v>
      </c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1:30" ht="13.5" customHeight="1">
      <c r="A713" s="8">
        <v>711</v>
      </c>
      <c r="B713" s="8">
        <v>1266</v>
      </c>
      <c r="C713" s="9" t="s">
        <v>725</v>
      </c>
      <c r="D713" s="8" t="s">
        <v>726</v>
      </c>
      <c r="E713" s="8" t="str">
        <f>"283.98"</f>
        <v>283.98</v>
      </c>
      <c r="F713" s="8"/>
      <c r="G713" s="3">
        <v>360.78</v>
      </c>
      <c r="H713" s="10" t="s">
        <v>12</v>
      </c>
      <c r="I713" s="8">
        <v>2</v>
      </c>
      <c r="J713" s="10">
        <v>2018</v>
      </c>
      <c r="K713" s="5" t="str">
        <f>"283.98"</f>
        <v>283.98</v>
      </c>
      <c r="L713" s="5"/>
      <c r="M713" s="5"/>
      <c r="N713" s="5"/>
      <c r="O713" s="5"/>
      <c r="P713" s="5"/>
      <c r="Q713" s="5"/>
      <c r="R713" s="5"/>
      <c r="S713" s="5"/>
      <c r="T713" s="5" t="str">
        <f>"332.78"</f>
        <v>332.78</v>
      </c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1:30" ht="13.5" customHeight="1">
      <c r="A714" s="8">
        <v>712</v>
      </c>
      <c r="B714" s="8">
        <v>2211</v>
      </c>
      <c r="C714" s="9" t="s">
        <v>680</v>
      </c>
      <c r="D714" s="8" t="s">
        <v>16</v>
      </c>
      <c r="E714" s="8" t="str">
        <f>"219.66"</f>
        <v>219.66</v>
      </c>
      <c r="F714" s="8"/>
      <c r="G714" s="3">
        <v>360.87</v>
      </c>
      <c r="H714" s="10" t="s">
        <v>12</v>
      </c>
      <c r="I714" s="8">
        <v>2</v>
      </c>
      <c r="J714" s="10">
        <v>2017</v>
      </c>
      <c r="K714" s="5" t="str">
        <f>"219.66"</f>
        <v>219.66</v>
      </c>
      <c r="L714" s="5"/>
      <c r="M714" s="5" t="str">
        <f>"332.87"</f>
        <v>332.87</v>
      </c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1:30" ht="13.5" customHeight="1">
      <c r="A715" s="8">
        <v>713</v>
      </c>
      <c r="B715" s="8">
        <v>1365</v>
      </c>
      <c r="C715" s="9" t="s">
        <v>805</v>
      </c>
      <c r="D715" s="8" t="s">
        <v>504</v>
      </c>
      <c r="E715" s="8" t="str">
        <f>"337.99"</f>
        <v>337.99</v>
      </c>
      <c r="F715" s="8"/>
      <c r="G715" s="3">
        <v>361.29</v>
      </c>
      <c r="H715" s="10" t="s">
        <v>12</v>
      </c>
      <c r="I715" s="8">
        <v>2</v>
      </c>
      <c r="J715" s="10">
        <v>2017</v>
      </c>
      <c r="K715" s="5" t="str">
        <f>"342.69"</f>
        <v>342.69</v>
      </c>
      <c r="L715" s="5"/>
      <c r="M715" s="5"/>
      <c r="N715" s="5"/>
      <c r="O715" s="5" t="str">
        <f>"333.29"</f>
        <v>333.29</v>
      </c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1:30" ht="13.5" customHeight="1">
      <c r="A716" s="8">
        <v>714</v>
      </c>
      <c r="B716" s="8">
        <v>10883</v>
      </c>
      <c r="C716" s="9" t="s">
        <v>783</v>
      </c>
      <c r="D716" s="8" t="s">
        <v>16</v>
      </c>
      <c r="E716" s="8" t="str">
        <f>"362.85"</f>
        <v>362.85</v>
      </c>
      <c r="F716" s="8"/>
      <c r="G716" s="3">
        <v>362.85</v>
      </c>
      <c r="H716" s="10"/>
      <c r="I716" s="8">
        <v>3</v>
      </c>
      <c r="J716" s="10">
        <v>2017</v>
      </c>
      <c r="K716" s="5" t="str">
        <f>"465.05"</f>
        <v>465.05</v>
      </c>
      <c r="L716" s="5" t="str">
        <f>"385.90"</f>
        <v>385.90</v>
      </c>
      <c r="M716" s="5"/>
      <c r="N716" s="5"/>
      <c r="O716" s="5"/>
      <c r="P716" s="5"/>
      <c r="Q716" s="5"/>
      <c r="R716" s="5"/>
      <c r="S716" s="5"/>
      <c r="T716" s="5"/>
      <c r="U716" s="5"/>
      <c r="V716" s="5" t="str">
        <f>"339.80"</f>
        <v>339.80</v>
      </c>
      <c r="W716" s="5"/>
      <c r="X716" s="5"/>
      <c r="Y716" s="5"/>
      <c r="Z716" s="5"/>
      <c r="AA716" s="5"/>
      <c r="AB716" s="5"/>
      <c r="AC716" s="5"/>
      <c r="AD716" s="5"/>
    </row>
    <row r="717" spans="1:30" ht="13.5" customHeight="1">
      <c r="A717" s="8">
        <v>715</v>
      </c>
      <c r="B717" s="8">
        <v>10971</v>
      </c>
      <c r="C717" s="9" t="s">
        <v>688</v>
      </c>
      <c r="D717" s="8" t="s">
        <v>22</v>
      </c>
      <c r="E717" s="8" t="str">
        <f>"339.60"</f>
        <v>339.60</v>
      </c>
      <c r="F717" s="8"/>
      <c r="G717" s="3">
        <v>363.09</v>
      </c>
      <c r="H717" s="10" t="s">
        <v>12</v>
      </c>
      <c r="I717" s="8">
        <v>2</v>
      </c>
      <c r="J717" s="10">
        <v>2017</v>
      </c>
      <c r="K717" s="5" t="str">
        <f>"344.11"</f>
        <v>344.11</v>
      </c>
      <c r="L717" s="5"/>
      <c r="M717" s="5"/>
      <c r="N717" s="5"/>
      <c r="O717" s="5"/>
      <c r="P717" s="5" t="str">
        <f>"335.09"</f>
        <v>335.09</v>
      </c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1:30" ht="13.5" customHeight="1">
      <c r="A718" s="8">
        <v>716</v>
      </c>
      <c r="B718" s="8">
        <v>11284</v>
      </c>
      <c r="C718" s="9" t="s">
        <v>788</v>
      </c>
      <c r="D718" s="8" t="s">
        <v>16</v>
      </c>
      <c r="E718" s="8" t="str">
        <f>"364.23"</f>
        <v>364.23</v>
      </c>
      <c r="F718" s="8"/>
      <c r="G718" s="3">
        <v>364.23</v>
      </c>
      <c r="H718" s="10"/>
      <c r="I718" s="8">
        <v>5</v>
      </c>
      <c r="J718" s="10">
        <v>2017</v>
      </c>
      <c r="K718" s="5"/>
      <c r="L718" s="5"/>
      <c r="M718" s="5"/>
      <c r="N718" s="5"/>
      <c r="O718" s="5"/>
      <c r="P718" s="5"/>
      <c r="Q718" s="5"/>
      <c r="R718" s="5"/>
      <c r="S718" s="5" t="str">
        <f>"402.18"</f>
        <v>402.18</v>
      </c>
      <c r="T718" s="5"/>
      <c r="U718" s="5"/>
      <c r="V718" s="5" t="str">
        <f>"326.27"</f>
        <v>326.27</v>
      </c>
      <c r="W718" s="5"/>
      <c r="X718" s="5"/>
      <c r="Y718" s="5"/>
      <c r="Z718" s="5"/>
      <c r="AA718" s="5"/>
      <c r="AB718" s="5"/>
      <c r="AC718" s="5"/>
      <c r="AD718" s="5"/>
    </row>
    <row r="719" spans="1:30" ht="13.5" customHeight="1">
      <c r="A719" s="8">
        <v>717</v>
      </c>
      <c r="B719" s="8">
        <v>4539</v>
      </c>
      <c r="C719" s="9" t="s">
        <v>1192</v>
      </c>
      <c r="D719" s="8" t="s">
        <v>705</v>
      </c>
      <c r="E719" s="8" t="str">
        <f>"337.22"</f>
        <v>337.22</v>
      </c>
      <c r="F719" s="8"/>
      <c r="G719" s="3">
        <v>365.22</v>
      </c>
      <c r="H719" s="10" t="s">
        <v>18</v>
      </c>
      <c r="I719" s="8">
        <v>1</v>
      </c>
      <c r="J719" s="10">
        <v>2017</v>
      </c>
      <c r="K719" s="5" t="str">
        <f>"337.22"</f>
        <v>337.22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1:30" ht="13.5" customHeight="1">
      <c r="A720" s="8">
        <v>718</v>
      </c>
      <c r="B720" s="8">
        <v>2919</v>
      </c>
      <c r="C720" s="9" t="s">
        <v>565</v>
      </c>
      <c r="D720" s="8" t="s">
        <v>170</v>
      </c>
      <c r="E720" s="8" t="str">
        <f>"186.97"</f>
        <v>186.97</v>
      </c>
      <c r="F720" s="8"/>
      <c r="G720" s="3">
        <v>366.02</v>
      </c>
      <c r="H720" s="10" t="s">
        <v>12</v>
      </c>
      <c r="I720" s="8">
        <v>2</v>
      </c>
      <c r="J720" s="10">
        <v>2017</v>
      </c>
      <c r="K720" s="5" t="str">
        <f>"186.97"</f>
        <v>186.97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 t="str">
        <f>"338.02"</f>
        <v>338.02</v>
      </c>
      <c r="Y720" s="5"/>
      <c r="Z720" s="5"/>
      <c r="AA720" s="5"/>
      <c r="AB720" s="5"/>
      <c r="AC720" s="5"/>
      <c r="AD720" s="5"/>
    </row>
    <row r="721" spans="1:30" ht="13.5" customHeight="1">
      <c r="A721" s="8">
        <v>719</v>
      </c>
      <c r="B721" s="8">
        <v>5512</v>
      </c>
      <c r="C721" s="9" t="s">
        <v>838</v>
      </c>
      <c r="D721" s="8" t="s">
        <v>16</v>
      </c>
      <c r="E721" s="8" t="str">
        <f>"339.39"</f>
        <v>339.39</v>
      </c>
      <c r="F721" s="8"/>
      <c r="G721" s="3">
        <v>367.39</v>
      </c>
      <c r="H721" s="10" t="s">
        <v>18</v>
      </c>
      <c r="I721" s="8">
        <v>1</v>
      </c>
      <c r="J721" s="10">
        <v>2017</v>
      </c>
      <c r="K721" s="5" t="str">
        <f>"339.39"</f>
        <v>339.39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1:30" ht="13.5" customHeight="1">
      <c r="A722" s="8">
        <v>720</v>
      </c>
      <c r="B722" s="8">
        <v>11309</v>
      </c>
      <c r="C722" s="9" t="s">
        <v>1155</v>
      </c>
      <c r="D722" s="8" t="s">
        <v>16</v>
      </c>
      <c r="E722" s="8" t="str">
        <f>"368.45"</f>
        <v>368.45</v>
      </c>
      <c r="F722" s="8"/>
      <c r="G722" s="3">
        <v>368.45</v>
      </c>
      <c r="H722" s="10"/>
      <c r="I722" s="8">
        <v>5</v>
      </c>
      <c r="J722" s="10">
        <v>2017</v>
      </c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 t="str">
        <f>"418.17"</f>
        <v>418.17</v>
      </c>
      <c r="W722" s="5"/>
      <c r="X722" s="5"/>
      <c r="Y722" s="5"/>
      <c r="Z722" s="5"/>
      <c r="AA722" s="5"/>
      <c r="AB722" s="5"/>
      <c r="AC722" s="5" t="str">
        <f>"318.72"</f>
        <v>318.72</v>
      </c>
      <c r="AD722" s="5"/>
    </row>
    <row r="723" spans="1:30" ht="13.5" customHeight="1">
      <c r="A723" s="8">
        <v>721</v>
      </c>
      <c r="B723" s="8">
        <v>11260</v>
      </c>
      <c r="C723" s="9" t="s">
        <v>978</v>
      </c>
      <c r="D723" s="8" t="s">
        <v>16</v>
      </c>
      <c r="E723" s="8" t="str">
        <f>"368.58"</f>
        <v>368.58</v>
      </c>
      <c r="F723" s="8"/>
      <c r="G723" s="3">
        <v>368.58</v>
      </c>
      <c r="H723" s="10" t="s">
        <v>12</v>
      </c>
      <c r="I723" s="8">
        <v>4</v>
      </c>
      <c r="J723" s="10">
        <v>2017</v>
      </c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 t="str">
        <f>"340.58"</f>
        <v>340.58</v>
      </c>
      <c r="W723" s="5"/>
      <c r="X723" s="5"/>
      <c r="Y723" s="5"/>
      <c r="Z723" s="5"/>
      <c r="AA723" s="5"/>
      <c r="AB723" s="5"/>
      <c r="AC723" s="5"/>
      <c r="AD723" s="5"/>
    </row>
    <row r="724" spans="1:30" ht="13.5" customHeight="1">
      <c r="A724" s="8">
        <v>722</v>
      </c>
      <c r="B724" s="8">
        <v>10778</v>
      </c>
      <c r="C724" s="9" t="s">
        <v>582</v>
      </c>
      <c r="D724" s="8" t="s">
        <v>29</v>
      </c>
      <c r="E724" s="8" t="str">
        <f>"368.86"</f>
        <v>368.86</v>
      </c>
      <c r="F724" s="8"/>
      <c r="G724" s="3">
        <v>368.86</v>
      </c>
      <c r="H724" s="10"/>
      <c r="I724" s="8">
        <v>3</v>
      </c>
      <c r="J724" s="10">
        <v>2017</v>
      </c>
      <c r="K724" s="5" t="str">
        <f>"448.06"</f>
        <v>448.06</v>
      </c>
      <c r="L724" s="5"/>
      <c r="M724" s="5"/>
      <c r="N724" s="5"/>
      <c r="O724" s="5"/>
      <c r="P724" s="5"/>
      <c r="Q724" s="5"/>
      <c r="R724" s="5"/>
      <c r="S724" s="5"/>
      <c r="T724" s="5"/>
      <c r="U724" s="5" t="str">
        <f>"812.10"</f>
        <v>812.10</v>
      </c>
      <c r="V724" s="5"/>
      <c r="W724" s="5"/>
      <c r="X724" s="5"/>
      <c r="Y724" s="5"/>
      <c r="Z724" s="5"/>
      <c r="AA724" s="5"/>
      <c r="AB724" s="5" t="str">
        <f>"328.68"</f>
        <v>328.68</v>
      </c>
      <c r="AC724" s="5" t="str">
        <f>"409.03"</f>
        <v>409.03</v>
      </c>
      <c r="AD724" s="5"/>
    </row>
    <row r="725" spans="1:30" ht="13.5" customHeight="1">
      <c r="A725" s="8">
        <v>723</v>
      </c>
      <c r="B725" s="8">
        <v>10165</v>
      </c>
      <c r="C725" s="9" t="s">
        <v>647</v>
      </c>
      <c r="D725" s="8" t="s">
        <v>16</v>
      </c>
      <c r="E725" s="8" t="str">
        <f>"323.89"</f>
        <v>323.89</v>
      </c>
      <c r="F725" s="8"/>
      <c r="G725" s="3">
        <v>369.25</v>
      </c>
      <c r="H725" s="10"/>
      <c r="I725" s="8">
        <v>3</v>
      </c>
      <c r="J725" s="10">
        <v>2017</v>
      </c>
      <c r="K725" s="5" t="str">
        <f>"324.95"</f>
        <v>324.95</v>
      </c>
      <c r="L725" s="5" t="str">
        <f>"415.66"</f>
        <v>415.66</v>
      </c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 t="str">
        <f>"322.83"</f>
        <v>322.83</v>
      </c>
      <c r="AD725" s="5"/>
    </row>
    <row r="726" spans="1:30" ht="13.5" customHeight="1">
      <c r="A726" s="8">
        <v>724</v>
      </c>
      <c r="B726" s="8">
        <v>10414</v>
      </c>
      <c r="C726" s="9" t="s">
        <v>780</v>
      </c>
      <c r="D726" s="8" t="s">
        <v>29</v>
      </c>
      <c r="E726" s="8" t="str">
        <f>"323.21"</f>
        <v>323.21</v>
      </c>
      <c r="F726" s="8"/>
      <c r="G726" s="3">
        <v>369.45</v>
      </c>
      <c r="H726" s="10"/>
      <c r="I726" s="8">
        <v>3</v>
      </c>
      <c r="J726" s="10">
        <v>2017</v>
      </c>
      <c r="K726" s="5" t="str">
        <f>"350.95"</f>
        <v>350.95</v>
      </c>
      <c r="L726" s="5"/>
      <c r="M726" s="5"/>
      <c r="N726" s="5"/>
      <c r="O726" s="5"/>
      <c r="P726" s="5"/>
      <c r="Q726" s="5"/>
      <c r="R726" s="5" t="str">
        <f>"443.43"</f>
        <v>443.43</v>
      </c>
      <c r="S726" s="5"/>
      <c r="T726" s="5"/>
      <c r="U726" s="5" t="str">
        <f>"692.84"</f>
        <v>692.84</v>
      </c>
      <c r="V726" s="5"/>
      <c r="W726" s="5"/>
      <c r="X726" s="5"/>
      <c r="Y726" s="5"/>
      <c r="Z726" s="5"/>
      <c r="AA726" s="5"/>
      <c r="AB726" s="5" t="str">
        <f>"295.46"</f>
        <v>295.46</v>
      </c>
      <c r="AC726" s="5"/>
      <c r="AD726" s="5"/>
    </row>
    <row r="727" spans="1:30" ht="13.5" customHeight="1">
      <c r="A727" s="8">
        <v>725</v>
      </c>
      <c r="B727" s="8">
        <v>10617</v>
      </c>
      <c r="C727" s="9" t="s">
        <v>864</v>
      </c>
      <c r="D727" s="8" t="s">
        <v>16</v>
      </c>
      <c r="E727" s="8" t="str">
        <f>"342.59"</f>
        <v>342.59</v>
      </c>
      <c r="F727" s="8"/>
      <c r="G727" s="3">
        <v>370.59</v>
      </c>
      <c r="H727" s="10" t="s">
        <v>18</v>
      </c>
      <c r="I727" s="8">
        <v>1</v>
      </c>
      <c r="J727" s="10">
        <v>2017</v>
      </c>
      <c r="K727" s="5" t="str">
        <f>"342.59"</f>
        <v>342.59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1:30" ht="13.5" customHeight="1">
      <c r="A728" s="8">
        <v>726</v>
      </c>
      <c r="B728" s="8">
        <v>4346</v>
      </c>
      <c r="C728" s="9" t="s">
        <v>843</v>
      </c>
      <c r="D728" s="8" t="s">
        <v>34</v>
      </c>
      <c r="E728" s="8" t="str">
        <f>"342.83"</f>
        <v>342.83</v>
      </c>
      <c r="F728" s="8"/>
      <c r="G728" s="3">
        <v>370.83</v>
      </c>
      <c r="H728" s="10" t="s">
        <v>18</v>
      </c>
      <c r="I728" s="8">
        <v>1</v>
      </c>
      <c r="J728" s="10">
        <v>2017</v>
      </c>
      <c r="K728" s="5" t="str">
        <f>"342.83"</f>
        <v>342.83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1:30" ht="13.5" customHeight="1">
      <c r="A729" s="8">
        <v>727</v>
      </c>
      <c r="B729" s="8">
        <v>8088</v>
      </c>
      <c r="C729" s="9" t="s">
        <v>451</v>
      </c>
      <c r="D729" s="8" t="s">
        <v>55</v>
      </c>
      <c r="E729" s="8" t="str">
        <f>"342.97"</f>
        <v>342.97</v>
      </c>
      <c r="F729" s="8"/>
      <c r="G729" s="3">
        <v>370.97</v>
      </c>
      <c r="H729" s="10" t="s">
        <v>18</v>
      </c>
      <c r="I729" s="8">
        <v>1</v>
      </c>
      <c r="J729" s="10">
        <v>2017</v>
      </c>
      <c r="K729" s="5" t="str">
        <f>"342.97"</f>
        <v>342.97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1:30" ht="13.5" customHeight="1">
      <c r="A730" s="8">
        <v>728</v>
      </c>
      <c r="B730" s="8">
        <v>6468</v>
      </c>
      <c r="C730" s="9" t="s">
        <v>899</v>
      </c>
      <c r="D730" s="8" t="s">
        <v>900</v>
      </c>
      <c r="E730" s="8" t="str">
        <f>"277.29"</f>
        <v>277.29</v>
      </c>
      <c r="F730" s="8"/>
      <c r="G730" s="3">
        <v>371.41</v>
      </c>
      <c r="H730" s="10" t="s">
        <v>12</v>
      </c>
      <c r="I730" s="8">
        <v>2</v>
      </c>
      <c r="J730" s="10">
        <v>2018</v>
      </c>
      <c r="K730" s="5" t="str">
        <f>"277.29"</f>
        <v>277.29</v>
      </c>
      <c r="L730" s="5"/>
      <c r="M730" s="5"/>
      <c r="N730" s="5"/>
      <c r="O730" s="5"/>
      <c r="P730" s="5"/>
      <c r="Q730" s="5"/>
      <c r="R730" s="5"/>
      <c r="S730" s="5"/>
      <c r="T730" s="5" t="str">
        <f>"343.41"</f>
        <v>343.41</v>
      </c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1:30" ht="13.5" customHeight="1">
      <c r="A731" s="8">
        <v>729</v>
      </c>
      <c r="B731" s="8">
        <v>2332</v>
      </c>
      <c r="C731" s="9" t="s">
        <v>891</v>
      </c>
      <c r="D731" s="8" t="s">
        <v>16</v>
      </c>
      <c r="E731" s="8" t="str">
        <f>"344.21"</f>
        <v>344.21</v>
      </c>
      <c r="F731" s="8"/>
      <c r="G731" s="3">
        <v>372.21</v>
      </c>
      <c r="H731" s="10" t="s">
        <v>18</v>
      </c>
      <c r="I731" s="8">
        <v>1</v>
      </c>
      <c r="J731" s="10">
        <v>2017</v>
      </c>
      <c r="K731" s="5" t="str">
        <f>"344.21"</f>
        <v>344.21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1:30" ht="13.5" customHeight="1">
      <c r="A732" s="8">
        <v>730</v>
      </c>
      <c r="B732" s="8">
        <v>2173</v>
      </c>
      <c r="C732" s="9" t="s">
        <v>835</v>
      </c>
      <c r="D732" s="8" t="s">
        <v>16</v>
      </c>
      <c r="E732" s="8" t="str">
        <f>"372.40"</f>
        <v>372.40</v>
      </c>
      <c r="F732" s="8"/>
      <c r="G732" s="3">
        <v>372.4</v>
      </c>
      <c r="H732" s="10"/>
      <c r="I732" s="8">
        <v>3</v>
      </c>
      <c r="J732" s="10">
        <v>2017</v>
      </c>
      <c r="K732" s="5" t="str">
        <f>"584.03"</f>
        <v>584.03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 t="str">
        <f>"242.32"</f>
        <v>242.32</v>
      </c>
      <c r="W732" s="5" t="str">
        <f>"502.48"</f>
        <v>502.48</v>
      </c>
      <c r="X732" s="5"/>
      <c r="Y732" s="5"/>
      <c r="Z732" s="5"/>
      <c r="AA732" s="5"/>
      <c r="AB732" s="5"/>
      <c r="AC732" s="5"/>
      <c r="AD732" s="5"/>
    </row>
    <row r="733" spans="1:30" ht="13.5" customHeight="1">
      <c r="A733" s="8">
        <v>731</v>
      </c>
      <c r="B733" s="8">
        <v>5353</v>
      </c>
      <c r="C733" s="9" t="s">
        <v>652</v>
      </c>
      <c r="D733" s="8" t="s">
        <v>22</v>
      </c>
      <c r="E733" s="8" t="str">
        <f>"174.18"</f>
        <v>174.18</v>
      </c>
      <c r="F733" s="8"/>
      <c r="G733" s="3">
        <v>373.05</v>
      </c>
      <c r="H733" s="10" t="s">
        <v>12</v>
      </c>
      <c r="I733" s="8">
        <v>2</v>
      </c>
      <c r="J733" s="10">
        <v>2017</v>
      </c>
      <c r="K733" s="5" t="str">
        <f>"174.18"</f>
        <v>174.18</v>
      </c>
      <c r="L733" s="5"/>
      <c r="M733" s="5"/>
      <c r="N733" s="5"/>
      <c r="O733" s="5"/>
      <c r="P733" s="5" t="str">
        <f>"345.05"</f>
        <v>345.05</v>
      </c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1:30" ht="13.5" customHeight="1">
      <c r="A734" s="8">
        <v>732</v>
      </c>
      <c r="B734" s="8">
        <v>2296</v>
      </c>
      <c r="C734" s="9" t="s">
        <v>531</v>
      </c>
      <c r="D734" s="8" t="s">
        <v>16</v>
      </c>
      <c r="E734" s="8" t="str">
        <f>"273.73"</f>
        <v>273.73</v>
      </c>
      <c r="F734" s="8"/>
      <c r="G734" s="3">
        <v>373.63</v>
      </c>
      <c r="H734" s="10"/>
      <c r="I734" s="8">
        <v>3</v>
      </c>
      <c r="J734" s="10">
        <v>2017</v>
      </c>
      <c r="K734" s="5" t="str">
        <f>"294.92"</f>
        <v>294.92</v>
      </c>
      <c r="L734" s="5" t="str">
        <f>"494.72"</f>
        <v>494.72</v>
      </c>
      <c r="M734" s="5"/>
      <c r="N734" s="5"/>
      <c r="O734" s="5"/>
      <c r="P734" s="5"/>
      <c r="Q734" s="5"/>
      <c r="R734" s="5"/>
      <c r="S734" s="5"/>
      <c r="T734" s="5"/>
      <c r="U734" s="5"/>
      <c r="V734" s="5" t="str">
        <f>"252.53"</f>
        <v>252.53</v>
      </c>
      <c r="W734" s="5"/>
      <c r="X734" s="5"/>
      <c r="Y734" s="5"/>
      <c r="Z734" s="5"/>
      <c r="AA734" s="5"/>
      <c r="AB734" s="5"/>
      <c r="AC734" s="5"/>
      <c r="AD734" s="5"/>
    </row>
    <row r="735" spans="1:30" ht="13.5" customHeight="1">
      <c r="A735" s="8">
        <v>733</v>
      </c>
      <c r="B735" s="8">
        <v>4143</v>
      </c>
      <c r="C735" s="9" t="s">
        <v>816</v>
      </c>
      <c r="D735" s="8" t="s">
        <v>420</v>
      </c>
      <c r="E735" s="8" t="str">
        <f>"346.17"</f>
        <v>346.17</v>
      </c>
      <c r="F735" s="8"/>
      <c r="G735" s="3">
        <v>374.17</v>
      </c>
      <c r="H735" s="10" t="s">
        <v>18</v>
      </c>
      <c r="I735" s="8">
        <v>1</v>
      </c>
      <c r="J735" s="10">
        <v>2017</v>
      </c>
      <c r="K735" s="5" t="str">
        <f>"346.17"</f>
        <v>346.17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1:30" ht="13.5" customHeight="1">
      <c r="A736" s="8">
        <v>734</v>
      </c>
      <c r="B736" s="8">
        <v>10823</v>
      </c>
      <c r="C736" s="9" t="s">
        <v>322</v>
      </c>
      <c r="D736" s="8" t="s">
        <v>29</v>
      </c>
      <c r="E736" s="8" t="str">
        <f>"375.35"</f>
        <v>375.35</v>
      </c>
      <c r="F736" s="8"/>
      <c r="G736" s="3">
        <v>375.35</v>
      </c>
      <c r="H736" s="10"/>
      <c r="I736" s="8">
        <v>5</v>
      </c>
      <c r="J736" s="10">
        <v>2017</v>
      </c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 t="str">
        <f>"530.22"</f>
        <v>530.22</v>
      </c>
      <c r="V736" s="5"/>
      <c r="W736" s="5"/>
      <c r="X736" s="5" t="str">
        <f>"220.48"</f>
        <v>220.48</v>
      </c>
      <c r="Y736" s="5"/>
      <c r="Z736" s="5"/>
      <c r="AA736" s="5"/>
      <c r="AB736" s="5"/>
      <c r="AC736" s="5"/>
      <c r="AD736" s="5"/>
    </row>
    <row r="737" spans="1:30" ht="13.5" customHeight="1">
      <c r="A737" s="8">
        <v>735</v>
      </c>
      <c r="B737" s="8">
        <v>3104</v>
      </c>
      <c r="C737" s="9" t="s">
        <v>941</v>
      </c>
      <c r="D737" s="8" t="s">
        <v>11</v>
      </c>
      <c r="E737" s="8" t="str">
        <f>"347.77"</f>
        <v>347.77</v>
      </c>
      <c r="F737" s="8"/>
      <c r="G737" s="3">
        <v>375.77</v>
      </c>
      <c r="H737" s="10" t="s">
        <v>18</v>
      </c>
      <c r="I737" s="8">
        <v>1</v>
      </c>
      <c r="J737" s="10">
        <v>2018</v>
      </c>
      <c r="K737" s="5" t="str">
        <f>"347.77"</f>
        <v>347.77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1:30" ht="13.5" customHeight="1">
      <c r="A738" s="8">
        <v>736</v>
      </c>
      <c r="B738" s="8">
        <v>3107</v>
      </c>
      <c r="C738" s="9" t="s">
        <v>833</v>
      </c>
      <c r="D738" s="8" t="s">
        <v>102</v>
      </c>
      <c r="E738" s="8" t="str">
        <f>"328.02"</f>
        <v>328.02</v>
      </c>
      <c r="F738" s="8"/>
      <c r="G738" s="3">
        <v>376.51</v>
      </c>
      <c r="H738" s="10" t="s">
        <v>12</v>
      </c>
      <c r="I738" s="8">
        <v>2</v>
      </c>
      <c r="J738" s="10">
        <v>2017</v>
      </c>
      <c r="K738" s="5" t="str">
        <f>"328.02"</f>
        <v>328.02</v>
      </c>
      <c r="L738" s="5"/>
      <c r="M738" s="5"/>
      <c r="N738" s="5"/>
      <c r="O738" s="5"/>
      <c r="P738" s="5"/>
      <c r="Q738" s="5"/>
      <c r="R738" s="5"/>
      <c r="S738" s="5"/>
      <c r="T738" s="5" t="str">
        <f>"348.51"</f>
        <v>348.51</v>
      </c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1:30" ht="13.5" customHeight="1">
      <c r="A739" s="8">
        <v>737</v>
      </c>
      <c r="B739" s="8">
        <v>11268</v>
      </c>
      <c r="C739" s="9" t="s">
        <v>681</v>
      </c>
      <c r="D739" s="8" t="s">
        <v>16</v>
      </c>
      <c r="E739" s="8" t="str">
        <f>"377.02"</f>
        <v>377.02</v>
      </c>
      <c r="F739" s="8"/>
      <c r="G739" s="3">
        <v>377.02</v>
      </c>
      <c r="H739" s="10"/>
      <c r="I739" s="8">
        <v>5</v>
      </c>
      <c r="J739" s="10">
        <v>2017</v>
      </c>
      <c r="K739" s="5"/>
      <c r="L739" s="5" t="str">
        <f>"468.13"</f>
        <v>468.13</v>
      </c>
      <c r="M739" s="5" t="str">
        <f>"594.55"</f>
        <v>594.55</v>
      </c>
      <c r="N739" s="5"/>
      <c r="O739" s="5"/>
      <c r="P739" s="5"/>
      <c r="Q739" s="5"/>
      <c r="R739" s="5"/>
      <c r="S739" s="5"/>
      <c r="T739" s="5"/>
      <c r="U739" s="5"/>
      <c r="V739" s="5" t="str">
        <f>"371.04"</f>
        <v>371.04</v>
      </c>
      <c r="W739" s="5" t="str">
        <f>"564.11"</f>
        <v>564.11</v>
      </c>
      <c r="X739" s="5"/>
      <c r="Y739" s="5"/>
      <c r="Z739" s="5"/>
      <c r="AA739" s="5" t="str">
        <f>"382.99"</f>
        <v>382.99</v>
      </c>
      <c r="AB739" s="5"/>
      <c r="AC739" s="5"/>
      <c r="AD739" s="5"/>
    </row>
    <row r="740" spans="1:30" ht="13.5" customHeight="1">
      <c r="A740" s="8">
        <v>738</v>
      </c>
      <c r="B740" s="8">
        <v>10125</v>
      </c>
      <c r="C740" s="9" t="s">
        <v>789</v>
      </c>
      <c r="D740" s="8" t="s">
        <v>16</v>
      </c>
      <c r="E740" s="8" t="str">
        <f>"377.58"</f>
        <v>377.58</v>
      </c>
      <c r="F740" s="8"/>
      <c r="G740" s="3">
        <v>377.58</v>
      </c>
      <c r="H740" s="10"/>
      <c r="I740" s="8">
        <v>3</v>
      </c>
      <c r="J740" s="10">
        <v>2017</v>
      </c>
      <c r="K740" s="5" t="str">
        <f>"568.00"</f>
        <v>568.00</v>
      </c>
      <c r="L740" s="5" t="str">
        <f>"473.74"</f>
        <v>473.74</v>
      </c>
      <c r="M740" s="5" t="str">
        <f>"456.39"</f>
        <v>456.39</v>
      </c>
      <c r="N740" s="5"/>
      <c r="O740" s="5"/>
      <c r="P740" s="5"/>
      <c r="Q740" s="5"/>
      <c r="R740" s="5"/>
      <c r="S740" s="5"/>
      <c r="T740" s="5"/>
      <c r="U740" s="5"/>
      <c r="V740" s="5" t="str">
        <f>"410.05"</f>
        <v>410.05</v>
      </c>
      <c r="W740" s="5"/>
      <c r="X740" s="5"/>
      <c r="Y740" s="5"/>
      <c r="Z740" s="5"/>
      <c r="AA740" s="5" t="str">
        <f>"345.11"</f>
        <v>345.11</v>
      </c>
      <c r="AB740" s="5"/>
      <c r="AC740" s="5"/>
      <c r="AD740" s="5"/>
    </row>
    <row r="741" spans="1:30" ht="13.5" customHeight="1">
      <c r="A741" s="8">
        <v>739</v>
      </c>
      <c r="B741" s="8">
        <v>10965</v>
      </c>
      <c r="C741" s="9" t="s">
        <v>777</v>
      </c>
      <c r="D741" s="8" t="s">
        <v>110</v>
      </c>
      <c r="E741" s="8" t="str">
        <f>"378.93"</f>
        <v>378.93</v>
      </c>
      <c r="F741" s="8"/>
      <c r="G741" s="3">
        <v>378.93</v>
      </c>
      <c r="H741" s="10" t="s">
        <v>12</v>
      </c>
      <c r="I741" s="8">
        <v>4</v>
      </c>
      <c r="J741" s="10">
        <v>2017</v>
      </c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 t="str">
        <f>"350.93"</f>
        <v>350.93</v>
      </c>
      <c r="Y741" s="5"/>
      <c r="Z741" s="5"/>
      <c r="AA741" s="5"/>
      <c r="AB741" s="5"/>
      <c r="AC741" s="5"/>
      <c r="AD741" s="5"/>
    </row>
    <row r="742" spans="1:30" ht="13.5" customHeight="1">
      <c r="A742" s="8">
        <v>740</v>
      </c>
      <c r="B742" s="8">
        <v>9958</v>
      </c>
      <c r="C742" s="9" t="s">
        <v>459</v>
      </c>
      <c r="D742" s="8" t="s">
        <v>29</v>
      </c>
      <c r="E742" s="8" t="str">
        <f>"366.58"</f>
        <v>366.58</v>
      </c>
      <c r="F742" s="8"/>
      <c r="G742" s="3">
        <v>379.02</v>
      </c>
      <c r="H742" s="10" t="s">
        <v>12</v>
      </c>
      <c r="I742" s="8">
        <v>2</v>
      </c>
      <c r="J742" s="10">
        <v>2017</v>
      </c>
      <c r="K742" s="5" t="str">
        <f>"382.14"</f>
        <v>382.14</v>
      </c>
      <c r="L742" s="5"/>
      <c r="M742" s="5"/>
      <c r="N742" s="5"/>
      <c r="O742" s="5"/>
      <c r="P742" s="5"/>
      <c r="Q742" s="5"/>
      <c r="R742" s="5"/>
      <c r="S742" s="5"/>
      <c r="T742" s="5"/>
      <c r="U742" s="5" t="str">
        <f>"351.02"</f>
        <v>351.02</v>
      </c>
      <c r="V742" s="5"/>
      <c r="W742" s="5"/>
      <c r="X742" s="5"/>
      <c r="Y742" s="5"/>
      <c r="Z742" s="5"/>
      <c r="AA742" s="5"/>
      <c r="AB742" s="5"/>
      <c r="AC742" s="5"/>
      <c r="AD742" s="5"/>
    </row>
    <row r="743" spans="1:30" ht="13.5" customHeight="1">
      <c r="A743" s="8">
        <v>741</v>
      </c>
      <c r="B743" s="8">
        <v>10689</v>
      </c>
      <c r="C743" s="9" t="s">
        <v>624</v>
      </c>
      <c r="D743" s="8" t="s">
        <v>22</v>
      </c>
      <c r="E743" s="8" t="str">
        <f>"503.75"</f>
        <v>503.75</v>
      </c>
      <c r="F743" s="8"/>
      <c r="G743" s="3">
        <v>379.85</v>
      </c>
      <c r="H743" s="10" t="s">
        <v>12</v>
      </c>
      <c r="I743" s="8">
        <v>2</v>
      </c>
      <c r="J743" s="10">
        <v>2017</v>
      </c>
      <c r="K743" s="5" t="str">
        <f>"655.65"</f>
        <v>655.65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 t="str">
        <f>"351.85"</f>
        <v>351.85</v>
      </c>
      <c r="AB743" s="5"/>
      <c r="AC743" s="5"/>
      <c r="AD743" s="5"/>
    </row>
    <row r="744" spans="1:30" ht="13.5" customHeight="1">
      <c r="A744" s="8">
        <v>742</v>
      </c>
      <c r="B744" s="8">
        <v>3269</v>
      </c>
      <c r="C744" s="9" t="s">
        <v>827</v>
      </c>
      <c r="D744" s="8" t="s">
        <v>335</v>
      </c>
      <c r="E744" s="8" t="str">
        <f>"352.82"</f>
        <v>352.82</v>
      </c>
      <c r="F744" s="8"/>
      <c r="G744" s="3">
        <v>380.82</v>
      </c>
      <c r="H744" s="10" t="s">
        <v>18</v>
      </c>
      <c r="I744" s="8">
        <v>1</v>
      </c>
      <c r="J744" s="10">
        <v>2017</v>
      </c>
      <c r="K744" s="5" t="str">
        <f>"352.82"</f>
        <v>352.82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1:30" ht="13.5" customHeight="1">
      <c r="A745" s="8">
        <v>743</v>
      </c>
      <c r="B745" s="8">
        <v>10585</v>
      </c>
      <c r="C745" s="9" t="s">
        <v>921</v>
      </c>
      <c r="D745" s="8" t="s">
        <v>16</v>
      </c>
      <c r="E745" s="8" t="str">
        <f>"380.09"</f>
        <v>380.09</v>
      </c>
      <c r="F745" s="8"/>
      <c r="G745" s="3">
        <v>381.15</v>
      </c>
      <c r="H745" s="10" t="s">
        <v>12</v>
      </c>
      <c r="I745" s="8">
        <v>2</v>
      </c>
      <c r="J745" s="10">
        <v>2017</v>
      </c>
      <c r="K745" s="5" t="str">
        <f>"407.03"</f>
        <v>407.03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 t="str">
        <f>"353.15"</f>
        <v>353.15</v>
      </c>
      <c r="W745" s="5"/>
      <c r="X745" s="5"/>
      <c r="Y745" s="5"/>
      <c r="Z745" s="5"/>
      <c r="AA745" s="5"/>
      <c r="AB745" s="5"/>
      <c r="AC745" s="5"/>
      <c r="AD745" s="5"/>
    </row>
    <row r="746" spans="1:30" ht="13.5" customHeight="1">
      <c r="A746" s="8">
        <v>744</v>
      </c>
      <c r="B746" s="8">
        <v>2334</v>
      </c>
      <c r="C746" s="9" t="s">
        <v>863</v>
      </c>
      <c r="D746" s="8" t="s">
        <v>16</v>
      </c>
      <c r="E746" s="8" t="str">
        <f>"365.50"</f>
        <v>365.50</v>
      </c>
      <c r="F746" s="8"/>
      <c r="G746" s="3">
        <v>381.53</v>
      </c>
      <c r="H746" s="10"/>
      <c r="I746" s="8">
        <v>3</v>
      </c>
      <c r="J746" s="10">
        <v>2017</v>
      </c>
      <c r="K746" s="5" t="str">
        <f>"375.31"</f>
        <v>375.31</v>
      </c>
      <c r="L746" s="5" t="str">
        <f>"435.83"</f>
        <v>435.83</v>
      </c>
      <c r="M746" s="5" t="str">
        <f>"441.54"</f>
        <v>441.54</v>
      </c>
      <c r="N746" s="5"/>
      <c r="O746" s="5"/>
      <c r="P746" s="5"/>
      <c r="Q746" s="5"/>
      <c r="R746" s="5"/>
      <c r="S746" s="5"/>
      <c r="T746" s="5"/>
      <c r="U746" s="5"/>
      <c r="V746" s="5" t="str">
        <f>"355.68"</f>
        <v>355.68</v>
      </c>
      <c r="W746" s="5" t="str">
        <f>"450.37"</f>
        <v>450.37</v>
      </c>
      <c r="X746" s="5"/>
      <c r="Y746" s="5"/>
      <c r="Z746" s="5"/>
      <c r="AA746" s="5"/>
      <c r="AB746" s="5"/>
      <c r="AC746" s="5" t="str">
        <f>"407.38"</f>
        <v>407.38</v>
      </c>
      <c r="AD746" s="5"/>
    </row>
    <row r="747" spans="1:30" ht="13.5" customHeight="1">
      <c r="A747" s="8">
        <v>745</v>
      </c>
      <c r="B747" s="8">
        <v>5817</v>
      </c>
      <c r="C747" s="9" t="s">
        <v>813</v>
      </c>
      <c r="D747" s="8" t="s">
        <v>169</v>
      </c>
      <c r="E747" s="8" t="str">
        <f>"382.17"</f>
        <v>382.17</v>
      </c>
      <c r="F747" s="8"/>
      <c r="G747" s="3">
        <v>382.17</v>
      </c>
      <c r="H747" s="10" t="s">
        <v>12</v>
      </c>
      <c r="I747" s="8">
        <v>4</v>
      </c>
      <c r="J747" s="10">
        <v>2017</v>
      </c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 t="str">
        <f>"354.17"</f>
        <v>354.17</v>
      </c>
      <c r="Y747" s="5"/>
      <c r="Z747" s="5"/>
      <c r="AA747" s="5"/>
      <c r="AB747" s="5"/>
      <c r="AC747" s="5"/>
      <c r="AD747" s="5"/>
    </row>
    <row r="748" spans="1:30" ht="13.5" customHeight="1">
      <c r="A748" s="8">
        <v>746</v>
      </c>
      <c r="B748" s="8">
        <v>2174</v>
      </c>
      <c r="C748" s="9" t="s">
        <v>739</v>
      </c>
      <c r="D748" s="8" t="s">
        <v>16</v>
      </c>
      <c r="E748" s="8" t="str">
        <f>"337.56"</f>
        <v>337.56</v>
      </c>
      <c r="F748" s="8"/>
      <c r="G748" s="3">
        <v>383.01</v>
      </c>
      <c r="H748" s="10"/>
      <c r="I748" s="8">
        <v>3</v>
      </c>
      <c r="J748" s="10">
        <v>2017</v>
      </c>
      <c r="K748" s="5" t="str">
        <f>"337.56"</f>
        <v>337.56</v>
      </c>
      <c r="L748" s="5" t="str">
        <f>"421.81"</f>
        <v>421.81</v>
      </c>
      <c r="M748" s="5" t="str">
        <f>"405.96"</f>
        <v>405.96</v>
      </c>
      <c r="N748" s="5"/>
      <c r="O748" s="5"/>
      <c r="P748" s="5"/>
      <c r="Q748" s="5"/>
      <c r="R748" s="5"/>
      <c r="S748" s="5"/>
      <c r="T748" s="5"/>
      <c r="U748" s="5"/>
      <c r="V748" s="5" t="str">
        <f>"360.05"</f>
        <v>360.05</v>
      </c>
      <c r="W748" s="5" t="str">
        <f>"439.70"</f>
        <v>439.70</v>
      </c>
      <c r="X748" s="5"/>
      <c r="Y748" s="5"/>
      <c r="Z748" s="5"/>
      <c r="AA748" s="5"/>
      <c r="AB748" s="5"/>
      <c r="AC748" s="5"/>
      <c r="AD748" s="5"/>
    </row>
    <row r="749" spans="1:30" ht="13.5" customHeight="1">
      <c r="A749" s="8">
        <v>747</v>
      </c>
      <c r="B749" s="8">
        <v>2161</v>
      </c>
      <c r="C749" s="9" t="s">
        <v>949</v>
      </c>
      <c r="D749" s="8" t="s">
        <v>16</v>
      </c>
      <c r="E749" s="8" t="str">
        <f>"356.12"</f>
        <v>356.12</v>
      </c>
      <c r="F749" s="8"/>
      <c r="G749" s="3">
        <v>383.35</v>
      </c>
      <c r="H749" s="10"/>
      <c r="I749" s="8">
        <v>3</v>
      </c>
      <c r="J749" s="10">
        <v>2017</v>
      </c>
      <c r="K749" s="5" t="str">
        <f>"356.12"</f>
        <v>356.12</v>
      </c>
      <c r="L749" s="5" t="str">
        <f>"381.83"</f>
        <v>381.83</v>
      </c>
      <c r="M749" s="5" t="str">
        <f>"384.87"</f>
        <v>384.87</v>
      </c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1:30" ht="13.5" customHeight="1">
      <c r="A750" s="8">
        <v>748</v>
      </c>
      <c r="B750" s="8">
        <v>5410</v>
      </c>
      <c r="C750" s="9" t="s">
        <v>976</v>
      </c>
      <c r="D750" s="8" t="s">
        <v>34</v>
      </c>
      <c r="E750" s="8" t="str">
        <f>"413.14"</f>
        <v>413.14</v>
      </c>
      <c r="F750" s="8"/>
      <c r="G750" s="3">
        <v>383.42</v>
      </c>
      <c r="H750" s="10" t="s">
        <v>12</v>
      </c>
      <c r="I750" s="8">
        <v>2</v>
      </c>
      <c r="J750" s="10">
        <v>2017</v>
      </c>
      <c r="K750" s="5" t="str">
        <f>"470.85"</f>
        <v>470.85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 t="str">
        <f>"355.42"</f>
        <v>355.42</v>
      </c>
      <c r="AA750" s="5"/>
      <c r="AB750" s="5"/>
      <c r="AC750" s="5"/>
      <c r="AD750" s="5"/>
    </row>
    <row r="751" spans="1:30" ht="13.5" customHeight="1">
      <c r="A751" s="8">
        <v>749</v>
      </c>
      <c r="B751" s="8">
        <v>11011</v>
      </c>
      <c r="C751" s="9" t="s">
        <v>867</v>
      </c>
      <c r="D751" s="8" t="s">
        <v>237</v>
      </c>
      <c r="E751" s="8" t="str">
        <f>"356.03"</f>
        <v>356.03</v>
      </c>
      <c r="F751" s="8"/>
      <c r="G751" s="3">
        <v>384.03</v>
      </c>
      <c r="H751" s="10" t="s">
        <v>18</v>
      </c>
      <c r="I751" s="8">
        <v>1</v>
      </c>
      <c r="J751" s="10">
        <v>2017</v>
      </c>
      <c r="K751" s="5" t="str">
        <f>"356.03"</f>
        <v>356.03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1:30" ht="13.5" customHeight="1">
      <c r="A752" s="8">
        <v>750</v>
      </c>
      <c r="B752" s="8">
        <v>3880</v>
      </c>
      <c r="C752" s="9" t="s">
        <v>1140</v>
      </c>
      <c r="D752" s="8" t="s">
        <v>128</v>
      </c>
      <c r="E752" s="8" t="str">
        <f>"357.42"</f>
        <v>357.42</v>
      </c>
      <c r="F752" s="8"/>
      <c r="G752" s="3">
        <v>385.42</v>
      </c>
      <c r="H752" s="10" t="s">
        <v>18</v>
      </c>
      <c r="I752" s="8">
        <v>1</v>
      </c>
      <c r="J752" s="10">
        <v>2018</v>
      </c>
      <c r="K752" s="5" t="str">
        <f>"357.42"</f>
        <v>357.42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1:30" ht="13.5" customHeight="1">
      <c r="A753" s="8">
        <v>751</v>
      </c>
      <c r="B753" s="8">
        <v>274</v>
      </c>
      <c r="C753" s="9" t="s">
        <v>859</v>
      </c>
      <c r="D753" s="8" t="s">
        <v>44</v>
      </c>
      <c r="E753" s="8" t="str">
        <f>"386.16"</f>
        <v>386.16</v>
      </c>
      <c r="F753" s="8"/>
      <c r="G753" s="3">
        <v>386.16</v>
      </c>
      <c r="H753" s="10" t="s">
        <v>12</v>
      </c>
      <c r="I753" s="8">
        <v>4</v>
      </c>
      <c r="J753" s="10">
        <v>2017</v>
      </c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 t="str">
        <f>"358.16"</f>
        <v>358.16</v>
      </c>
      <c r="Y753" s="5"/>
      <c r="Z753" s="5"/>
      <c r="AA753" s="5"/>
      <c r="AB753" s="5"/>
      <c r="AC753" s="5"/>
      <c r="AD753" s="5"/>
    </row>
    <row r="754" spans="1:30" ht="13.5" customHeight="1">
      <c r="A754" s="8">
        <v>752</v>
      </c>
      <c r="B754" s="8">
        <v>10483</v>
      </c>
      <c r="C754" s="9" t="s">
        <v>636</v>
      </c>
      <c r="D754" s="8" t="s">
        <v>29</v>
      </c>
      <c r="E754" s="8" t="str">
        <f>"241.38"</f>
        <v>241.38</v>
      </c>
      <c r="F754" s="8"/>
      <c r="G754" s="3">
        <v>387.3</v>
      </c>
      <c r="H754" s="10" t="s">
        <v>12</v>
      </c>
      <c r="I754" s="8">
        <v>2</v>
      </c>
      <c r="J754" s="10">
        <v>2017</v>
      </c>
      <c r="K754" s="5" t="str">
        <f>"241.38"</f>
        <v>241.38</v>
      </c>
      <c r="L754" s="5"/>
      <c r="M754" s="5"/>
      <c r="N754" s="5"/>
      <c r="O754" s="5"/>
      <c r="P754" s="5"/>
      <c r="Q754" s="5"/>
      <c r="R754" s="5"/>
      <c r="S754" s="5"/>
      <c r="T754" s="5"/>
      <c r="U754" s="5" t="str">
        <f>"359.30"</f>
        <v>359.30</v>
      </c>
      <c r="V754" s="5"/>
      <c r="W754" s="5"/>
      <c r="X754" s="5"/>
      <c r="Y754" s="5"/>
      <c r="Z754" s="5"/>
      <c r="AA754" s="5"/>
      <c r="AB754" s="5"/>
      <c r="AC754" s="5"/>
      <c r="AD754" s="5"/>
    </row>
    <row r="755" spans="1:30" ht="13.5" customHeight="1">
      <c r="A755" s="8">
        <v>753</v>
      </c>
      <c r="B755" s="8">
        <v>10884</v>
      </c>
      <c r="C755" s="9" t="s">
        <v>913</v>
      </c>
      <c r="D755" s="8" t="s">
        <v>16</v>
      </c>
      <c r="E755" s="8" t="str">
        <f>"388.80"</f>
        <v>388.80</v>
      </c>
      <c r="F755" s="8"/>
      <c r="G755" s="3">
        <v>388.8</v>
      </c>
      <c r="H755" s="10"/>
      <c r="I755" s="8">
        <v>3</v>
      </c>
      <c r="J755" s="10">
        <v>2017</v>
      </c>
      <c r="K755" s="5" t="str">
        <f>"528.30"</f>
        <v>528.30</v>
      </c>
      <c r="L755" s="5" t="str">
        <f>"444.70"</f>
        <v>444.70</v>
      </c>
      <c r="M755" s="5" t="str">
        <f>"481.50"</f>
        <v>481.50</v>
      </c>
      <c r="N755" s="5"/>
      <c r="O755" s="5"/>
      <c r="P755" s="5"/>
      <c r="Q755" s="5"/>
      <c r="R755" s="5"/>
      <c r="S755" s="5"/>
      <c r="T755" s="5"/>
      <c r="U755" s="5"/>
      <c r="V755" s="5" t="str">
        <f>"332.90"</f>
        <v>332.90</v>
      </c>
      <c r="W755" s="5"/>
      <c r="X755" s="5"/>
      <c r="Y755" s="5"/>
      <c r="Z755" s="5"/>
      <c r="AA755" s="5"/>
      <c r="AB755" s="5"/>
      <c r="AC755" s="5"/>
      <c r="AD755" s="5"/>
    </row>
    <row r="756" spans="1:30" ht="13.5" customHeight="1">
      <c r="A756" s="8">
        <v>754</v>
      </c>
      <c r="B756" s="8">
        <v>2166</v>
      </c>
      <c r="C756" s="9" t="s">
        <v>957</v>
      </c>
      <c r="D756" s="8" t="s">
        <v>16</v>
      </c>
      <c r="E756" s="8" t="str">
        <f>"389.08"</f>
        <v>389.08</v>
      </c>
      <c r="F756" s="8"/>
      <c r="G756" s="3">
        <v>389.08</v>
      </c>
      <c r="H756" s="10"/>
      <c r="I756" s="8">
        <v>3</v>
      </c>
      <c r="J756" s="10">
        <v>2017</v>
      </c>
      <c r="K756" s="5" t="str">
        <f>"435.57"</f>
        <v>435.57</v>
      </c>
      <c r="L756" s="5" t="str">
        <f>"412.95"</f>
        <v>412.95</v>
      </c>
      <c r="M756" s="5" t="str">
        <f>"415.07"</f>
        <v>415.07</v>
      </c>
      <c r="N756" s="5"/>
      <c r="O756" s="5"/>
      <c r="P756" s="5"/>
      <c r="Q756" s="5"/>
      <c r="R756" s="5"/>
      <c r="S756" s="5"/>
      <c r="T756" s="5"/>
      <c r="U756" s="5"/>
      <c r="V756" s="5" t="str">
        <f>"365.20"</f>
        <v>365.20</v>
      </c>
      <c r="W756" s="5"/>
      <c r="X756" s="5"/>
      <c r="Y756" s="5"/>
      <c r="Z756" s="5"/>
      <c r="AA756" s="5"/>
      <c r="AB756" s="5"/>
      <c r="AC756" s="5"/>
      <c r="AD756" s="5"/>
    </row>
    <row r="757" spans="1:30" ht="13.5" customHeight="1">
      <c r="A757" s="8">
        <v>755</v>
      </c>
      <c r="B757" s="8">
        <v>4545</v>
      </c>
      <c r="C757" s="9" t="s">
        <v>660</v>
      </c>
      <c r="D757" s="8" t="s">
        <v>169</v>
      </c>
      <c r="E757" s="8" t="str">
        <f>"361.09"</f>
        <v>361.09</v>
      </c>
      <c r="F757" s="8"/>
      <c r="G757" s="3">
        <v>389.09</v>
      </c>
      <c r="H757" s="10" t="s">
        <v>18</v>
      </c>
      <c r="I757" s="8">
        <v>1</v>
      </c>
      <c r="J757" s="10">
        <v>2017</v>
      </c>
      <c r="K757" s="5" t="str">
        <f>"361.09"</f>
        <v>361.09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1:30" ht="13.5" customHeight="1">
      <c r="A758" s="8">
        <v>756</v>
      </c>
      <c r="B758" s="8">
        <v>5653</v>
      </c>
      <c r="C758" s="9" t="s">
        <v>379</v>
      </c>
      <c r="D758" s="8" t="s">
        <v>51</v>
      </c>
      <c r="E758" s="8" t="str">
        <f>"361.71"</f>
        <v>361.71</v>
      </c>
      <c r="F758" s="8"/>
      <c r="G758" s="3">
        <v>389.71</v>
      </c>
      <c r="H758" s="10" t="s">
        <v>18</v>
      </c>
      <c r="I758" s="8">
        <v>1</v>
      </c>
      <c r="J758" s="10">
        <v>2017</v>
      </c>
      <c r="K758" s="5" t="str">
        <f>"361.71"</f>
        <v>361.71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1:30" ht="13.5" customHeight="1">
      <c r="A759" s="8">
        <v>757</v>
      </c>
      <c r="B759" s="8">
        <v>6100</v>
      </c>
      <c r="C759" s="9" t="s">
        <v>853</v>
      </c>
      <c r="D759" s="8" t="s">
        <v>26</v>
      </c>
      <c r="E759" s="8" t="str">
        <f>"305.57"</f>
        <v>305.57</v>
      </c>
      <c r="F759" s="8"/>
      <c r="G759" s="3">
        <v>389.98</v>
      </c>
      <c r="H759" s="10" t="s">
        <v>12</v>
      </c>
      <c r="I759" s="8">
        <v>2</v>
      </c>
      <c r="J759" s="10">
        <v>2018</v>
      </c>
      <c r="K759" s="5" t="str">
        <f>"305.57"</f>
        <v>305.57</v>
      </c>
      <c r="L759" s="5"/>
      <c r="M759" s="5"/>
      <c r="N759" s="5"/>
      <c r="O759" s="5"/>
      <c r="P759" s="5"/>
      <c r="Q759" s="5"/>
      <c r="R759" s="5"/>
      <c r="S759" s="5"/>
      <c r="T759" s="5" t="str">
        <f>"361.98"</f>
        <v>361.98</v>
      </c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1:30" ht="13.5" customHeight="1">
      <c r="A760" s="8">
        <v>758</v>
      </c>
      <c r="B760" s="8">
        <v>3892</v>
      </c>
      <c r="C760" s="9" t="s">
        <v>226</v>
      </c>
      <c r="D760" s="8" t="s">
        <v>105</v>
      </c>
      <c r="E760" s="8" t="str">
        <f>"390.51"</f>
        <v>390.51</v>
      </c>
      <c r="F760" s="8"/>
      <c r="G760" s="3">
        <v>390.51</v>
      </c>
      <c r="H760" s="10" t="s">
        <v>12</v>
      </c>
      <c r="I760" s="8">
        <v>4</v>
      </c>
      <c r="J760" s="10">
        <v>2017</v>
      </c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 t="str">
        <f>"362.51"</f>
        <v>362.51</v>
      </c>
      <c r="Y760" s="5"/>
      <c r="Z760" s="5"/>
      <c r="AA760" s="5"/>
      <c r="AB760" s="5"/>
      <c r="AC760" s="5"/>
      <c r="AD760" s="5"/>
    </row>
    <row r="761" spans="1:30" ht="13.5" customHeight="1">
      <c r="A761" s="8">
        <v>759</v>
      </c>
      <c r="B761" s="8">
        <v>2325</v>
      </c>
      <c r="C761" s="9" t="s">
        <v>784</v>
      </c>
      <c r="D761" s="8" t="s">
        <v>16</v>
      </c>
      <c r="E761" s="8" t="str">
        <f>"260.01"</f>
        <v>260.01</v>
      </c>
      <c r="F761" s="8"/>
      <c r="G761" s="3">
        <v>390.87</v>
      </c>
      <c r="H761" s="10"/>
      <c r="I761" s="8">
        <v>3</v>
      </c>
      <c r="J761" s="10">
        <v>2017</v>
      </c>
      <c r="K761" s="5" t="str">
        <f>"260.01"</f>
        <v>260.01</v>
      </c>
      <c r="L761" s="5" t="str">
        <f>"307.56"</f>
        <v>307.56</v>
      </c>
      <c r="M761" s="5" t="str">
        <f>"474.18"</f>
        <v>474.18</v>
      </c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1:30" ht="13.5" customHeight="1">
      <c r="A762" s="8">
        <v>760</v>
      </c>
      <c r="B762" s="8">
        <v>2175</v>
      </c>
      <c r="C762" s="9" t="s">
        <v>804</v>
      </c>
      <c r="D762" s="8" t="s">
        <v>16</v>
      </c>
      <c r="E762" s="8" t="str">
        <f>"365.87"</f>
        <v>365.87</v>
      </c>
      <c r="F762" s="8"/>
      <c r="G762" s="3">
        <v>391.51</v>
      </c>
      <c r="H762" s="10"/>
      <c r="I762" s="8">
        <v>3</v>
      </c>
      <c r="J762" s="10">
        <v>2017</v>
      </c>
      <c r="K762" s="5" t="str">
        <f>"378.41"</f>
        <v>378.41</v>
      </c>
      <c r="L762" s="5" t="str">
        <f>"429.68"</f>
        <v>429.68</v>
      </c>
      <c r="M762" s="5" t="str">
        <f>"448.50"</f>
        <v>448.50</v>
      </c>
      <c r="N762" s="5"/>
      <c r="O762" s="5"/>
      <c r="P762" s="5"/>
      <c r="Q762" s="5"/>
      <c r="R762" s="5"/>
      <c r="S762" s="5"/>
      <c r="T762" s="5"/>
      <c r="U762" s="5"/>
      <c r="V762" s="5" t="str">
        <f>"353.33"</f>
        <v>353.33</v>
      </c>
      <c r="W762" s="5" t="str">
        <f>"490.89"</f>
        <v>490.89</v>
      </c>
      <c r="X762" s="5"/>
      <c r="Y762" s="5"/>
      <c r="Z762" s="5"/>
      <c r="AA762" s="5"/>
      <c r="AB762" s="5"/>
      <c r="AC762" s="5"/>
      <c r="AD762" s="5"/>
    </row>
    <row r="763" spans="1:30" ht="13.5" customHeight="1">
      <c r="A763" s="8">
        <v>761</v>
      </c>
      <c r="B763" s="8">
        <v>2668</v>
      </c>
      <c r="C763" s="9" t="s">
        <v>737</v>
      </c>
      <c r="D763" s="8" t="s">
        <v>62</v>
      </c>
      <c r="E763" s="8" t="str">
        <f>"381.77"</f>
        <v>381.77</v>
      </c>
      <c r="F763" s="8"/>
      <c r="G763" s="3">
        <v>391.77</v>
      </c>
      <c r="H763" s="10" t="s">
        <v>12</v>
      </c>
      <c r="I763" s="8">
        <v>2</v>
      </c>
      <c r="J763" s="10">
        <v>2017</v>
      </c>
      <c r="K763" s="5" t="str">
        <f>"399.77"</f>
        <v>399.77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 t="str">
        <f>"363.77"</f>
        <v>363.77</v>
      </c>
      <c r="Z763" s="5"/>
      <c r="AA763" s="5"/>
      <c r="AB763" s="5"/>
      <c r="AC763" s="5"/>
      <c r="AD763" s="5"/>
    </row>
    <row r="764" spans="1:30" ht="13.5" customHeight="1">
      <c r="A764" s="8">
        <v>762</v>
      </c>
      <c r="B764" s="8">
        <v>10910</v>
      </c>
      <c r="C764" s="9" t="s">
        <v>851</v>
      </c>
      <c r="D764" s="8" t="s">
        <v>16</v>
      </c>
      <c r="E764" s="8" t="str">
        <f>"365.98"</f>
        <v>365.98</v>
      </c>
      <c r="F764" s="8"/>
      <c r="G764" s="3">
        <v>393.98</v>
      </c>
      <c r="H764" s="10" t="s">
        <v>18</v>
      </c>
      <c r="I764" s="8">
        <v>1</v>
      </c>
      <c r="J764" s="10">
        <v>2017</v>
      </c>
      <c r="K764" s="5" t="str">
        <f>"365.98"</f>
        <v>365.98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1:30" ht="13.5" customHeight="1">
      <c r="A765" s="8">
        <v>763</v>
      </c>
      <c r="B765" s="8">
        <v>1912</v>
      </c>
      <c r="C765" s="9" t="s">
        <v>796</v>
      </c>
      <c r="D765" s="8" t="s">
        <v>85</v>
      </c>
      <c r="E765" s="8" t="str">
        <f>"367.54"</f>
        <v>367.54</v>
      </c>
      <c r="F765" s="8"/>
      <c r="G765" s="3">
        <v>395.54</v>
      </c>
      <c r="H765" s="10" t="s">
        <v>18</v>
      </c>
      <c r="I765" s="8">
        <v>1</v>
      </c>
      <c r="J765" s="10">
        <v>2017</v>
      </c>
      <c r="K765" s="5" t="str">
        <f>"367.54"</f>
        <v>367.54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1:30" ht="13.5" customHeight="1">
      <c r="A766" s="8">
        <v>764</v>
      </c>
      <c r="B766" s="8">
        <v>2269</v>
      </c>
      <c r="C766" s="9" t="s">
        <v>961</v>
      </c>
      <c r="D766" s="8" t="s">
        <v>900</v>
      </c>
      <c r="E766" s="8" t="str">
        <f>"368.00"</f>
        <v>368.00</v>
      </c>
      <c r="F766" s="8"/>
      <c r="G766" s="3">
        <v>396</v>
      </c>
      <c r="H766" s="10" t="s">
        <v>18</v>
      </c>
      <c r="I766" s="8">
        <v>1</v>
      </c>
      <c r="J766" s="10">
        <v>2018</v>
      </c>
      <c r="K766" s="5" t="str">
        <f>"368.00"</f>
        <v>368.00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1:30" ht="13.5" customHeight="1">
      <c r="A767" s="8">
        <v>765</v>
      </c>
      <c r="B767" s="8">
        <v>10157</v>
      </c>
      <c r="C767" s="9" t="s">
        <v>1085</v>
      </c>
      <c r="D767" s="8" t="s">
        <v>16</v>
      </c>
      <c r="E767" s="8" t="str">
        <f>"368.66"</f>
        <v>368.66</v>
      </c>
      <c r="F767" s="8"/>
      <c r="G767" s="3">
        <v>396.66</v>
      </c>
      <c r="H767" s="10" t="s">
        <v>18</v>
      </c>
      <c r="I767" s="8">
        <v>1</v>
      </c>
      <c r="J767" s="10">
        <v>2017</v>
      </c>
      <c r="K767" s="5" t="str">
        <f>"368.66"</f>
        <v>368.66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1:30" ht="13.5" customHeight="1">
      <c r="A768" s="8">
        <v>766</v>
      </c>
      <c r="B768" s="8">
        <v>10151</v>
      </c>
      <c r="C768" s="9" t="s">
        <v>630</v>
      </c>
      <c r="D768" s="8" t="s">
        <v>16</v>
      </c>
      <c r="E768" s="8" t="str">
        <f>"288.84"</f>
        <v>288.84</v>
      </c>
      <c r="F768" s="8"/>
      <c r="G768" s="3">
        <v>397.44</v>
      </c>
      <c r="H768" s="10" t="s">
        <v>12</v>
      </c>
      <c r="I768" s="8">
        <v>2</v>
      </c>
      <c r="J768" s="10">
        <v>2017</v>
      </c>
      <c r="K768" s="5" t="str">
        <f>"288.84"</f>
        <v>288.84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 t="str">
        <f>"369.44"</f>
        <v>369.44</v>
      </c>
      <c r="Y768" s="5"/>
      <c r="Z768" s="5"/>
      <c r="AA768" s="5"/>
      <c r="AB768" s="5"/>
      <c r="AC768" s="5"/>
      <c r="AD768" s="5"/>
    </row>
    <row r="769" spans="1:30" ht="13.5" customHeight="1">
      <c r="A769" s="8">
        <v>767</v>
      </c>
      <c r="B769" s="8">
        <v>10096</v>
      </c>
      <c r="C769" s="9" t="s">
        <v>481</v>
      </c>
      <c r="D769" s="8" t="s">
        <v>195</v>
      </c>
      <c r="E769" s="8" t="str">
        <f>"370.31"</f>
        <v>370.31</v>
      </c>
      <c r="F769" s="8"/>
      <c r="G769" s="3">
        <v>398.31</v>
      </c>
      <c r="H769" s="10" t="s">
        <v>18</v>
      </c>
      <c r="I769" s="8">
        <v>1</v>
      </c>
      <c r="J769" s="10">
        <v>2017</v>
      </c>
      <c r="K769" s="5" t="str">
        <f>"370.31"</f>
        <v>370.31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1:30" ht="13.5" customHeight="1">
      <c r="A770" s="8">
        <v>768</v>
      </c>
      <c r="B770" s="8">
        <v>10364</v>
      </c>
      <c r="C770" s="9" t="s">
        <v>907</v>
      </c>
      <c r="D770" s="8" t="s">
        <v>76</v>
      </c>
      <c r="E770" s="8" t="str">
        <f>"372.70"</f>
        <v>372.70</v>
      </c>
      <c r="F770" s="8"/>
      <c r="G770" s="3">
        <v>400.7</v>
      </c>
      <c r="H770" s="10" t="s">
        <v>18</v>
      </c>
      <c r="I770" s="8">
        <v>1</v>
      </c>
      <c r="J770" s="10">
        <v>2017</v>
      </c>
      <c r="K770" s="5" t="str">
        <f>"372.70"</f>
        <v>372.70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1:30" ht="13.5" customHeight="1">
      <c r="A771" s="8">
        <v>769</v>
      </c>
      <c r="B771" s="8">
        <v>10875</v>
      </c>
      <c r="C771" s="9" t="s">
        <v>772</v>
      </c>
      <c r="D771" s="8" t="s">
        <v>16</v>
      </c>
      <c r="E771" s="8" t="str">
        <f>"426.90"</f>
        <v>426.90</v>
      </c>
      <c r="F771" s="8"/>
      <c r="G771" s="3">
        <v>401.31</v>
      </c>
      <c r="H771" s="10" t="s">
        <v>12</v>
      </c>
      <c r="I771" s="8">
        <v>2</v>
      </c>
      <c r="J771" s="10">
        <v>2017</v>
      </c>
      <c r="K771" s="5" t="str">
        <f>"480.49"</f>
        <v>480.49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 t="str">
        <f>"373.31"</f>
        <v>373.31</v>
      </c>
      <c r="W771" s="5"/>
      <c r="X771" s="5"/>
      <c r="Y771" s="5"/>
      <c r="Z771" s="5"/>
      <c r="AA771" s="5"/>
      <c r="AB771" s="5"/>
      <c r="AC771" s="5"/>
      <c r="AD771" s="5"/>
    </row>
    <row r="772" spans="1:30" ht="13.5" customHeight="1">
      <c r="A772" s="8">
        <v>770</v>
      </c>
      <c r="B772" s="8">
        <v>9650</v>
      </c>
      <c r="C772" s="9" t="s">
        <v>385</v>
      </c>
      <c r="D772" s="8" t="s">
        <v>51</v>
      </c>
      <c r="E772" s="8" t="str">
        <f>"204.35"</f>
        <v>204.35</v>
      </c>
      <c r="F772" s="8"/>
      <c r="G772" s="3">
        <v>402.5</v>
      </c>
      <c r="H772" s="10"/>
      <c r="I772" s="8">
        <v>3</v>
      </c>
      <c r="J772" s="10">
        <v>2017</v>
      </c>
      <c r="K772" s="5" t="str">
        <f>"204.35"</f>
        <v>204.35</v>
      </c>
      <c r="L772" s="5"/>
      <c r="M772" s="5"/>
      <c r="N772" s="5"/>
      <c r="O772" s="5"/>
      <c r="P772" s="5"/>
      <c r="Q772" s="5"/>
      <c r="R772" s="5"/>
      <c r="S772" s="5" t="str">
        <f>"218.61"</f>
        <v>218.61</v>
      </c>
      <c r="T772" s="5"/>
      <c r="U772" s="5"/>
      <c r="V772" s="5"/>
      <c r="W772" s="5"/>
      <c r="X772" s="5" t="str">
        <f>"586.38"</f>
        <v>586.38</v>
      </c>
      <c r="Y772" s="5"/>
      <c r="Z772" s="5"/>
      <c r="AA772" s="5"/>
      <c r="AB772" s="5"/>
      <c r="AC772" s="5"/>
      <c r="AD772" s="5"/>
    </row>
    <row r="773" spans="1:30" ht="13.5" customHeight="1">
      <c r="A773" s="8">
        <v>771</v>
      </c>
      <c r="B773" s="8">
        <v>11296</v>
      </c>
      <c r="C773" s="9" t="s">
        <v>735</v>
      </c>
      <c r="D773" s="8" t="s">
        <v>16</v>
      </c>
      <c r="E773" s="8" t="str">
        <f>"403.78"</f>
        <v>403.78</v>
      </c>
      <c r="F773" s="8"/>
      <c r="G773" s="3">
        <v>403.78</v>
      </c>
      <c r="H773" s="10"/>
      <c r="I773" s="8">
        <v>5</v>
      </c>
      <c r="J773" s="10">
        <v>2017</v>
      </c>
      <c r="K773" s="5"/>
      <c r="L773" s="5" t="str">
        <f>"582.20"</f>
        <v>582.20</v>
      </c>
      <c r="M773" s="5" t="str">
        <f>"744.62"</f>
        <v>744.62</v>
      </c>
      <c r="N773" s="5"/>
      <c r="O773" s="5"/>
      <c r="P773" s="5"/>
      <c r="Q773" s="5"/>
      <c r="R773" s="5"/>
      <c r="S773" s="5"/>
      <c r="T773" s="5"/>
      <c r="U773" s="5"/>
      <c r="V773" s="5" t="str">
        <f>"421.22"</f>
        <v>421.22</v>
      </c>
      <c r="W773" s="5"/>
      <c r="X773" s="5"/>
      <c r="Y773" s="5"/>
      <c r="Z773" s="5"/>
      <c r="AA773" s="5"/>
      <c r="AB773" s="5"/>
      <c r="AC773" s="5" t="str">
        <f>"386.33"</f>
        <v>386.33</v>
      </c>
      <c r="AD773" s="5"/>
    </row>
    <row r="774" spans="1:30" ht="13.5" customHeight="1">
      <c r="A774" s="8">
        <v>772</v>
      </c>
      <c r="B774" s="8">
        <v>6080</v>
      </c>
      <c r="C774" s="9" t="s">
        <v>408</v>
      </c>
      <c r="D774" s="8" t="s">
        <v>119</v>
      </c>
      <c r="E774" s="8" t="str">
        <f>"376.70"</f>
        <v>376.70</v>
      </c>
      <c r="F774" s="8"/>
      <c r="G774" s="3">
        <v>404.7</v>
      </c>
      <c r="H774" s="10" t="s">
        <v>18</v>
      </c>
      <c r="I774" s="8">
        <v>1</v>
      </c>
      <c r="J774" s="10">
        <v>2017</v>
      </c>
      <c r="K774" s="5" t="str">
        <f>"376.70"</f>
        <v>376.70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1:30" ht="13.5" customHeight="1">
      <c r="A775" s="8">
        <v>773</v>
      </c>
      <c r="B775" s="8">
        <v>1387</v>
      </c>
      <c r="C775" s="9" t="s">
        <v>1138</v>
      </c>
      <c r="D775" s="8" t="s">
        <v>391</v>
      </c>
      <c r="E775" s="8" t="str">
        <f>"376.71"</f>
        <v>376.71</v>
      </c>
      <c r="F775" s="8"/>
      <c r="G775" s="3">
        <v>404.71</v>
      </c>
      <c r="H775" s="10" t="s">
        <v>18</v>
      </c>
      <c r="I775" s="8">
        <v>1</v>
      </c>
      <c r="J775" s="10">
        <v>2018</v>
      </c>
      <c r="K775" s="5" t="str">
        <f>"376.71"</f>
        <v>376.71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1:30" ht="13.5" customHeight="1">
      <c r="A776" s="8">
        <v>774</v>
      </c>
      <c r="B776" s="8">
        <v>10835</v>
      </c>
      <c r="C776" s="9" t="s">
        <v>832</v>
      </c>
      <c r="D776" s="8" t="s">
        <v>16</v>
      </c>
      <c r="E776" s="8" t="str">
        <f>"377.78"</f>
        <v>377.78</v>
      </c>
      <c r="F776" s="8"/>
      <c r="G776" s="3">
        <v>405.78</v>
      </c>
      <c r="H776" s="10" t="s">
        <v>18</v>
      </c>
      <c r="I776" s="8">
        <v>1</v>
      </c>
      <c r="J776" s="10">
        <v>2017</v>
      </c>
      <c r="K776" s="5" t="str">
        <f>"377.78"</f>
        <v>377.78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1:30" ht="13.5" customHeight="1">
      <c r="A777" s="8">
        <v>775</v>
      </c>
      <c r="B777" s="8">
        <v>10865</v>
      </c>
      <c r="C777" s="9" t="s">
        <v>825</v>
      </c>
      <c r="D777" s="8" t="s">
        <v>16</v>
      </c>
      <c r="E777" s="8" t="str">
        <f>"405.94"</f>
        <v>405.94</v>
      </c>
      <c r="F777" s="8"/>
      <c r="G777" s="3">
        <v>405.94</v>
      </c>
      <c r="H777" s="10"/>
      <c r="I777" s="8">
        <v>3</v>
      </c>
      <c r="J777" s="10">
        <v>2017</v>
      </c>
      <c r="K777" s="5" t="str">
        <f>"586.09"</f>
        <v>586.09</v>
      </c>
      <c r="L777" s="5" t="str">
        <f>"640.91"</f>
        <v>640.91</v>
      </c>
      <c r="M777" s="5"/>
      <c r="N777" s="5"/>
      <c r="O777" s="5"/>
      <c r="P777" s="5"/>
      <c r="Q777" s="5"/>
      <c r="R777" s="5"/>
      <c r="S777" s="5"/>
      <c r="T777" s="5"/>
      <c r="U777" s="5"/>
      <c r="V777" s="5" t="str">
        <f>"380.90"</f>
        <v>380.90</v>
      </c>
      <c r="W777" s="5"/>
      <c r="X777" s="5"/>
      <c r="Y777" s="5"/>
      <c r="Z777" s="5"/>
      <c r="AA777" s="5"/>
      <c r="AB777" s="5"/>
      <c r="AC777" s="5" t="str">
        <f>"430.98"</f>
        <v>430.98</v>
      </c>
      <c r="AD777" s="5"/>
    </row>
    <row r="778" spans="1:30" ht="13.5" customHeight="1">
      <c r="A778" s="8">
        <v>776</v>
      </c>
      <c r="B778" s="8">
        <v>531</v>
      </c>
      <c r="C778" s="9" t="s">
        <v>890</v>
      </c>
      <c r="D778" s="8" t="s">
        <v>208</v>
      </c>
      <c r="E778" s="8" t="str">
        <f>"377.99"</f>
        <v>377.99</v>
      </c>
      <c r="F778" s="8"/>
      <c r="G778" s="3">
        <v>405.99</v>
      </c>
      <c r="H778" s="10" t="s">
        <v>18</v>
      </c>
      <c r="I778" s="8">
        <v>1</v>
      </c>
      <c r="J778" s="10">
        <v>2017</v>
      </c>
      <c r="K778" s="5" t="str">
        <f>"377.99"</f>
        <v>377.99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1:30" ht="13.5" customHeight="1">
      <c r="A779" s="8">
        <v>777</v>
      </c>
      <c r="B779" s="8">
        <v>10327</v>
      </c>
      <c r="C779" s="9" t="s">
        <v>752</v>
      </c>
      <c r="D779" s="8" t="s">
        <v>11</v>
      </c>
      <c r="E779" s="8" t="str">
        <f>"378.13"</f>
        <v>378.13</v>
      </c>
      <c r="F779" s="8"/>
      <c r="G779" s="3">
        <v>406.13</v>
      </c>
      <c r="H779" s="10" t="s">
        <v>18</v>
      </c>
      <c r="I779" s="8">
        <v>1</v>
      </c>
      <c r="J779" s="10">
        <v>2018</v>
      </c>
      <c r="K779" s="5" t="str">
        <f>"378.13"</f>
        <v>378.13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1:30" ht="13.5" customHeight="1">
      <c r="A780" s="8">
        <v>778</v>
      </c>
      <c r="B780" s="8">
        <v>5431</v>
      </c>
      <c r="C780" s="9" t="s">
        <v>1143</v>
      </c>
      <c r="D780" s="8" t="s">
        <v>323</v>
      </c>
      <c r="E780" s="8" t="str">
        <f>"378.18"</f>
        <v>378.18</v>
      </c>
      <c r="F780" s="8"/>
      <c r="G780" s="3">
        <v>406.18</v>
      </c>
      <c r="H780" s="10" t="s">
        <v>18</v>
      </c>
      <c r="I780" s="8">
        <v>1</v>
      </c>
      <c r="J780" s="10">
        <v>2017</v>
      </c>
      <c r="K780" s="5" t="str">
        <f>"378.18"</f>
        <v>378.18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1:30" ht="13.5" customHeight="1">
      <c r="A781" s="8">
        <v>779</v>
      </c>
      <c r="B781" s="8">
        <v>8633</v>
      </c>
      <c r="C781" s="9" t="s">
        <v>876</v>
      </c>
      <c r="D781" s="8" t="s">
        <v>16</v>
      </c>
      <c r="E781" s="8" t="str">
        <f>"374.85"</f>
        <v>374.85</v>
      </c>
      <c r="F781" s="8"/>
      <c r="G781" s="3">
        <v>406.52</v>
      </c>
      <c r="H781" s="10"/>
      <c r="I781" s="8">
        <v>3</v>
      </c>
      <c r="J781" s="10">
        <v>2017</v>
      </c>
      <c r="K781" s="5" t="str">
        <f>"383.97"</f>
        <v>383.97</v>
      </c>
      <c r="L781" s="5" t="str">
        <f>"447.32"</f>
        <v>447.32</v>
      </c>
      <c r="M781" s="5" t="str">
        <f>"497.64"</f>
        <v>497.64</v>
      </c>
      <c r="N781" s="5"/>
      <c r="O781" s="5"/>
      <c r="P781" s="5"/>
      <c r="Q781" s="5"/>
      <c r="R781" s="5"/>
      <c r="S781" s="5"/>
      <c r="T781" s="5"/>
      <c r="U781" s="5"/>
      <c r="V781" s="5" t="str">
        <f>"365.72"</f>
        <v>365.72</v>
      </c>
      <c r="W781" s="5" t="str">
        <f>"458.95"</f>
        <v>458.95</v>
      </c>
      <c r="X781" s="5"/>
      <c r="Y781" s="5"/>
      <c r="Z781" s="5"/>
      <c r="AA781" s="5"/>
      <c r="AB781" s="5"/>
      <c r="AC781" s="5"/>
      <c r="AD781" s="5"/>
    </row>
    <row r="782" spans="1:30" ht="13.5" customHeight="1">
      <c r="A782" s="8">
        <v>780</v>
      </c>
      <c r="B782" s="8">
        <v>5770</v>
      </c>
      <c r="C782" s="9" t="s">
        <v>762</v>
      </c>
      <c r="D782" s="8" t="s">
        <v>62</v>
      </c>
      <c r="E782" s="8" t="str">
        <f>"380.04"</f>
        <v>380.04</v>
      </c>
      <c r="F782" s="8"/>
      <c r="G782" s="3">
        <v>408.04</v>
      </c>
      <c r="H782" s="10" t="s">
        <v>18</v>
      </c>
      <c r="I782" s="8">
        <v>1</v>
      </c>
      <c r="J782" s="10">
        <v>2017</v>
      </c>
      <c r="K782" s="5" t="str">
        <f>"380.04"</f>
        <v>380.04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1:30" ht="13.5" customHeight="1">
      <c r="A783" s="8">
        <v>781</v>
      </c>
      <c r="B783" s="8">
        <v>10119</v>
      </c>
      <c r="C783" s="9" t="s">
        <v>963</v>
      </c>
      <c r="D783" s="8" t="s">
        <v>16</v>
      </c>
      <c r="E783" s="8" t="str">
        <f>"409.83"</f>
        <v>409.83</v>
      </c>
      <c r="F783" s="8"/>
      <c r="G783" s="3">
        <v>409.83</v>
      </c>
      <c r="H783" s="10"/>
      <c r="I783" s="8">
        <v>3</v>
      </c>
      <c r="J783" s="10">
        <v>2017</v>
      </c>
      <c r="K783" s="5" t="str">
        <f>"996.24"</f>
        <v>996.24</v>
      </c>
      <c r="L783" s="5" t="str">
        <f>"412.31"</f>
        <v>412.31</v>
      </c>
      <c r="M783" s="5"/>
      <c r="N783" s="5"/>
      <c r="O783" s="5"/>
      <c r="P783" s="5"/>
      <c r="Q783" s="5"/>
      <c r="R783" s="5"/>
      <c r="S783" s="5"/>
      <c r="T783" s="5"/>
      <c r="U783" s="5"/>
      <c r="V783" s="5" t="str">
        <f>"407.35"</f>
        <v>407.35</v>
      </c>
      <c r="W783" s="5"/>
      <c r="X783" s="5"/>
      <c r="Y783" s="5"/>
      <c r="Z783" s="5"/>
      <c r="AA783" s="5" t="str">
        <f>"468.52"</f>
        <v>468.52</v>
      </c>
      <c r="AB783" s="5"/>
      <c r="AC783" s="5"/>
      <c r="AD783" s="5"/>
    </row>
    <row r="784" spans="1:30" ht="13.5" customHeight="1">
      <c r="A784" s="8">
        <v>782</v>
      </c>
      <c r="B784" s="8">
        <v>9992</v>
      </c>
      <c r="C784" s="9" t="s">
        <v>968</v>
      </c>
      <c r="D784" s="8" t="s">
        <v>58</v>
      </c>
      <c r="E784" s="8" t="str">
        <f>"413.96"</f>
        <v>413.96</v>
      </c>
      <c r="F784" s="8"/>
      <c r="G784" s="3">
        <v>410.05</v>
      </c>
      <c r="H784" s="10" t="s">
        <v>12</v>
      </c>
      <c r="I784" s="8">
        <v>2</v>
      </c>
      <c r="J784" s="10">
        <v>2017</v>
      </c>
      <c r="K784" s="5" t="str">
        <f>"445.87"</f>
        <v>445.87</v>
      </c>
      <c r="L784" s="5"/>
      <c r="M784" s="5"/>
      <c r="N784" s="5"/>
      <c r="O784" s="5"/>
      <c r="P784" s="5" t="str">
        <f>"382.05"</f>
        <v>382.05</v>
      </c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1:30" ht="13.5" customHeight="1">
      <c r="A785" s="8">
        <v>783</v>
      </c>
      <c r="B785" s="8">
        <v>3391</v>
      </c>
      <c r="C785" s="9" t="s">
        <v>243</v>
      </c>
      <c r="D785" s="8" t="s">
        <v>22</v>
      </c>
      <c r="E785" s="8" t="str">
        <f>"382.74"</f>
        <v>382.74</v>
      </c>
      <c r="F785" s="8"/>
      <c r="G785" s="3">
        <v>410.74</v>
      </c>
      <c r="H785" s="10" t="s">
        <v>18</v>
      </c>
      <c r="I785" s="8">
        <v>1</v>
      </c>
      <c r="J785" s="10">
        <v>2017</v>
      </c>
      <c r="K785" s="5" t="str">
        <f>"382.74"</f>
        <v>382.74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1:30" ht="13.5" customHeight="1">
      <c r="A786" s="8">
        <v>784</v>
      </c>
      <c r="B786" s="8">
        <v>10539</v>
      </c>
      <c r="C786" s="9" t="s">
        <v>781</v>
      </c>
      <c r="D786" s="8" t="s">
        <v>16</v>
      </c>
      <c r="E786" s="8" t="str">
        <f>"410.91"</f>
        <v>410.91</v>
      </c>
      <c r="F786" s="8"/>
      <c r="G786" s="3">
        <v>410.91</v>
      </c>
      <c r="H786" s="10" t="s">
        <v>12</v>
      </c>
      <c r="I786" s="8">
        <v>4</v>
      </c>
      <c r="J786" s="10">
        <v>2017</v>
      </c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 t="str">
        <f>"382.91"</f>
        <v>382.91</v>
      </c>
      <c r="W786" s="5"/>
      <c r="X786" s="5"/>
      <c r="Y786" s="5"/>
      <c r="Z786" s="5"/>
      <c r="AA786" s="5"/>
      <c r="AB786" s="5"/>
      <c r="AC786" s="5"/>
      <c r="AD786" s="5"/>
    </row>
    <row r="787" spans="1:30" ht="13.5" customHeight="1">
      <c r="A787" s="8">
        <v>785</v>
      </c>
      <c r="B787" s="8">
        <v>10122</v>
      </c>
      <c r="C787" s="9" t="s">
        <v>895</v>
      </c>
      <c r="D787" s="8" t="s">
        <v>16</v>
      </c>
      <c r="E787" s="8" t="str">
        <f>"520.20"</f>
        <v>520.20</v>
      </c>
      <c r="F787" s="8"/>
      <c r="G787" s="3">
        <v>411.24</v>
      </c>
      <c r="H787" s="10" t="s">
        <v>12</v>
      </c>
      <c r="I787" s="8">
        <v>2</v>
      </c>
      <c r="J787" s="10">
        <v>2017</v>
      </c>
      <c r="K787" s="5" t="str">
        <f>"657.15"</f>
        <v>657.15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 t="str">
        <f>"383.24"</f>
        <v>383.24</v>
      </c>
      <c r="AB787" s="5"/>
      <c r="AC787" s="5"/>
      <c r="AD787" s="5"/>
    </row>
    <row r="788" spans="1:30" ht="13.5" customHeight="1">
      <c r="A788" s="8">
        <v>786</v>
      </c>
      <c r="B788" s="8">
        <v>11182</v>
      </c>
      <c r="C788" s="9" t="s">
        <v>1016</v>
      </c>
      <c r="D788" s="8" t="s">
        <v>29</v>
      </c>
      <c r="E788" s="8" t="str">
        <f>"414.74"</f>
        <v>414.74</v>
      </c>
      <c r="F788" s="8"/>
      <c r="G788" s="3">
        <v>414.74</v>
      </c>
      <c r="H788" s="10" t="s">
        <v>12</v>
      </c>
      <c r="I788" s="8">
        <v>4</v>
      </c>
      <c r="J788" s="10">
        <v>2017</v>
      </c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 t="str">
        <f>"386.74"</f>
        <v>386.74</v>
      </c>
      <c r="AC788" s="5"/>
      <c r="AD788" s="5"/>
    </row>
    <row r="789" spans="1:30" ht="13.5" customHeight="1">
      <c r="A789" s="8">
        <v>787</v>
      </c>
      <c r="B789" s="8">
        <v>10118</v>
      </c>
      <c r="C789" s="9" t="s">
        <v>815</v>
      </c>
      <c r="D789" s="8" t="s">
        <v>16</v>
      </c>
      <c r="E789" s="8" t="str">
        <f>"416.04"</f>
        <v>416.04</v>
      </c>
      <c r="F789" s="8"/>
      <c r="G789" s="3">
        <v>416.04</v>
      </c>
      <c r="H789" s="10"/>
      <c r="I789" s="8">
        <v>3</v>
      </c>
      <c r="J789" s="10">
        <v>2017</v>
      </c>
      <c r="K789" s="5" t="str">
        <f>"663.37"</f>
        <v>663.37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 t="str">
        <f>"487.38"</f>
        <v>487.38</v>
      </c>
      <c r="W789" s="5"/>
      <c r="X789" s="5"/>
      <c r="Y789" s="5"/>
      <c r="Z789" s="5"/>
      <c r="AA789" s="5" t="str">
        <f>"344.70"</f>
        <v>344.70</v>
      </c>
      <c r="AB789" s="5"/>
      <c r="AC789" s="5"/>
      <c r="AD789" s="5"/>
    </row>
    <row r="790" spans="1:30" ht="13.5" customHeight="1">
      <c r="A790" s="8">
        <v>788</v>
      </c>
      <c r="B790" s="8">
        <v>5145</v>
      </c>
      <c r="C790" s="9" t="s">
        <v>632</v>
      </c>
      <c r="D790" s="8" t="s">
        <v>420</v>
      </c>
      <c r="E790" s="8" t="str">
        <f>"388.27"</f>
        <v>388.27</v>
      </c>
      <c r="F790" s="8"/>
      <c r="G790" s="3">
        <v>416.27</v>
      </c>
      <c r="H790" s="10" t="s">
        <v>18</v>
      </c>
      <c r="I790" s="8">
        <v>1</v>
      </c>
      <c r="J790" s="10">
        <v>2017</v>
      </c>
      <c r="K790" s="5" t="str">
        <f>"388.27"</f>
        <v>388.27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1:30" ht="13.5" customHeight="1">
      <c r="A791" s="8">
        <v>789</v>
      </c>
      <c r="B791" s="8">
        <v>11293</v>
      </c>
      <c r="C791" s="9" t="s">
        <v>911</v>
      </c>
      <c r="D791" s="8" t="s">
        <v>16</v>
      </c>
      <c r="E791" s="8" t="str">
        <f>"416.62"</f>
        <v>416.62</v>
      </c>
      <c r="F791" s="8"/>
      <c r="G791" s="3">
        <v>416.62</v>
      </c>
      <c r="H791" s="10" t="s">
        <v>12</v>
      </c>
      <c r="I791" s="8">
        <v>4</v>
      </c>
      <c r="J791" s="10">
        <v>2017</v>
      </c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 t="str">
        <f>"388.62"</f>
        <v>388.62</v>
      </c>
      <c r="AD791" s="5"/>
    </row>
    <row r="792" spans="1:30" ht="13.5" customHeight="1">
      <c r="A792" s="8">
        <v>790</v>
      </c>
      <c r="B792" s="8">
        <v>7623</v>
      </c>
      <c r="C792" s="9" t="s">
        <v>847</v>
      </c>
      <c r="D792" s="8" t="s">
        <v>848</v>
      </c>
      <c r="E792" s="8" t="str">
        <f>"419.97"</f>
        <v>419.97</v>
      </c>
      <c r="F792" s="8"/>
      <c r="G792" s="3">
        <v>419.19</v>
      </c>
      <c r="H792" s="10" t="s">
        <v>12</v>
      </c>
      <c r="I792" s="8">
        <v>2</v>
      </c>
      <c r="J792" s="10">
        <v>2018</v>
      </c>
      <c r="K792" s="5" t="str">
        <f>"448.74"</f>
        <v>448.74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 t="str">
        <f>"391.19"</f>
        <v>391.19</v>
      </c>
      <c r="Y792" s="5"/>
      <c r="Z792" s="5"/>
      <c r="AA792" s="5"/>
      <c r="AB792" s="5"/>
      <c r="AC792" s="5"/>
      <c r="AD792" s="5"/>
    </row>
    <row r="793" spans="1:30" ht="13.5" customHeight="1">
      <c r="A793" s="8">
        <v>791</v>
      </c>
      <c r="B793" s="8">
        <v>11252</v>
      </c>
      <c r="C793" s="9" t="s">
        <v>758</v>
      </c>
      <c r="D793" s="8" t="s">
        <v>16</v>
      </c>
      <c r="E793" s="8" t="str">
        <f>"420.16"</f>
        <v>420.16</v>
      </c>
      <c r="F793" s="8"/>
      <c r="G793" s="3">
        <v>420.16</v>
      </c>
      <c r="H793" s="10" t="s">
        <v>12</v>
      </c>
      <c r="I793" s="8">
        <v>4</v>
      </c>
      <c r="J793" s="10">
        <v>2017</v>
      </c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 t="str">
        <f>"392.16"</f>
        <v>392.16</v>
      </c>
      <c r="W793" s="5"/>
      <c r="X793" s="5"/>
      <c r="Y793" s="5"/>
      <c r="Z793" s="5"/>
      <c r="AA793" s="5"/>
      <c r="AB793" s="5"/>
      <c r="AC793" s="5"/>
      <c r="AD793" s="5"/>
    </row>
    <row r="794" spans="1:30" ht="13.5" customHeight="1">
      <c r="A794" s="8">
        <v>792</v>
      </c>
      <c r="B794" s="8">
        <v>10967</v>
      </c>
      <c r="C794" s="9" t="s">
        <v>829</v>
      </c>
      <c r="D794" s="8" t="s">
        <v>22</v>
      </c>
      <c r="E794" s="8" t="str">
        <f>"394.42"</f>
        <v>394.42</v>
      </c>
      <c r="F794" s="8"/>
      <c r="G794" s="3">
        <v>422.42</v>
      </c>
      <c r="H794" s="10" t="s">
        <v>18</v>
      </c>
      <c r="I794" s="8">
        <v>1</v>
      </c>
      <c r="J794" s="10">
        <v>2017</v>
      </c>
      <c r="K794" s="5" t="str">
        <f>"394.42"</f>
        <v>394.42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1:30" ht="13.5" customHeight="1">
      <c r="A795" s="8">
        <v>793</v>
      </c>
      <c r="B795" s="8">
        <v>8307</v>
      </c>
      <c r="C795" s="9" t="s">
        <v>1058</v>
      </c>
      <c r="D795" s="8" t="s">
        <v>807</v>
      </c>
      <c r="E795" s="8" t="str">
        <f>"395.03"</f>
        <v>395.03</v>
      </c>
      <c r="F795" s="8"/>
      <c r="G795" s="3">
        <v>423.03</v>
      </c>
      <c r="H795" s="10" t="s">
        <v>18</v>
      </c>
      <c r="I795" s="8">
        <v>1</v>
      </c>
      <c r="J795" s="10">
        <v>2018</v>
      </c>
      <c r="K795" s="5" t="str">
        <f>"395.03"</f>
        <v>395.03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1:30" ht="13.5" customHeight="1">
      <c r="A796" s="8">
        <v>794</v>
      </c>
      <c r="B796" s="8">
        <v>10901</v>
      </c>
      <c r="C796" s="9" t="s">
        <v>450</v>
      </c>
      <c r="D796" s="8" t="s">
        <v>16</v>
      </c>
      <c r="E796" s="8" t="str">
        <f>"188.95"</f>
        <v>188.95</v>
      </c>
      <c r="F796" s="8"/>
      <c r="G796" s="3">
        <v>423.92</v>
      </c>
      <c r="H796" s="10" t="s">
        <v>12</v>
      </c>
      <c r="I796" s="8">
        <v>2</v>
      </c>
      <c r="J796" s="10">
        <v>2017</v>
      </c>
      <c r="K796" s="5" t="str">
        <f>"188.95"</f>
        <v>188.95</v>
      </c>
      <c r="L796" s="5"/>
      <c r="M796" s="5" t="str">
        <f>"395.92"</f>
        <v>395.92</v>
      </c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1:30" ht="13.5" customHeight="1">
      <c r="A797" s="8">
        <v>795</v>
      </c>
      <c r="B797" s="8">
        <v>10582</v>
      </c>
      <c r="C797" s="9" t="s">
        <v>938</v>
      </c>
      <c r="D797" s="8" t="s">
        <v>16</v>
      </c>
      <c r="E797" s="8" t="str">
        <f>"424.91"</f>
        <v>424.91</v>
      </c>
      <c r="F797" s="8"/>
      <c r="G797" s="3">
        <v>424.91</v>
      </c>
      <c r="H797" s="10"/>
      <c r="I797" s="8">
        <v>3</v>
      </c>
      <c r="J797" s="10">
        <v>2017</v>
      </c>
      <c r="K797" s="5" t="str">
        <f>"517.69"</f>
        <v>517.69</v>
      </c>
      <c r="L797" s="5" t="str">
        <f>"463.15"</f>
        <v>463.15</v>
      </c>
      <c r="M797" s="5" t="str">
        <f>"498.29"</f>
        <v>498.29</v>
      </c>
      <c r="N797" s="5"/>
      <c r="O797" s="5"/>
      <c r="P797" s="5"/>
      <c r="Q797" s="5"/>
      <c r="R797" s="5"/>
      <c r="S797" s="5"/>
      <c r="T797" s="5"/>
      <c r="U797" s="5"/>
      <c r="V797" s="5" t="str">
        <f>"386.66"</f>
        <v>386.66</v>
      </c>
      <c r="W797" s="5"/>
      <c r="X797" s="5"/>
      <c r="Y797" s="5"/>
      <c r="Z797" s="5"/>
      <c r="AA797" s="5"/>
      <c r="AB797" s="5"/>
      <c r="AC797" s="5"/>
      <c r="AD797" s="5"/>
    </row>
    <row r="798" spans="1:30" ht="13.5" customHeight="1">
      <c r="A798" s="8">
        <v>796</v>
      </c>
      <c r="B798" s="8">
        <v>2271</v>
      </c>
      <c r="C798" s="9" t="s">
        <v>884</v>
      </c>
      <c r="D798" s="8" t="s">
        <v>16</v>
      </c>
      <c r="E798" s="8" t="str">
        <f>"295.99"</f>
        <v>295.99</v>
      </c>
      <c r="F798" s="8"/>
      <c r="G798" s="3">
        <v>426.38</v>
      </c>
      <c r="H798" s="10"/>
      <c r="I798" s="8">
        <v>3</v>
      </c>
      <c r="J798" s="10">
        <v>2017</v>
      </c>
      <c r="K798" s="5" t="str">
        <f>"295.99"</f>
        <v>295.99</v>
      </c>
      <c r="L798" s="5" t="str">
        <f>"328.72"</f>
        <v>328.72</v>
      </c>
      <c r="M798" s="5" t="str">
        <f>"524.04"</f>
        <v>524.04</v>
      </c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spans="1:30" ht="13.5" customHeight="1">
      <c r="A799" s="8">
        <v>797</v>
      </c>
      <c r="B799" s="8">
        <v>8616</v>
      </c>
      <c r="C799" s="9" t="s">
        <v>562</v>
      </c>
      <c r="D799" s="8" t="s">
        <v>16</v>
      </c>
      <c r="E799" s="8" t="str">
        <f>"219.11"</f>
        <v>219.11</v>
      </c>
      <c r="F799" s="8"/>
      <c r="G799" s="3">
        <v>427.34</v>
      </c>
      <c r="H799" s="10" t="s">
        <v>12</v>
      </c>
      <c r="I799" s="8">
        <v>2</v>
      </c>
      <c r="J799" s="10">
        <v>2017</v>
      </c>
      <c r="K799" s="5" t="str">
        <f>"219.11"</f>
        <v>219.11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 t="str">
        <f>"399.34"</f>
        <v>399.34</v>
      </c>
      <c r="X799" s="5"/>
      <c r="Y799" s="5"/>
      <c r="Z799" s="5"/>
      <c r="AA799" s="5"/>
      <c r="AB799" s="5"/>
      <c r="AC799" s="5"/>
      <c r="AD799" s="5"/>
    </row>
    <row r="800" spans="1:30" ht="13.5" customHeight="1">
      <c r="A800" s="8">
        <v>798</v>
      </c>
      <c r="B800" s="8">
        <v>10361</v>
      </c>
      <c r="C800" s="9" t="s">
        <v>1072</v>
      </c>
      <c r="D800" s="8" t="s">
        <v>76</v>
      </c>
      <c r="E800" s="8" t="str">
        <f>"399.87"</f>
        <v>399.87</v>
      </c>
      <c r="F800" s="8"/>
      <c r="G800" s="3">
        <v>427.87</v>
      </c>
      <c r="H800" s="10" t="s">
        <v>18</v>
      </c>
      <c r="I800" s="8">
        <v>1</v>
      </c>
      <c r="J800" s="10">
        <v>2017</v>
      </c>
      <c r="K800" s="5" t="str">
        <f>"399.87"</f>
        <v>399.87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spans="1:30" ht="13.5" customHeight="1">
      <c r="A801" s="8">
        <v>799</v>
      </c>
      <c r="B801" s="8">
        <v>9987</v>
      </c>
      <c r="C801" s="9" t="s">
        <v>1209</v>
      </c>
      <c r="D801" s="8" t="s">
        <v>76</v>
      </c>
      <c r="E801" s="8" t="str">
        <f>"400.15"</f>
        <v>400.15</v>
      </c>
      <c r="F801" s="8"/>
      <c r="G801" s="3">
        <v>428.15</v>
      </c>
      <c r="H801" s="10" t="s">
        <v>18</v>
      </c>
      <c r="I801" s="8">
        <v>1</v>
      </c>
      <c r="J801" s="10">
        <v>2017</v>
      </c>
      <c r="K801" s="5" t="str">
        <f>"400.15"</f>
        <v>400.15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spans="1:30" ht="13.5" customHeight="1">
      <c r="A802" s="8">
        <v>800</v>
      </c>
      <c r="B802" s="8">
        <v>11276</v>
      </c>
      <c r="C802" s="9" t="s">
        <v>1158</v>
      </c>
      <c r="D802" s="8" t="s">
        <v>16</v>
      </c>
      <c r="E802" s="8" t="str">
        <f>"428.47"</f>
        <v>428.47</v>
      </c>
      <c r="F802" s="8"/>
      <c r="G802" s="3">
        <v>428.47</v>
      </c>
      <c r="H802" s="10"/>
      <c r="I802" s="8">
        <v>5</v>
      </c>
      <c r="J802" s="10">
        <v>2017</v>
      </c>
      <c r="K802" s="5"/>
      <c r="L802" s="5" t="str">
        <f>"444.70"</f>
        <v>444.70</v>
      </c>
      <c r="M802" s="5"/>
      <c r="N802" s="5"/>
      <c r="O802" s="5"/>
      <c r="P802" s="5"/>
      <c r="Q802" s="5"/>
      <c r="R802" s="5"/>
      <c r="S802" s="5"/>
      <c r="T802" s="5"/>
      <c r="U802" s="5"/>
      <c r="V802" s="5" t="str">
        <f>"412.24"</f>
        <v>412.24</v>
      </c>
      <c r="W802" s="5"/>
      <c r="X802" s="5"/>
      <c r="Y802" s="5"/>
      <c r="Z802" s="5"/>
      <c r="AA802" s="5"/>
      <c r="AB802" s="5"/>
      <c r="AC802" s="5"/>
      <c r="AD802" s="5"/>
    </row>
    <row r="803" spans="1:30" ht="13.5" customHeight="1">
      <c r="A803" s="8">
        <v>801</v>
      </c>
      <c r="B803" s="8">
        <v>10626</v>
      </c>
      <c r="C803" s="9" t="s">
        <v>880</v>
      </c>
      <c r="D803" s="8" t="s">
        <v>16</v>
      </c>
      <c r="E803" s="8" t="str">
        <f>"459.27"</f>
        <v>459.27</v>
      </c>
      <c r="F803" s="8"/>
      <c r="G803" s="3">
        <v>429.24</v>
      </c>
      <c r="H803" s="10" t="s">
        <v>12</v>
      </c>
      <c r="I803" s="8">
        <v>2</v>
      </c>
      <c r="J803" s="10">
        <v>2017</v>
      </c>
      <c r="K803" s="5" t="str">
        <f>"517.29"</f>
        <v>517.29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 t="str">
        <f>"401.24"</f>
        <v>401.24</v>
      </c>
      <c r="W803" s="5"/>
      <c r="X803" s="5"/>
      <c r="Y803" s="5"/>
      <c r="Z803" s="5"/>
      <c r="AA803" s="5"/>
      <c r="AB803" s="5"/>
      <c r="AC803" s="5"/>
      <c r="AD803" s="5"/>
    </row>
    <row r="804" spans="1:30" ht="13.5" customHeight="1">
      <c r="A804" s="8">
        <v>802</v>
      </c>
      <c r="B804" s="8">
        <v>10684</v>
      </c>
      <c r="C804" s="9" t="s">
        <v>1018</v>
      </c>
      <c r="D804" s="8" t="s">
        <v>16</v>
      </c>
      <c r="E804" s="8" t="str">
        <f>"403.46"</f>
        <v>403.46</v>
      </c>
      <c r="F804" s="8"/>
      <c r="G804" s="3">
        <v>431.46</v>
      </c>
      <c r="H804" s="10" t="s">
        <v>18</v>
      </c>
      <c r="I804" s="8">
        <v>1</v>
      </c>
      <c r="J804" s="10">
        <v>2017</v>
      </c>
      <c r="K804" s="5" t="str">
        <f>"403.46"</f>
        <v>403.46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spans="1:30" ht="13.5" customHeight="1">
      <c r="A805" s="8">
        <v>803</v>
      </c>
      <c r="B805" s="8">
        <v>4000</v>
      </c>
      <c r="C805" s="9" t="s">
        <v>724</v>
      </c>
      <c r="D805" s="8" t="s">
        <v>504</v>
      </c>
      <c r="E805" s="8" t="str">
        <f>"403.72"</f>
        <v>403.72</v>
      </c>
      <c r="F805" s="8"/>
      <c r="G805" s="3">
        <v>431.72</v>
      </c>
      <c r="H805" s="10" t="s">
        <v>18</v>
      </c>
      <c r="I805" s="8">
        <v>1</v>
      </c>
      <c r="J805" s="10">
        <v>2017</v>
      </c>
      <c r="K805" s="5" t="str">
        <f>"403.72"</f>
        <v>403.72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spans="1:30" ht="13.5" customHeight="1">
      <c r="A806" s="8">
        <v>804</v>
      </c>
      <c r="B806" s="8">
        <v>11318</v>
      </c>
      <c r="C806" s="9" t="s">
        <v>706</v>
      </c>
      <c r="D806" s="8" t="s">
        <v>16</v>
      </c>
      <c r="E806" s="8" t="str">
        <f>"432.62"</f>
        <v>432.62</v>
      </c>
      <c r="F806" s="8"/>
      <c r="G806" s="3">
        <v>432.62</v>
      </c>
      <c r="H806" s="10" t="s">
        <v>12</v>
      </c>
      <c r="I806" s="8">
        <v>4</v>
      </c>
      <c r="J806" s="10">
        <v>2017</v>
      </c>
      <c r="K806" s="5"/>
      <c r="L806" s="5" t="str">
        <f>"404.62"</f>
        <v>404.62</v>
      </c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spans="1:30" ht="13.5" customHeight="1">
      <c r="A807" s="8">
        <v>805</v>
      </c>
      <c r="B807" s="8">
        <v>10383</v>
      </c>
      <c r="C807" s="9" t="s">
        <v>626</v>
      </c>
      <c r="D807" s="8" t="s">
        <v>29</v>
      </c>
      <c r="E807" s="8" t="str">
        <f>"828.48"</f>
        <v>828.48</v>
      </c>
      <c r="F807" s="8"/>
      <c r="G807" s="3">
        <v>433.22</v>
      </c>
      <c r="H807" s="10" t="s">
        <v>12</v>
      </c>
      <c r="I807" s="8">
        <v>2</v>
      </c>
      <c r="J807" s="10">
        <v>2017</v>
      </c>
      <c r="K807" s="5" t="str">
        <f>"1251.74"</f>
        <v>1251.74</v>
      </c>
      <c r="L807" s="5"/>
      <c r="M807" s="5"/>
      <c r="N807" s="5"/>
      <c r="O807" s="5"/>
      <c r="P807" s="5"/>
      <c r="Q807" s="5"/>
      <c r="R807" s="5"/>
      <c r="S807" s="5"/>
      <c r="T807" s="5"/>
      <c r="U807" s="5" t="str">
        <f>"405.22"</f>
        <v>405.22</v>
      </c>
      <c r="V807" s="5"/>
      <c r="W807" s="5"/>
      <c r="X807" s="5"/>
      <c r="Y807" s="5"/>
      <c r="Z807" s="5"/>
      <c r="AA807" s="5"/>
      <c r="AB807" s="5"/>
      <c r="AC807" s="5"/>
      <c r="AD807" s="5"/>
    </row>
    <row r="808" spans="1:30" ht="13.5" customHeight="1">
      <c r="A808" s="8">
        <v>806</v>
      </c>
      <c r="B808" s="8">
        <v>10293</v>
      </c>
      <c r="C808" s="9" t="s">
        <v>1031</v>
      </c>
      <c r="D808" s="8" t="s">
        <v>363</v>
      </c>
      <c r="E808" s="8" t="str">
        <f>"406.49"</f>
        <v>406.49</v>
      </c>
      <c r="F808" s="8"/>
      <c r="G808" s="3">
        <v>434.49</v>
      </c>
      <c r="H808" s="10" t="s">
        <v>18</v>
      </c>
      <c r="I808" s="8">
        <v>1</v>
      </c>
      <c r="J808" s="10">
        <v>2017</v>
      </c>
      <c r="K808" s="5" t="str">
        <f>"406.49"</f>
        <v>406.49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spans="1:30" ht="13.5" customHeight="1">
      <c r="A809" s="8">
        <v>807</v>
      </c>
      <c r="B809" s="8">
        <v>10882</v>
      </c>
      <c r="C809" s="9" t="s">
        <v>881</v>
      </c>
      <c r="D809" s="8" t="s">
        <v>16</v>
      </c>
      <c r="E809" s="8" t="str">
        <f>"435.57"</f>
        <v>435.57</v>
      </c>
      <c r="F809" s="8"/>
      <c r="G809" s="3">
        <v>435.57</v>
      </c>
      <c r="H809" s="10"/>
      <c r="I809" s="8">
        <v>3</v>
      </c>
      <c r="J809" s="10">
        <v>2017</v>
      </c>
      <c r="K809" s="5" t="str">
        <f>"580.87"</f>
        <v>580.87</v>
      </c>
      <c r="L809" s="5" t="str">
        <f>"620.02"</f>
        <v>620.02</v>
      </c>
      <c r="M809" s="5"/>
      <c r="N809" s="5"/>
      <c r="O809" s="5"/>
      <c r="P809" s="5"/>
      <c r="Q809" s="5"/>
      <c r="R809" s="5"/>
      <c r="S809" s="5"/>
      <c r="T809" s="5"/>
      <c r="U809" s="5"/>
      <c r="V809" s="5" t="str">
        <f>"462.94"</f>
        <v>462.94</v>
      </c>
      <c r="W809" s="5"/>
      <c r="X809" s="5"/>
      <c r="Y809" s="5"/>
      <c r="Z809" s="5"/>
      <c r="AA809" s="5"/>
      <c r="AB809" s="5"/>
      <c r="AC809" s="5" t="str">
        <f>"408.20"</f>
        <v>408.20</v>
      </c>
      <c r="AD809" s="5"/>
    </row>
    <row r="810" spans="1:30" ht="13.5" customHeight="1">
      <c r="A810" s="8">
        <v>808</v>
      </c>
      <c r="B810" s="8">
        <v>10915</v>
      </c>
      <c r="C810" s="9" t="s">
        <v>1013</v>
      </c>
      <c r="D810" s="8" t="s">
        <v>16</v>
      </c>
      <c r="E810" s="8" t="str">
        <f>"436.81"</f>
        <v>436.81</v>
      </c>
      <c r="F810" s="8"/>
      <c r="G810" s="3">
        <v>436.81</v>
      </c>
      <c r="H810" s="10"/>
      <c r="I810" s="8">
        <v>5</v>
      </c>
      <c r="J810" s="10">
        <v>2017</v>
      </c>
      <c r="K810" s="5"/>
      <c r="L810" s="5" t="str">
        <f>"496.71"</f>
        <v>496.71</v>
      </c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 t="str">
        <f>"376.91"</f>
        <v>376.91</v>
      </c>
      <c r="AD810" s="5"/>
    </row>
    <row r="811" spans="1:30" ht="13.5" customHeight="1">
      <c r="A811" s="8">
        <v>809</v>
      </c>
      <c r="B811" s="8">
        <v>9929</v>
      </c>
      <c r="C811" s="9" t="s">
        <v>873</v>
      </c>
      <c r="D811" s="8" t="s">
        <v>378</v>
      </c>
      <c r="E811" s="8" t="str">
        <f>"412.18"</f>
        <v>412.18</v>
      </c>
      <c r="F811" s="8"/>
      <c r="G811" s="3">
        <v>440.18</v>
      </c>
      <c r="H811" s="10" t="s">
        <v>18</v>
      </c>
      <c r="I811" s="8">
        <v>1</v>
      </c>
      <c r="J811" s="10">
        <v>2017</v>
      </c>
      <c r="K811" s="5" t="str">
        <f>"412.18"</f>
        <v>412.18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spans="1:30" ht="13.5" customHeight="1">
      <c r="A812" s="8">
        <v>810</v>
      </c>
      <c r="B812" s="8">
        <v>11058</v>
      </c>
      <c r="C812" s="9" t="s">
        <v>842</v>
      </c>
      <c r="D812" s="8" t="s">
        <v>363</v>
      </c>
      <c r="E812" s="8" t="str">
        <f>"412.38"</f>
        <v>412.38</v>
      </c>
      <c r="F812" s="8"/>
      <c r="G812" s="3">
        <v>440.38</v>
      </c>
      <c r="H812" s="10" t="s">
        <v>18</v>
      </c>
      <c r="I812" s="8">
        <v>1</v>
      </c>
      <c r="J812" s="10">
        <v>2017</v>
      </c>
      <c r="K812" s="5" t="str">
        <f>"412.38"</f>
        <v>412.38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spans="1:30" ht="13.5" customHeight="1">
      <c r="A813" s="8">
        <v>811</v>
      </c>
      <c r="B813" s="8">
        <v>10189</v>
      </c>
      <c r="C813" s="9" t="s">
        <v>967</v>
      </c>
      <c r="D813" s="8" t="s">
        <v>16</v>
      </c>
      <c r="E813" s="8" t="str">
        <f>"441.34"</f>
        <v>441.34</v>
      </c>
      <c r="F813" s="8"/>
      <c r="G813" s="3">
        <v>441.34</v>
      </c>
      <c r="H813" s="10"/>
      <c r="I813" s="8">
        <v>3</v>
      </c>
      <c r="J813" s="10">
        <v>2017</v>
      </c>
      <c r="K813" s="5" t="str">
        <f>"620.99"</f>
        <v>620.99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 t="str">
        <f>"476.12"</f>
        <v>476.12</v>
      </c>
      <c r="W813" s="5"/>
      <c r="X813" s="5"/>
      <c r="Y813" s="5"/>
      <c r="Z813" s="5"/>
      <c r="AA813" s="5"/>
      <c r="AB813" s="5"/>
      <c r="AC813" s="5" t="str">
        <f>"406.55"</f>
        <v>406.55</v>
      </c>
      <c r="AD813" s="5"/>
    </row>
    <row r="814" spans="1:30" ht="13.5" customHeight="1">
      <c r="A814" s="8">
        <v>812</v>
      </c>
      <c r="B814" s="8">
        <v>10588</v>
      </c>
      <c r="C814" s="9" t="s">
        <v>905</v>
      </c>
      <c r="D814" s="8" t="s">
        <v>16</v>
      </c>
      <c r="E814" s="8" t="str">
        <f>"354.22"</f>
        <v>354.22</v>
      </c>
      <c r="F814" s="8"/>
      <c r="G814" s="3">
        <v>441.66</v>
      </c>
      <c r="H814" s="10"/>
      <c r="I814" s="8">
        <v>3</v>
      </c>
      <c r="J814" s="10">
        <v>2017</v>
      </c>
      <c r="K814" s="5" t="str">
        <f>"354.22"</f>
        <v>354.22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 t="str">
        <f>"369.47"</f>
        <v>369.47</v>
      </c>
      <c r="W814" s="5" t="str">
        <f>"513.85"</f>
        <v>513.85</v>
      </c>
      <c r="X814" s="5"/>
      <c r="Y814" s="5"/>
      <c r="Z814" s="5"/>
      <c r="AA814" s="5"/>
      <c r="AB814" s="5"/>
      <c r="AC814" s="5"/>
      <c r="AD814" s="5"/>
    </row>
    <row r="815" spans="1:30" ht="13.5" customHeight="1">
      <c r="A815" s="8">
        <v>813</v>
      </c>
      <c r="B815" s="8">
        <v>4046</v>
      </c>
      <c r="C815" s="9" t="s">
        <v>942</v>
      </c>
      <c r="D815" s="8" t="s">
        <v>335</v>
      </c>
      <c r="E815" s="8" t="str">
        <f>"414.38"</f>
        <v>414.38</v>
      </c>
      <c r="F815" s="8"/>
      <c r="G815" s="3">
        <v>442.38</v>
      </c>
      <c r="H815" s="10" t="s">
        <v>18</v>
      </c>
      <c r="I815" s="8">
        <v>1</v>
      </c>
      <c r="J815" s="10">
        <v>2017</v>
      </c>
      <c r="K815" s="5" t="str">
        <f>"414.38"</f>
        <v>414.38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spans="1:30" ht="13.5" customHeight="1">
      <c r="A816" s="8">
        <v>814</v>
      </c>
      <c r="B816" s="8">
        <v>10595</v>
      </c>
      <c r="C816" s="9" t="s">
        <v>927</v>
      </c>
      <c r="D816" s="8" t="s">
        <v>16</v>
      </c>
      <c r="E816" s="8" t="str">
        <f>"357.33"</f>
        <v>357.33</v>
      </c>
      <c r="F816" s="8"/>
      <c r="G816" s="3">
        <v>442.81</v>
      </c>
      <c r="H816" s="10"/>
      <c r="I816" s="8">
        <v>3</v>
      </c>
      <c r="J816" s="10">
        <v>2017</v>
      </c>
      <c r="K816" s="5" t="str">
        <f>"357.33"</f>
        <v>357.33</v>
      </c>
      <c r="L816" s="5" t="str">
        <f>"402.54"</f>
        <v>402.54</v>
      </c>
      <c r="M816" s="5" t="str">
        <f>"483.08"</f>
        <v>483.08</v>
      </c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spans="1:30" ht="13.5" customHeight="1">
      <c r="A817" s="8">
        <v>815</v>
      </c>
      <c r="B817" s="8">
        <v>10771</v>
      </c>
      <c r="C817" s="9" t="s">
        <v>686</v>
      </c>
      <c r="D817" s="8" t="s">
        <v>29</v>
      </c>
      <c r="E817" s="8" t="str">
        <f>"443.10"</f>
        <v>443.10</v>
      </c>
      <c r="F817" s="8"/>
      <c r="G817" s="3">
        <v>443.1</v>
      </c>
      <c r="H817" s="10"/>
      <c r="I817" s="8">
        <v>3</v>
      </c>
      <c r="J817" s="10">
        <v>2017</v>
      </c>
      <c r="K817" s="5" t="str">
        <f>"632.31"</f>
        <v>632.31</v>
      </c>
      <c r="L817" s="5"/>
      <c r="M817" s="5"/>
      <c r="N817" s="5"/>
      <c r="O817" s="5"/>
      <c r="P817" s="5"/>
      <c r="Q817" s="5"/>
      <c r="R817" s="5"/>
      <c r="S817" s="5"/>
      <c r="T817" s="5"/>
      <c r="U817" s="5" t="str">
        <f>"606.10"</f>
        <v>606.10</v>
      </c>
      <c r="V817" s="5"/>
      <c r="W817" s="5"/>
      <c r="X817" s="5"/>
      <c r="Y817" s="5" t="str">
        <f>"280.10"</f>
        <v>280.10</v>
      </c>
      <c r="Z817" s="5"/>
      <c r="AA817" s="5"/>
      <c r="AB817" s="5"/>
      <c r="AC817" s="5"/>
      <c r="AD817" s="5"/>
    </row>
    <row r="818" spans="1:30" ht="13.5" customHeight="1">
      <c r="A818" s="8">
        <v>816</v>
      </c>
      <c r="B818" s="8">
        <v>10524</v>
      </c>
      <c r="C818" s="9" t="s">
        <v>1002</v>
      </c>
      <c r="D818" s="8" t="s">
        <v>363</v>
      </c>
      <c r="E818" s="8" t="str">
        <f>"443.47"</f>
        <v>443.47</v>
      </c>
      <c r="F818" s="8"/>
      <c r="G818" s="3">
        <v>443.47</v>
      </c>
      <c r="H818" s="10"/>
      <c r="I818" s="8">
        <v>3</v>
      </c>
      <c r="J818" s="10">
        <v>2017</v>
      </c>
      <c r="K818" s="5" t="str">
        <f>"546.59"</f>
        <v>546.59</v>
      </c>
      <c r="L818" s="5"/>
      <c r="M818" s="5"/>
      <c r="N818" s="5"/>
      <c r="O818" s="5"/>
      <c r="P818" s="5" t="str">
        <f>"451.80"</f>
        <v>451.80</v>
      </c>
      <c r="Q818" s="5"/>
      <c r="R818" s="5"/>
      <c r="S818" s="5"/>
      <c r="T818" s="5"/>
      <c r="U818" s="5"/>
      <c r="V818" s="5"/>
      <c r="W818" s="5"/>
      <c r="X818" s="5"/>
      <c r="Y818" s="5" t="str">
        <f>"435.13"</f>
        <v>435.13</v>
      </c>
      <c r="Z818" s="5"/>
      <c r="AA818" s="5"/>
      <c r="AB818" s="5"/>
      <c r="AC818" s="5"/>
      <c r="AD818" s="5"/>
    </row>
    <row r="819" spans="1:30" ht="13.5" customHeight="1">
      <c r="A819" s="8">
        <v>817</v>
      </c>
      <c r="B819" s="8">
        <v>10905</v>
      </c>
      <c r="C819" s="9" t="s">
        <v>971</v>
      </c>
      <c r="D819" s="8" t="s">
        <v>16</v>
      </c>
      <c r="E819" s="8" t="str">
        <f>"422.20"</f>
        <v>422.20</v>
      </c>
      <c r="F819" s="8"/>
      <c r="G819" s="3">
        <v>443.93</v>
      </c>
      <c r="H819" s="10" t="s">
        <v>12</v>
      </c>
      <c r="I819" s="8">
        <v>2</v>
      </c>
      <c r="J819" s="10">
        <v>2017</v>
      </c>
      <c r="K819" s="5" t="str">
        <f>"428.47"</f>
        <v>428.47</v>
      </c>
      <c r="L819" s="5" t="str">
        <f>"415.93"</f>
        <v>415.93</v>
      </c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spans="1:30" ht="13.5" customHeight="1">
      <c r="A820" s="8">
        <v>818</v>
      </c>
      <c r="B820" s="8">
        <v>2266</v>
      </c>
      <c r="C820" s="9" t="s">
        <v>1028</v>
      </c>
      <c r="D820" s="8" t="s">
        <v>16</v>
      </c>
      <c r="E820" s="8" t="str">
        <f>"416.02"</f>
        <v>416.02</v>
      </c>
      <c r="F820" s="8"/>
      <c r="G820" s="3">
        <v>444.02</v>
      </c>
      <c r="H820" s="10" t="s">
        <v>18</v>
      </c>
      <c r="I820" s="8">
        <v>1</v>
      </c>
      <c r="J820" s="10">
        <v>2017</v>
      </c>
      <c r="K820" s="5" t="str">
        <f>"416.02"</f>
        <v>416.02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spans="1:30" ht="13.5" customHeight="1">
      <c r="A821" s="8">
        <v>819</v>
      </c>
      <c r="B821" s="8">
        <v>11214</v>
      </c>
      <c r="C821" s="9" t="s">
        <v>749</v>
      </c>
      <c r="D821" s="8" t="s">
        <v>29</v>
      </c>
      <c r="E821" s="8" t="str">
        <f>"444.85"</f>
        <v>444.85</v>
      </c>
      <c r="F821" s="8"/>
      <c r="G821" s="3">
        <v>444.85</v>
      </c>
      <c r="H821" s="10"/>
      <c r="I821" s="8">
        <v>5</v>
      </c>
      <c r="J821" s="10">
        <v>2017</v>
      </c>
      <c r="K821" s="5"/>
      <c r="L821" s="5"/>
      <c r="M821" s="5"/>
      <c r="N821" s="5"/>
      <c r="O821" s="5"/>
      <c r="P821" s="5"/>
      <c r="Q821" s="5" t="str">
        <f>"482.87"</f>
        <v>482.87</v>
      </c>
      <c r="R821" s="5"/>
      <c r="S821" s="5"/>
      <c r="T821" s="5"/>
      <c r="U821" s="5" t="str">
        <f>"1192.82"</f>
        <v>1192.82</v>
      </c>
      <c r="V821" s="5"/>
      <c r="W821" s="5"/>
      <c r="X821" s="5" t="str">
        <f>"406.82"</f>
        <v>406.82</v>
      </c>
      <c r="Y821" s="5"/>
      <c r="Z821" s="5"/>
      <c r="AA821" s="5"/>
      <c r="AB821" s="5"/>
      <c r="AC821" s="5"/>
      <c r="AD821" s="5"/>
    </row>
    <row r="822" spans="1:30" ht="13.5" customHeight="1">
      <c r="A822" s="8">
        <v>820</v>
      </c>
      <c r="B822" s="8">
        <v>10838</v>
      </c>
      <c r="C822" s="9" t="s">
        <v>1005</v>
      </c>
      <c r="D822" s="8" t="s">
        <v>16</v>
      </c>
      <c r="E822" s="8" t="str">
        <f>"471.58"</f>
        <v>471.58</v>
      </c>
      <c r="F822" s="8"/>
      <c r="G822" s="3">
        <v>446.69</v>
      </c>
      <c r="H822" s="10" t="s">
        <v>12</v>
      </c>
      <c r="I822" s="8">
        <v>2</v>
      </c>
      <c r="J822" s="10">
        <v>2017</v>
      </c>
      <c r="K822" s="5" t="str">
        <f>"524.47"</f>
        <v>524.47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 t="str">
        <f>"418.69"</f>
        <v>418.69</v>
      </c>
      <c r="W822" s="5"/>
      <c r="X822" s="5"/>
      <c r="Y822" s="5"/>
      <c r="Z822" s="5"/>
      <c r="AA822" s="5"/>
      <c r="AB822" s="5"/>
      <c r="AC822" s="5"/>
      <c r="AD822" s="5"/>
    </row>
    <row r="823" spans="1:30" ht="13.5" customHeight="1">
      <c r="A823" s="8">
        <v>821</v>
      </c>
      <c r="B823" s="8">
        <v>11055</v>
      </c>
      <c r="C823" s="9" t="s">
        <v>994</v>
      </c>
      <c r="D823" s="8" t="s">
        <v>363</v>
      </c>
      <c r="E823" s="8" t="str">
        <f>"447.05"</f>
        <v>447.05</v>
      </c>
      <c r="F823" s="8"/>
      <c r="G823" s="3">
        <v>447.05</v>
      </c>
      <c r="H823" s="10" t="s">
        <v>12</v>
      </c>
      <c r="I823" s="8">
        <v>4</v>
      </c>
      <c r="J823" s="10">
        <v>2017</v>
      </c>
      <c r="K823" s="5"/>
      <c r="L823" s="5"/>
      <c r="M823" s="5"/>
      <c r="N823" s="5"/>
      <c r="O823" s="5"/>
      <c r="P823" s="5" t="str">
        <f>"419.05"</f>
        <v>419.05</v>
      </c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spans="1:30" ht="13.5" customHeight="1">
      <c r="A824" s="8">
        <v>822</v>
      </c>
      <c r="B824" s="8">
        <v>10747</v>
      </c>
      <c r="C824" s="9" t="s">
        <v>753</v>
      </c>
      <c r="D824" s="8" t="s">
        <v>29</v>
      </c>
      <c r="E824" s="8" t="str">
        <f>"414.05"</f>
        <v>414.05</v>
      </c>
      <c r="F824" s="8"/>
      <c r="G824" s="3">
        <v>448.15</v>
      </c>
      <c r="H824" s="10"/>
      <c r="I824" s="8">
        <v>3</v>
      </c>
      <c r="J824" s="10">
        <v>2017</v>
      </c>
      <c r="K824" s="5" t="str">
        <f>"444.95"</f>
        <v>444.95</v>
      </c>
      <c r="L824" s="5"/>
      <c r="M824" s="5"/>
      <c r="N824" s="5"/>
      <c r="O824" s="5"/>
      <c r="P824" s="5"/>
      <c r="Q824" s="5"/>
      <c r="R824" s="5" t="str">
        <f>"513.15"</f>
        <v>513.15</v>
      </c>
      <c r="S824" s="5"/>
      <c r="T824" s="5"/>
      <c r="U824" s="5" t="str">
        <f>"778.62"</f>
        <v>778.62</v>
      </c>
      <c r="V824" s="5"/>
      <c r="W824" s="5"/>
      <c r="X824" s="5" t="str">
        <f>"383.15"</f>
        <v>383.15</v>
      </c>
      <c r="Y824" s="5"/>
      <c r="Z824" s="5"/>
      <c r="AA824" s="5"/>
      <c r="AB824" s="5"/>
      <c r="AC824" s="5"/>
      <c r="AD824" s="5"/>
    </row>
    <row r="825" spans="1:30" ht="13.5" customHeight="1">
      <c r="A825" s="8">
        <v>823</v>
      </c>
      <c r="B825" s="8">
        <v>10390</v>
      </c>
      <c r="C825" s="9" t="s">
        <v>598</v>
      </c>
      <c r="D825" s="8" t="s">
        <v>29</v>
      </c>
      <c r="E825" s="8" t="str">
        <f>"396.39"</f>
        <v>396.39</v>
      </c>
      <c r="F825" s="8"/>
      <c r="G825" s="3">
        <v>449.47</v>
      </c>
      <c r="H825" s="10"/>
      <c r="I825" s="8">
        <v>3</v>
      </c>
      <c r="J825" s="10">
        <v>2017</v>
      </c>
      <c r="K825" s="5" t="str">
        <f>"594.35"</f>
        <v>594.35</v>
      </c>
      <c r="L825" s="5"/>
      <c r="M825" s="5"/>
      <c r="N825" s="5"/>
      <c r="O825" s="5"/>
      <c r="P825" s="5"/>
      <c r="Q825" s="5"/>
      <c r="R825" s="5"/>
      <c r="S825" s="5"/>
      <c r="T825" s="5"/>
      <c r="U825" s="5" t="str">
        <f>"700.50"</f>
        <v>700.50</v>
      </c>
      <c r="V825" s="5"/>
      <c r="W825" s="5"/>
      <c r="X825" s="5"/>
      <c r="Y825" s="5"/>
      <c r="Z825" s="5"/>
      <c r="AA825" s="5"/>
      <c r="AB825" s="5" t="str">
        <f>"198.43"</f>
        <v>198.43</v>
      </c>
      <c r="AC825" s="5"/>
      <c r="AD825" s="5"/>
    </row>
    <row r="826" spans="1:30" ht="13.5" customHeight="1">
      <c r="A826" s="8">
        <v>824</v>
      </c>
      <c r="B826" s="8">
        <v>2159</v>
      </c>
      <c r="C826" s="9" t="s">
        <v>1019</v>
      </c>
      <c r="D826" s="8" t="s">
        <v>16</v>
      </c>
      <c r="E826" s="8" t="str">
        <f>"432.81"</f>
        <v>432.81</v>
      </c>
      <c r="F826" s="8"/>
      <c r="G826" s="3">
        <v>449.56</v>
      </c>
      <c r="H826" s="10"/>
      <c r="I826" s="8">
        <v>3</v>
      </c>
      <c r="J826" s="10">
        <v>2017</v>
      </c>
      <c r="K826" s="5" t="str">
        <f>"432.81"</f>
        <v>432.81</v>
      </c>
      <c r="L826" s="5" t="str">
        <f>"449.40"</f>
        <v>449.40</v>
      </c>
      <c r="M826" s="5" t="str">
        <f>"449.72"</f>
        <v>449.72</v>
      </c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</row>
    <row r="827" spans="1:30" ht="13.5" customHeight="1">
      <c r="A827" s="8">
        <v>825</v>
      </c>
      <c r="B827" s="8">
        <v>10705</v>
      </c>
      <c r="C827" s="9" t="s">
        <v>799</v>
      </c>
      <c r="D827" s="8" t="s">
        <v>22</v>
      </c>
      <c r="E827" s="8" t="str">
        <f>"391.51"</f>
        <v>391.51</v>
      </c>
      <c r="F827" s="8"/>
      <c r="G827" s="3">
        <v>449.94</v>
      </c>
      <c r="H827" s="10" t="s">
        <v>12</v>
      </c>
      <c r="I827" s="8">
        <v>2</v>
      </c>
      <c r="J827" s="10">
        <v>2017</v>
      </c>
      <c r="K827" s="5" t="str">
        <f>"391.51"</f>
        <v>391.51</v>
      </c>
      <c r="L827" s="5"/>
      <c r="M827" s="5"/>
      <c r="N827" s="5"/>
      <c r="O827" s="5"/>
      <c r="P827" s="5" t="str">
        <f>"421.94"</f>
        <v>421.94</v>
      </c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</row>
    <row r="828" spans="1:30" ht="13.5" customHeight="1">
      <c r="A828" s="8">
        <v>826</v>
      </c>
      <c r="B828" s="8">
        <v>10858</v>
      </c>
      <c r="C828" s="9" t="s">
        <v>1003</v>
      </c>
      <c r="D828" s="8" t="s">
        <v>16</v>
      </c>
      <c r="E828" s="8" t="str">
        <f>"431.06"</f>
        <v>431.06</v>
      </c>
      <c r="F828" s="8"/>
      <c r="G828" s="3">
        <v>450.62</v>
      </c>
      <c r="H828" s="10" t="s">
        <v>12</v>
      </c>
      <c r="I828" s="8">
        <v>2</v>
      </c>
      <c r="J828" s="10">
        <v>2017</v>
      </c>
      <c r="K828" s="5" t="str">
        <f>"439.50"</f>
        <v>439.50</v>
      </c>
      <c r="L828" s="5" t="str">
        <f>"422.62"</f>
        <v>422.62</v>
      </c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</row>
    <row r="829" spans="1:30" ht="13.5" customHeight="1">
      <c r="A829" s="8">
        <v>827</v>
      </c>
      <c r="B829" s="8">
        <v>11311</v>
      </c>
      <c r="C829" s="9" t="s">
        <v>1145</v>
      </c>
      <c r="D829" s="8" t="s">
        <v>16</v>
      </c>
      <c r="E829" s="8" t="str">
        <f>"453.16"</f>
        <v>453.16</v>
      </c>
      <c r="F829" s="8"/>
      <c r="G829" s="3">
        <v>453.16</v>
      </c>
      <c r="H829" s="10"/>
      <c r="I829" s="8">
        <v>5</v>
      </c>
      <c r="J829" s="10">
        <v>2017</v>
      </c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 t="str">
        <f>"498.11"</f>
        <v>498.11</v>
      </c>
      <c r="W829" s="5"/>
      <c r="X829" s="5"/>
      <c r="Y829" s="5"/>
      <c r="Z829" s="5"/>
      <c r="AA829" s="5"/>
      <c r="AB829" s="5"/>
      <c r="AC829" s="5" t="str">
        <f>"408.20"</f>
        <v>408.20</v>
      </c>
      <c r="AD829" s="5"/>
    </row>
    <row r="830" spans="1:30" ht="13.5" customHeight="1">
      <c r="A830" s="8">
        <v>828</v>
      </c>
      <c r="B830" s="8">
        <v>10837</v>
      </c>
      <c r="C830" s="9" t="s">
        <v>803</v>
      </c>
      <c r="D830" s="8" t="s">
        <v>16</v>
      </c>
      <c r="E830" s="8" t="str">
        <f>"455.05"</f>
        <v>455.05</v>
      </c>
      <c r="F830" s="8"/>
      <c r="G830" s="3">
        <v>455.05</v>
      </c>
      <c r="H830" s="10" t="s">
        <v>12</v>
      </c>
      <c r="I830" s="8">
        <v>4</v>
      </c>
      <c r="J830" s="10">
        <v>2017</v>
      </c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 t="str">
        <f>"427.05"</f>
        <v>427.05</v>
      </c>
      <c r="AD830" s="5"/>
    </row>
    <row r="831" spans="1:30" ht="13.5" customHeight="1">
      <c r="A831" s="8">
        <v>829</v>
      </c>
      <c r="B831" s="8">
        <v>8151</v>
      </c>
      <c r="C831" s="9" t="s">
        <v>954</v>
      </c>
      <c r="D831" s="8" t="s">
        <v>955</v>
      </c>
      <c r="E831" s="8" t="str">
        <f>"427.70"</f>
        <v>427.70</v>
      </c>
      <c r="F831" s="8"/>
      <c r="G831" s="3">
        <v>455.7</v>
      </c>
      <c r="H831" s="10" t="s">
        <v>18</v>
      </c>
      <c r="I831" s="8">
        <v>1</v>
      </c>
      <c r="J831" s="10">
        <v>2017</v>
      </c>
      <c r="K831" s="5" t="str">
        <f>"427.70"</f>
        <v>427.70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</row>
    <row r="832" spans="1:30" ht="13.5" customHeight="1">
      <c r="A832" s="8">
        <v>830</v>
      </c>
      <c r="B832" s="8">
        <v>3249</v>
      </c>
      <c r="C832" s="9" t="s">
        <v>1011</v>
      </c>
      <c r="D832" s="8" t="s">
        <v>504</v>
      </c>
      <c r="E832" s="8" t="str">
        <f>"428.15"</f>
        <v>428.15</v>
      </c>
      <c r="F832" s="8"/>
      <c r="G832" s="3">
        <v>456.15</v>
      </c>
      <c r="H832" s="10" t="s">
        <v>18</v>
      </c>
      <c r="I832" s="8">
        <v>1</v>
      </c>
      <c r="J832" s="10">
        <v>2017</v>
      </c>
      <c r="K832" s="5" t="str">
        <f>"428.15"</f>
        <v>428.15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</row>
    <row r="833" spans="1:30" ht="13.5" customHeight="1">
      <c r="A833" s="8">
        <v>831</v>
      </c>
      <c r="B833" s="8">
        <v>10228</v>
      </c>
      <c r="C833" s="9" t="s">
        <v>797</v>
      </c>
      <c r="D833" s="8" t="s">
        <v>363</v>
      </c>
      <c r="E833" s="8" t="str">
        <f>"433.99"</f>
        <v>433.99</v>
      </c>
      <c r="F833" s="8"/>
      <c r="G833" s="3">
        <v>458.45</v>
      </c>
      <c r="H833" s="10" t="s">
        <v>12</v>
      </c>
      <c r="I833" s="8">
        <v>2</v>
      </c>
      <c r="J833" s="10">
        <v>2017</v>
      </c>
      <c r="K833" s="5" t="str">
        <f>"437.53"</f>
        <v>437.53</v>
      </c>
      <c r="L833" s="5"/>
      <c r="M833" s="5"/>
      <c r="N833" s="5"/>
      <c r="O833" s="5"/>
      <c r="P833" s="5" t="str">
        <f>"430.45"</f>
        <v>430.45</v>
      </c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</row>
    <row r="834" spans="1:30" ht="13.5" customHeight="1">
      <c r="A834" s="8">
        <v>832</v>
      </c>
      <c r="B834" s="8">
        <v>10403</v>
      </c>
      <c r="C834" s="9" t="s">
        <v>791</v>
      </c>
      <c r="D834" s="8" t="s">
        <v>16</v>
      </c>
      <c r="E834" s="8" t="str">
        <f>"458.72"</f>
        <v>458.72</v>
      </c>
      <c r="F834" s="8"/>
      <c r="G834" s="3">
        <v>458.72</v>
      </c>
      <c r="H834" s="10"/>
      <c r="I834" s="8">
        <v>3</v>
      </c>
      <c r="J834" s="10">
        <v>2017</v>
      </c>
      <c r="K834" s="5" t="str">
        <f>"670.24"</f>
        <v>670.24</v>
      </c>
      <c r="L834" s="5"/>
      <c r="M834" s="5"/>
      <c r="N834" s="5"/>
      <c r="O834" s="5"/>
      <c r="P834" s="5"/>
      <c r="Q834" s="5"/>
      <c r="R834" s="5" t="str">
        <f>"481.23"</f>
        <v>481.23</v>
      </c>
      <c r="S834" s="5"/>
      <c r="T834" s="5"/>
      <c r="U834" s="5" t="str">
        <f>"756.94"</f>
        <v>756.94</v>
      </c>
      <c r="V834" s="5"/>
      <c r="W834" s="5"/>
      <c r="X834" s="5"/>
      <c r="Y834" s="5"/>
      <c r="Z834" s="5"/>
      <c r="AA834" s="5"/>
      <c r="AB834" s="5"/>
      <c r="AC834" s="5" t="str">
        <f>"436.20"</f>
        <v>436.20</v>
      </c>
      <c r="AD834" s="5"/>
    </row>
    <row r="835" spans="1:30" ht="13.5" customHeight="1">
      <c r="A835" s="8">
        <v>833</v>
      </c>
      <c r="B835" s="8">
        <v>10173</v>
      </c>
      <c r="C835" s="9" t="s">
        <v>547</v>
      </c>
      <c r="D835" s="8" t="s">
        <v>16</v>
      </c>
      <c r="E835" s="8" t="str">
        <f>"278.67"</f>
        <v>278.67</v>
      </c>
      <c r="F835" s="8"/>
      <c r="G835" s="3">
        <v>458.97</v>
      </c>
      <c r="H835" s="10"/>
      <c r="I835" s="8">
        <v>3</v>
      </c>
      <c r="J835" s="10">
        <v>2017</v>
      </c>
      <c r="K835" s="5" t="str">
        <f>"278.67"</f>
        <v>278.67</v>
      </c>
      <c r="L835" s="5" t="str">
        <f>"524.31"</f>
        <v>524.31</v>
      </c>
      <c r="M835" s="5" t="str">
        <f>"393.62"</f>
        <v>393.62</v>
      </c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</row>
    <row r="836" spans="1:30" ht="13.5" customHeight="1">
      <c r="A836" s="8">
        <v>834</v>
      </c>
      <c r="B836" s="8">
        <v>10889</v>
      </c>
      <c r="C836" s="9" t="s">
        <v>959</v>
      </c>
      <c r="D836" s="8" t="s">
        <v>16</v>
      </c>
      <c r="E836" s="8" t="str">
        <f>"459.82"</f>
        <v>459.82</v>
      </c>
      <c r="F836" s="8"/>
      <c r="G836" s="3">
        <v>459.82</v>
      </c>
      <c r="H836" s="10"/>
      <c r="I836" s="8">
        <v>3</v>
      </c>
      <c r="J836" s="10">
        <v>2017</v>
      </c>
      <c r="K836" s="5" t="str">
        <f>"583.03"</f>
        <v>583.03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 t="str">
        <f>"419.57"</f>
        <v>419.57</v>
      </c>
      <c r="W836" s="5"/>
      <c r="X836" s="5"/>
      <c r="Y836" s="5"/>
      <c r="Z836" s="5"/>
      <c r="AA836" s="5"/>
      <c r="AB836" s="5"/>
      <c r="AC836" s="5" t="str">
        <f>"500.07"</f>
        <v>500.07</v>
      </c>
      <c r="AD836" s="5"/>
    </row>
    <row r="837" spans="1:30" ht="13.5" customHeight="1">
      <c r="A837" s="8">
        <v>835</v>
      </c>
      <c r="B837" s="8">
        <v>10849</v>
      </c>
      <c r="C837" s="9" t="s">
        <v>885</v>
      </c>
      <c r="D837" s="8" t="s">
        <v>16</v>
      </c>
      <c r="E837" s="8" t="str">
        <f>"494.19"</f>
        <v>494.19</v>
      </c>
      <c r="F837" s="8"/>
      <c r="G837" s="3">
        <v>460.22</v>
      </c>
      <c r="H837" s="10" t="s">
        <v>12</v>
      </c>
      <c r="I837" s="8">
        <v>2</v>
      </c>
      <c r="J837" s="10">
        <v>2017</v>
      </c>
      <c r="K837" s="5" t="str">
        <f>"556.16"</f>
        <v>556.16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 t="str">
        <f>"432.22"</f>
        <v>432.22</v>
      </c>
      <c r="W837" s="5"/>
      <c r="X837" s="5"/>
      <c r="Y837" s="5"/>
      <c r="Z837" s="5"/>
      <c r="AA837" s="5"/>
      <c r="AB837" s="5"/>
      <c r="AC837" s="5"/>
      <c r="AD837" s="5"/>
    </row>
    <row r="838" spans="1:30" ht="13.5" customHeight="1">
      <c r="A838" s="8">
        <v>836</v>
      </c>
      <c r="B838" s="8">
        <v>10522</v>
      </c>
      <c r="C838" s="9" t="s">
        <v>874</v>
      </c>
      <c r="D838" s="8" t="s">
        <v>363</v>
      </c>
      <c r="E838" s="8" t="str">
        <f>"458.14"</f>
        <v>458.14</v>
      </c>
      <c r="F838" s="8"/>
      <c r="G838" s="3">
        <v>460.42</v>
      </c>
      <c r="H838" s="10" t="s">
        <v>12</v>
      </c>
      <c r="I838" s="8">
        <v>2</v>
      </c>
      <c r="J838" s="10">
        <v>2017</v>
      </c>
      <c r="K838" s="5" t="str">
        <f>"483.85"</f>
        <v>483.85</v>
      </c>
      <c r="L838" s="5"/>
      <c r="M838" s="5"/>
      <c r="N838" s="5"/>
      <c r="O838" s="5"/>
      <c r="P838" s="5" t="str">
        <f>"432.42"</f>
        <v>432.42</v>
      </c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</row>
    <row r="839" spans="1:30" ht="13.5" customHeight="1">
      <c r="A839" s="8">
        <v>837</v>
      </c>
      <c r="B839" s="8">
        <v>2647</v>
      </c>
      <c r="C839" s="9" t="s">
        <v>986</v>
      </c>
      <c r="D839" s="8" t="s">
        <v>955</v>
      </c>
      <c r="E839" s="8" t="str">
        <f>"432.54"</f>
        <v>432.54</v>
      </c>
      <c r="F839" s="8"/>
      <c r="G839" s="3">
        <v>460.54</v>
      </c>
      <c r="H839" s="10" t="s">
        <v>18</v>
      </c>
      <c r="I839" s="8">
        <v>1</v>
      </c>
      <c r="J839" s="10">
        <v>2017</v>
      </c>
      <c r="K839" s="5" t="str">
        <f>"432.54"</f>
        <v>432.54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</row>
    <row r="840" spans="1:30" ht="13.5" customHeight="1">
      <c r="A840" s="8">
        <v>838</v>
      </c>
      <c r="B840" s="8">
        <v>10191</v>
      </c>
      <c r="C840" s="9" t="s">
        <v>990</v>
      </c>
      <c r="D840" s="8" t="s">
        <v>16</v>
      </c>
      <c r="E840" s="8" t="str">
        <f>"433.00"</f>
        <v>433.00</v>
      </c>
      <c r="F840" s="8"/>
      <c r="G840" s="3">
        <v>461</v>
      </c>
      <c r="H840" s="10" t="s">
        <v>18</v>
      </c>
      <c r="I840" s="8">
        <v>1</v>
      </c>
      <c r="J840" s="10">
        <v>2017</v>
      </c>
      <c r="K840" s="5" t="str">
        <f>"433.00"</f>
        <v>433.00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</row>
    <row r="841" spans="1:30" ht="13.5" customHeight="1">
      <c r="A841" s="8">
        <v>839</v>
      </c>
      <c r="B841" s="8">
        <v>9982</v>
      </c>
      <c r="C841" s="9" t="s">
        <v>1022</v>
      </c>
      <c r="D841" s="8" t="s">
        <v>76</v>
      </c>
      <c r="E841" s="8" t="str">
        <f>"433.61"</f>
        <v>433.61</v>
      </c>
      <c r="F841" s="8"/>
      <c r="G841" s="3">
        <v>461.61</v>
      </c>
      <c r="H841" s="10" t="s">
        <v>18</v>
      </c>
      <c r="I841" s="8">
        <v>1</v>
      </c>
      <c r="J841" s="10">
        <v>2017</v>
      </c>
      <c r="K841" s="5" t="str">
        <f>"433.61"</f>
        <v>433.61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</row>
    <row r="842" spans="1:30" ht="13.5" customHeight="1">
      <c r="A842" s="8">
        <v>840</v>
      </c>
      <c r="B842" s="8">
        <v>11238</v>
      </c>
      <c r="C842" s="9" t="s">
        <v>866</v>
      </c>
      <c r="D842" s="8" t="s">
        <v>16</v>
      </c>
      <c r="E842" s="8" t="str">
        <f>"462.22"</f>
        <v>462.22</v>
      </c>
      <c r="F842" s="8"/>
      <c r="G842" s="3">
        <v>462.22</v>
      </c>
      <c r="H842" s="10"/>
      <c r="I842" s="8">
        <v>5</v>
      </c>
      <c r="J842" s="10">
        <v>2017</v>
      </c>
      <c r="K842" s="5"/>
      <c r="L842" s="5" t="str">
        <f>"502.14"</f>
        <v>502.14</v>
      </c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 t="str">
        <f>"422.29"</f>
        <v>422.29</v>
      </c>
      <c r="AD842" s="5"/>
    </row>
    <row r="843" spans="1:30" ht="13.5" customHeight="1">
      <c r="A843" s="8">
        <v>841</v>
      </c>
      <c r="B843" s="8">
        <v>5735</v>
      </c>
      <c r="C843" s="9" t="s">
        <v>886</v>
      </c>
      <c r="D843" s="8" t="s">
        <v>22</v>
      </c>
      <c r="E843" s="8" t="str">
        <f>"386.74"</f>
        <v>386.74</v>
      </c>
      <c r="F843" s="8"/>
      <c r="G843" s="3">
        <v>462.78</v>
      </c>
      <c r="H843" s="10" t="s">
        <v>12</v>
      </c>
      <c r="I843" s="8">
        <v>2</v>
      </c>
      <c r="J843" s="10">
        <v>2017</v>
      </c>
      <c r="K843" s="5" t="str">
        <f>"386.74"</f>
        <v>386.74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 t="str">
        <f>"434.78"</f>
        <v>434.78</v>
      </c>
      <c r="Z843" s="5"/>
      <c r="AA843" s="5"/>
      <c r="AB843" s="5"/>
      <c r="AC843" s="5"/>
      <c r="AD843" s="5"/>
    </row>
    <row r="844" spans="1:30" ht="13.5" customHeight="1">
      <c r="A844" s="8">
        <v>842</v>
      </c>
      <c r="B844" s="8">
        <v>3005</v>
      </c>
      <c r="C844" s="9" t="s">
        <v>928</v>
      </c>
      <c r="D844" s="8" t="s">
        <v>119</v>
      </c>
      <c r="E844" s="8" t="str">
        <f>"435.25"</f>
        <v>435.25</v>
      </c>
      <c r="F844" s="8"/>
      <c r="G844" s="3">
        <v>463.25</v>
      </c>
      <c r="H844" s="10" t="s">
        <v>18</v>
      </c>
      <c r="I844" s="8">
        <v>1</v>
      </c>
      <c r="J844" s="10">
        <v>2017</v>
      </c>
      <c r="K844" s="5" t="str">
        <f>"435.25"</f>
        <v>435.25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</row>
    <row r="845" spans="1:30" ht="13.5" customHeight="1">
      <c r="A845" s="8">
        <v>843</v>
      </c>
      <c r="B845" s="8">
        <v>10356</v>
      </c>
      <c r="C845" s="9" t="s">
        <v>530</v>
      </c>
      <c r="D845" s="8" t="s">
        <v>164</v>
      </c>
      <c r="E845" s="8" t="str">
        <f>"435.96"</f>
        <v>435.96</v>
      </c>
      <c r="F845" s="8"/>
      <c r="G845" s="3">
        <v>463.96</v>
      </c>
      <c r="H845" s="10" t="s">
        <v>18</v>
      </c>
      <c r="I845" s="8">
        <v>1</v>
      </c>
      <c r="J845" s="10">
        <v>2017</v>
      </c>
      <c r="K845" s="5" t="str">
        <f>"435.96"</f>
        <v>435.96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</row>
    <row r="846" spans="1:30" ht="13.5" customHeight="1">
      <c r="A846" s="8">
        <v>844</v>
      </c>
      <c r="B846" s="8">
        <v>4306</v>
      </c>
      <c r="C846" s="9" t="s">
        <v>1184</v>
      </c>
      <c r="D846" s="8" t="s">
        <v>420</v>
      </c>
      <c r="E846" s="8" t="str">
        <f>"438.08"</f>
        <v>438.08</v>
      </c>
      <c r="F846" s="8"/>
      <c r="G846" s="3">
        <v>466.08</v>
      </c>
      <c r="H846" s="10" t="s">
        <v>18</v>
      </c>
      <c r="I846" s="8">
        <v>1</v>
      </c>
      <c r="J846" s="10">
        <v>2017</v>
      </c>
      <c r="K846" s="5" t="str">
        <f>"438.08"</f>
        <v>438.08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</row>
    <row r="847" spans="1:30" ht="13.5" customHeight="1">
      <c r="A847" s="8">
        <v>845</v>
      </c>
      <c r="B847" s="8">
        <v>8614</v>
      </c>
      <c r="C847" s="9" t="s">
        <v>877</v>
      </c>
      <c r="D847" s="8" t="s">
        <v>16</v>
      </c>
      <c r="E847" s="8" t="str">
        <f>"349.92"</f>
        <v>349.92</v>
      </c>
      <c r="F847" s="8"/>
      <c r="G847" s="3">
        <v>466.54</v>
      </c>
      <c r="H847" s="10"/>
      <c r="I847" s="8">
        <v>3</v>
      </c>
      <c r="J847" s="10">
        <v>2017</v>
      </c>
      <c r="K847" s="5" t="str">
        <f>"349.92"</f>
        <v>349.92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 t="str">
        <f>"359.00"</f>
        <v>359.00</v>
      </c>
      <c r="W847" s="5" t="str">
        <f>"574.08"</f>
        <v>574.08</v>
      </c>
      <c r="X847" s="5"/>
      <c r="Y847" s="5"/>
      <c r="Z847" s="5"/>
      <c r="AA847" s="5"/>
      <c r="AB847" s="5"/>
      <c r="AC847" s="5"/>
      <c r="AD847" s="5"/>
    </row>
    <row r="848" spans="1:30" ht="13.5" customHeight="1">
      <c r="A848" s="8">
        <v>846</v>
      </c>
      <c r="B848" s="8">
        <v>11404</v>
      </c>
      <c r="C848" s="9" t="s">
        <v>985</v>
      </c>
      <c r="D848" s="8" t="s">
        <v>363</v>
      </c>
      <c r="E848" s="8" t="str">
        <f>"466.96"</f>
        <v>466.96</v>
      </c>
      <c r="F848" s="8"/>
      <c r="G848" s="3">
        <v>466.96</v>
      </c>
      <c r="H848" s="10" t="s">
        <v>12</v>
      </c>
      <c r="I848" s="8">
        <v>4</v>
      </c>
      <c r="J848" s="10">
        <v>2017</v>
      </c>
      <c r="K848" s="5"/>
      <c r="L848" s="5"/>
      <c r="M848" s="5"/>
      <c r="N848" s="5"/>
      <c r="O848" s="5"/>
      <c r="P848" s="5" t="str">
        <f>"438.96"</f>
        <v>438.96</v>
      </c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</row>
    <row r="849" spans="1:30" ht="13.5" customHeight="1">
      <c r="A849" s="8">
        <v>847</v>
      </c>
      <c r="B849" s="8">
        <v>1489</v>
      </c>
      <c r="C849" s="9" t="s">
        <v>975</v>
      </c>
      <c r="D849" s="8" t="s">
        <v>335</v>
      </c>
      <c r="E849" s="8" t="str">
        <f>"440.77"</f>
        <v>440.77</v>
      </c>
      <c r="F849" s="8"/>
      <c r="G849" s="3">
        <v>468.77</v>
      </c>
      <c r="H849" s="10" t="s">
        <v>18</v>
      </c>
      <c r="I849" s="8">
        <v>1</v>
      </c>
      <c r="J849" s="10">
        <v>2017</v>
      </c>
      <c r="K849" s="5" t="str">
        <f>"440.77"</f>
        <v>440.77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</row>
    <row r="850" spans="1:30" ht="13.5" customHeight="1">
      <c r="A850" s="8">
        <v>848</v>
      </c>
      <c r="B850" s="8">
        <v>10230</v>
      </c>
      <c r="C850" s="9" t="s">
        <v>655</v>
      </c>
      <c r="D850" s="8" t="s">
        <v>363</v>
      </c>
      <c r="E850" s="8" t="str">
        <f>"441.60"</f>
        <v>441.60</v>
      </c>
      <c r="F850" s="8"/>
      <c r="G850" s="3">
        <v>469.6</v>
      </c>
      <c r="H850" s="10" t="s">
        <v>18</v>
      </c>
      <c r="I850" s="8">
        <v>1</v>
      </c>
      <c r="J850" s="10">
        <v>2017</v>
      </c>
      <c r="K850" s="5" t="str">
        <f>"441.60"</f>
        <v>441.60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</row>
    <row r="851" spans="1:30" ht="13.5" customHeight="1">
      <c r="A851" s="8">
        <v>849</v>
      </c>
      <c r="B851" s="8">
        <v>10535</v>
      </c>
      <c r="C851" s="9" t="s">
        <v>1056</v>
      </c>
      <c r="D851" s="8" t="s">
        <v>16</v>
      </c>
      <c r="E851" s="8" t="str">
        <f>"443.09"</f>
        <v>443.09</v>
      </c>
      <c r="F851" s="8"/>
      <c r="G851" s="3">
        <v>471.09</v>
      </c>
      <c r="H851" s="10" t="s">
        <v>18</v>
      </c>
      <c r="I851" s="8">
        <v>1</v>
      </c>
      <c r="J851" s="10">
        <v>2017</v>
      </c>
      <c r="K851" s="5" t="str">
        <f>"443.09"</f>
        <v>443.09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</row>
    <row r="852" spans="1:30" ht="13.5" customHeight="1">
      <c r="A852" s="8">
        <v>850</v>
      </c>
      <c r="B852" s="8">
        <v>10811</v>
      </c>
      <c r="C852" s="9" t="s">
        <v>755</v>
      </c>
      <c r="D852" s="8" t="s">
        <v>29</v>
      </c>
      <c r="E852" s="8" t="str">
        <f>"508.24"</f>
        <v>508.24</v>
      </c>
      <c r="F852" s="8"/>
      <c r="G852" s="3">
        <v>471.16</v>
      </c>
      <c r="H852" s="10" t="s">
        <v>12</v>
      </c>
      <c r="I852" s="8">
        <v>2</v>
      </c>
      <c r="J852" s="10">
        <v>2017</v>
      </c>
      <c r="K852" s="5" t="str">
        <f>"573.32"</f>
        <v>573.32</v>
      </c>
      <c r="L852" s="5"/>
      <c r="M852" s="5"/>
      <c r="N852" s="5"/>
      <c r="O852" s="5"/>
      <c r="P852" s="5"/>
      <c r="Q852" s="5"/>
      <c r="R852" s="5"/>
      <c r="S852" s="5"/>
      <c r="T852" s="5"/>
      <c r="U852" s="5" t="str">
        <f>"443.16"</f>
        <v>443.16</v>
      </c>
      <c r="V852" s="5"/>
      <c r="W852" s="5"/>
      <c r="X852" s="5"/>
      <c r="Y852" s="5"/>
      <c r="Z852" s="5"/>
      <c r="AA852" s="5"/>
      <c r="AB852" s="5"/>
      <c r="AC852" s="5"/>
      <c r="AD852" s="5"/>
    </row>
    <row r="853" spans="1:30" ht="13.5" customHeight="1">
      <c r="A853" s="8">
        <v>851</v>
      </c>
      <c r="B853" s="8">
        <v>2845</v>
      </c>
      <c r="C853" s="9" t="s">
        <v>96</v>
      </c>
      <c r="D853" s="8" t="s">
        <v>62</v>
      </c>
      <c r="E853" s="8" t="str">
        <f>"207.49"</f>
        <v>207.49</v>
      </c>
      <c r="F853" s="8"/>
      <c r="G853" s="3">
        <v>471.96</v>
      </c>
      <c r="H853" s="10" t="s">
        <v>12</v>
      </c>
      <c r="I853" s="8">
        <v>2</v>
      </c>
      <c r="J853" s="10">
        <v>2017</v>
      </c>
      <c r="K853" s="5" t="str">
        <f>"207.49"</f>
        <v>207.49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 t="str">
        <f>"443.96"</f>
        <v>443.96</v>
      </c>
      <c r="AB853" s="5"/>
      <c r="AC853" s="5"/>
      <c r="AD853" s="5"/>
    </row>
    <row r="854" spans="1:30" ht="13.5" customHeight="1">
      <c r="A854" s="8">
        <v>852</v>
      </c>
      <c r="B854" s="8">
        <v>10891</v>
      </c>
      <c r="C854" s="9" t="s">
        <v>727</v>
      </c>
      <c r="D854" s="8" t="s">
        <v>16</v>
      </c>
      <c r="E854" s="8" t="str">
        <f>"473.66"</f>
        <v>473.66</v>
      </c>
      <c r="F854" s="8"/>
      <c r="G854" s="3">
        <v>473.66</v>
      </c>
      <c r="H854" s="10" t="s">
        <v>12</v>
      </c>
      <c r="I854" s="8">
        <v>4</v>
      </c>
      <c r="J854" s="10">
        <v>2017</v>
      </c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 t="str">
        <f>"445.66"</f>
        <v>445.66</v>
      </c>
      <c r="W854" s="5"/>
      <c r="X854" s="5"/>
      <c r="Y854" s="5"/>
      <c r="Z854" s="5"/>
      <c r="AA854" s="5"/>
      <c r="AB854" s="5"/>
      <c r="AC854" s="5"/>
      <c r="AD854" s="5"/>
    </row>
    <row r="855" spans="1:30" ht="13.5" customHeight="1">
      <c r="A855" s="8">
        <v>853</v>
      </c>
      <c r="B855" s="8">
        <v>11258</v>
      </c>
      <c r="C855" s="9" t="s">
        <v>1025</v>
      </c>
      <c r="D855" s="8" t="s">
        <v>16</v>
      </c>
      <c r="E855" s="8" t="str">
        <f>"474.14"</f>
        <v>474.14</v>
      </c>
      <c r="F855" s="8"/>
      <c r="G855" s="3">
        <v>474.14</v>
      </c>
      <c r="H855" s="10"/>
      <c r="I855" s="8">
        <v>5</v>
      </c>
      <c r="J855" s="10">
        <v>2017</v>
      </c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 t="str">
        <f>"489.38"</f>
        <v>489.38</v>
      </c>
      <c r="W855" s="5"/>
      <c r="X855" s="5"/>
      <c r="Y855" s="5"/>
      <c r="Z855" s="5"/>
      <c r="AA855" s="5"/>
      <c r="AB855" s="5"/>
      <c r="AC855" s="5" t="str">
        <f>"458.89"</f>
        <v>458.89</v>
      </c>
      <c r="AD855" s="5"/>
    </row>
    <row r="856" spans="1:30" ht="13.5" customHeight="1">
      <c r="A856" s="8">
        <v>854</v>
      </c>
      <c r="B856" s="8">
        <v>10402</v>
      </c>
      <c r="C856" s="9" t="s">
        <v>973</v>
      </c>
      <c r="D856" s="8" t="s">
        <v>16</v>
      </c>
      <c r="E856" s="8" t="str">
        <f>"474.40"</f>
        <v>474.40</v>
      </c>
      <c r="F856" s="8"/>
      <c r="G856" s="3">
        <v>474.4</v>
      </c>
      <c r="H856" s="10"/>
      <c r="I856" s="8">
        <v>3</v>
      </c>
      <c r="J856" s="10">
        <v>2017</v>
      </c>
      <c r="K856" s="5" t="str">
        <f>"622.95"</f>
        <v>622.95</v>
      </c>
      <c r="L856" s="5" t="str">
        <f>"574.60"</f>
        <v>574.60</v>
      </c>
      <c r="M856" s="5" t="str">
        <f>"567.80"</f>
        <v>567.80</v>
      </c>
      <c r="N856" s="5"/>
      <c r="O856" s="5"/>
      <c r="P856" s="5"/>
      <c r="Q856" s="5"/>
      <c r="R856" s="5"/>
      <c r="S856" s="5"/>
      <c r="T856" s="5"/>
      <c r="U856" s="5"/>
      <c r="V856" s="5" t="str">
        <f>"380.99"</f>
        <v>380.99</v>
      </c>
      <c r="W856" s="5"/>
      <c r="X856" s="5"/>
      <c r="Y856" s="5"/>
      <c r="Z856" s="5"/>
      <c r="AA856" s="5"/>
      <c r="AB856" s="5"/>
      <c r="AC856" s="5"/>
      <c r="AD856" s="5"/>
    </row>
    <row r="857" spans="1:30" ht="13.5" customHeight="1">
      <c r="A857" s="8">
        <v>855</v>
      </c>
      <c r="B857" s="8">
        <v>11063</v>
      </c>
      <c r="C857" s="9" t="s">
        <v>932</v>
      </c>
      <c r="D857" s="8" t="s">
        <v>363</v>
      </c>
      <c r="E857" s="8" t="str">
        <f>"474.63"</f>
        <v>474.63</v>
      </c>
      <c r="F857" s="8"/>
      <c r="G857" s="3">
        <v>474.63</v>
      </c>
      <c r="H857" s="10" t="s">
        <v>12</v>
      </c>
      <c r="I857" s="8">
        <v>4</v>
      </c>
      <c r="J857" s="10">
        <v>2017</v>
      </c>
      <c r="K857" s="5"/>
      <c r="L857" s="5"/>
      <c r="M857" s="5"/>
      <c r="N857" s="5"/>
      <c r="O857" s="5"/>
      <c r="P857" s="5" t="str">
        <f>"446.63"</f>
        <v>446.63</v>
      </c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</row>
    <row r="858" spans="1:30" ht="13.5" customHeight="1">
      <c r="A858" s="8">
        <v>856</v>
      </c>
      <c r="B858" s="8">
        <v>11328</v>
      </c>
      <c r="C858" s="9" t="s">
        <v>984</v>
      </c>
      <c r="D858" s="8" t="s">
        <v>363</v>
      </c>
      <c r="E858" s="8" t="str">
        <f>"475.77"</f>
        <v>475.77</v>
      </c>
      <c r="F858" s="8"/>
      <c r="G858" s="3">
        <v>475.77</v>
      </c>
      <c r="H858" s="10" t="s">
        <v>12</v>
      </c>
      <c r="I858" s="8">
        <v>4</v>
      </c>
      <c r="J858" s="10">
        <v>2017</v>
      </c>
      <c r="K858" s="5"/>
      <c r="L858" s="5"/>
      <c r="M858" s="5"/>
      <c r="N858" s="5"/>
      <c r="O858" s="5"/>
      <c r="P858" s="5" t="str">
        <f>"447.77"</f>
        <v>447.77</v>
      </c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</row>
    <row r="859" spans="1:30" ht="13.5" customHeight="1">
      <c r="A859" s="8">
        <v>857</v>
      </c>
      <c r="B859" s="8">
        <v>10445</v>
      </c>
      <c r="C859" s="9" t="s">
        <v>432</v>
      </c>
      <c r="D859" s="8" t="s">
        <v>16</v>
      </c>
      <c r="E859" s="8" t="str">
        <f>"403.23"</f>
        <v>403.23</v>
      </c>
      <c r="F859" s="8"/>
      <c r="G859" s="3">
        <v>478.63</v>
      </c>
      <c r="H859" s="10"/>
      <c r="I859" s="8">
        <v>3</v>
      </c>
      <c r="J859" s="10">
        <v>2017</v>
      </c>
      <c r="K859" s="5" t="str">
        <f>"459.47"</f>
        <v>459.47</v>
      </c>
      <c r="L859" s="5"/>
      <c r="M859" s="5"/>
      <c r="N859" s="5"/>
      <c r="O859" s="5"/>
      <c r="P859" s="5"/>
      <c r="Q859" s="5"/>
      <c r="R859" s="5" t="str">
        <f>"346.99"</f>
        <v>346.99</v>
      </c>
      <c r="S859" s="5"/>
      <c r="T859" s="5"/>
      <c r="U859" s="5" t="str">
        <f>"610.26"</f>
        <v>610.26</v>
      </c>
      <c r="V859" s="5"/>
      <c r="W859" s="5"/>
      <c r="X859" s="5"/>
      <c r="Y859" s="5"/>
      <c r="Z859" s="5"/>
      <c r="AA859" s="5"/>
      <c r="AB859" s="5"/>
      <c r="AC859" s="5"/>
      <c r="AD859" s="5"/>
    </row>
    <row r="860" spans="1:30" ht="13.5" customHeight="1">
      <c r="A860" s="8">
        <v>858</v>
      </c>
      <c r="B860" s="8">
        <v>11120</v>
      </c>
      <c r="C860" s="9" t="s">
        <v>934</v>
      </c>
      <c r="D860" s="8" t="s">
        <v>241</v>
      </c>
      <c r="E860" s="8" t="str">
        <f>"478.70"</f>
        <v>478.70</v>
      </c>
      <c r="F860" s="8"/>
      <c r="G860" s="3">
        <v>478.7</v>
      </c>
      <c r="H860" s="10" t="s">
        <v>12</v>
      </c>
      <c r="I860" s="8">
        <v>4</v>
      </c>
      <c r="J860" s="10">
        <v>2017</v>
      </c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 t="str">
        <f>"450.70"</f>
        <v>450.70</v>
      </c>
      <c r="Y860" s="5"/>
      <c r="Z860" s="5"/>
      <c r="AA860" s="5"/>
      <c r="AB860" s="5"/>
      <c r="AC860" s="5"/>
      <c r="AD860" s="5"/>
    </row>
    <row r="861" spans="1:30" ht="13.5" customHeight="1">
      <c r="A861" s="8">
        <v>859</v>
      </c>
      <c r="B861" s="8">
        <v>11426</v>
      </c>
      <c r="C861" s="9" t="s">
        <v>997</v>
      </c>
      <c r="D861" s="8" t="s">
        <v>16</v>
      </c>
      <c r="E861" s="8" t="str">
        <f>"479.48"</f>
        <v>479.48</v>
      </c>
      <c r="F861" s="8"/>
      <c r="G861" s="3">
        <v>479.48</v>
      </c>
      <c r="H861" s="10" t="s">
        <v>12</v>
      </c>
      <c r="I861" s="8">
        <v>4</v>
      </c>
      <c r="J861" s="10">
        <v>2017</v>
      </c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 t="str">
        <f>"451.48"</f>
        <v>451.48</v>
      </c>
      <c r="AD861" s="5"/>
    </row>
    <row r="862" spans="1:30" ht="13.5" customHeight="1">
      <c r="A862" s="8">
        <v>860</v>
      </c>
      <c r="B862" s="8">
        <v>8354</v>
      </c>
      <c r="C862" s="9" t="s">
        <v>1039</v>
      </c>
      <c r="D862" s="8" t="s">
        <v>58</v>
      </c>
      <c r="E862" s="8" t="str">
        <f>"455.06"</f>
        <v>455.06</v>
      </c>
      <c r="F862" s="8"/>
      <c r="G862" s="3">
        <v>483.06</v>
      </c>
      <c r="H862" s="10" t="s">
        <v>18</v>
      </c>
      <c r="I862" s="8">
        <v>1</v>
      </c>
      <c r="J862" s="10">
        <v>2017</v>
      </c>
      <c r="K862" s="5" t="str">
        <f>"455.06"</f>
        <v>455.06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</row>
    <row r="863" spans="1:30" ht="13.5" customHeight="1">
      <c r="A863" s="8">
        <v>861</v>
      </c>
      <c r="B863" s="8">
        <v>4892</v>
      </c>
      <c r="C863" s="9" t="s">
        <v>901</v>
      </c>
      <c r="D863" s="8" t="s">
        <v>46</v>
      </c>
      <c r="E863" s="8" t="str">
        <f>"456.24"</f>
        <v>456.24</v>
      </c>
      <c r="F863" s="8"/>
      <c r="G863" s="3">
        <v>484.24</v>
      </c>
      <c r="H863" s="10" t="s">
        <v>18</v>
      </c>
      <c r="I863" s="8">
        <v>1</v>
      </c>
      <c r="J863" s="10">
        <v>2017</v>
      </c>
      <c r="K863" s="5" t="str">
        <f>"456.24"</f>
        <v>456.24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</row>
    <row r="864" spans="1:30" ht="13.5" customHeight="1">
      <c r="A864" s="8">
        <v>862</v>
      </c>
      <c r="B864" s="8">
        <v>10779</v>
      </c>
      <c r="C864" s="9" t="s">
        <v>980</v>
      </c>
      <c r="D864" s="8" t="s">
        <v>29</v>
      </c>
      <c r="E864" s="8" t="str">
        <f>"484.71"</f>
        <v>484.71</v>
      </c>
      <c r="F864" s="8"/>
      <c r="G864" s="3">
        <v>484.71</v>
      </c>
      <c r="H864" s="10"/>
      <c r="I864" s="8">
        <v>5</v>
      </c>
      <c r="J864" s="10">
        <v>2017</v>
      </c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 t="str">
        <f>"1215.78"</f>
        <v>1215.78</v>
      </c>
      <c r="V864" s="5"/>
      <c r="W864" s="5"/>
      <c r="X864" s="5"/>
      <c r="Y864" s="5"/>
      <c r="Z864" s="5"/>
      <c r="AA864" s="5"/>
      <c r="AB864" s="5" t="str">
        <f>"446.94"</f>
        <v>446.94</v>
      </c>
      <c r="AC864" s="5" t="str">
        <f>"522.48"</f>
        <v>522.48</v>
      </c>
      <c r="AD864" s="5"/>
    </row>
    <row r="865" spans="1:30" ht="13.5" customHeight="1">
      <c r="A865" s="8">
        <v>863</v>
      </c>
      <c r="B865" s="8">
        <v>5766</v>
      </c>
      <c r="C865" s="9" t="s">
        <v>1115</v>
      </c>
      <c r="D865" s="8" t="s">
        <v>55</v>
      </c>
      <c r="E865" s="8" t="str">
        <f>"456.89"</f>
        <v>456.89</v>
      </c>
      <c r="F865" s="8"/>
      <c r="G865" s="3">
        <v>484.89</v>
      </c>
      <c r="H865" s="10" t="s">
        <v>18</v>
      </c>
      <c r="I865" s="8">
        <v>1</v>
      </c>
      <c r="J865" s="10">
        <v>2018</v>
      </c>
      <c r="K865" s="5" t="str">
        <f>"456.89"</f>
        <v>456.89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</row>
    <row r="866" spans="1:30" ht="13.5" customHeight="1">
      <c r="A866" s="8">
        <v>864</v>
      </c>
      <c r="B866" s="8">
        <v>127</v>
      </c>
      <c r="C866" s="9" t="s">
        <v>505</v>
      </c>
      <c r="D866" s="8" t="s">
        <v>211</v>
      </c>
      <c r="E866" s="8" t="str">
        <f>"458.24"</f>
        <v>458.24</v>
      </c>
      <c r="F866" s="8"/>
      <c r="G866" s="3">
        <v>486.24</v>
      </c>
      <c r="H866" s="10" t="s">
        <v>18</v>
      </c>
      <c r="I866" s="8">
        <v>1</v>
      </c>
      <c r="J866" s="10">
        <v>2017</v>
      </c>
      <c r="K866" s="5" t="str">
        <f>"458.24"</f>
        <v>458.24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</row>
    <row r="867" spans="1:30" ht="13.5" customHeight="1">
      <c r="A867" s="8">
        <v>865</v>
      </c>
      <c r="B867" s="8">
        <v>10441</v>
      </c>
      <c r="C867" s="9" t="s">
        <v>572</v>
      </c>
      <c r="D867" s="8" t="s">
        <v>29</v>
      </c>
      <c r="E867" s="8" t="str">
        <f>"334.35"</f>
        <v>334.35</v>
      </c>
      <c r="F867" s="8"/>
      <c r="G867" s="3">
        <v>487.13</v>
      </c>
      <c r="H867" s="10"/>
      <c r="I867" s="8">
        <v>3</v>
      </c>
      <c r="J867" s="10">
        <v>2017</v>
      </c>
      <c r="K867" s="5" t="str">
        <f>"335.62"</f>
        <v>335.62</v>
      </c>
      <c r="L867" s="5"/>
      <c r="M867" s="5"/>
      <c r="N867" s="5"/>
      <c r="O867" s="5"/>
      <c r="P867" s="5"/>
      <c r="Q867" s="5"/>
      <c r="R867" s="5"/>
      <c r="S867" s="5"/>
      <c r="T867" s="5"/>
      <c r="U867" s="5" t="str">
        <f>"641.18"</f>
        <v>641.18</v>
      </c>
      <c r="V867" s="5"/>
      <c r="W867" s="5"/>
      <c r="X867" s="5"/>
      <c r="Y867" s="5"/>
      <c r="Z867" s="5"/>
      <c r="AA867" s="5"/>
      <c r="AB867" s="5"/>
      <c r="AC867" s="5" t="str">
        <f>"333.08"</f>
        <v>333.08</v>
      </c>
      <c r="AD867" s="5"/>
    </row>
    <row r="868" spans="1:30" ht="13.5" customHeight="1">
      <c r="A868" s="8">
        <v>866</v>
      </c>
      <c r="B868" s="8">
        <v>11291</v>
      </c>
      <c r="C868" s="9" t="s">
        <v>950</v>
      </c>
      <c r="D868" s="8" t="s">
        <v>16</v>
      </c>
      <c r="E868" s="8" t="str">
        <f>"489.69"</f>
        <v>489.69</v>
      </c>
      <c r="F868" s="8"/>
      <c r="G868" s="3">
        <v>489.69</v>
      </c>
      <c r="H868" s="10"/>
      <c r="I868" s="8">
        <v>5</v>
      </c>
      <c r="J868" s="10">
        <v>2017</v>
      </c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 t="str">
        <f>"519.84"</f>
        <v>519.84</v>
      </c>
      <c r="W868" s="5"/>
      <c r="X868" s="5"/>
      <c r="Y868" s="5"/>
      <c r="Z868" s="5"/>
      <c r="AA868" s="5"/>
      <c r="AB868" s="5"/>
      <c r="AC868" s="5" t="str">
        <f>"459.53"</f>
        <v>459.53</v>
      </c>
      <c r="AD868" s="5"/>
    </row>
    <row r="869" spans="1:30" ht="13.5" customHeight="1">
      <c r="A869" s="8">
        <v>867</v>
      </c>
      <c r="B869" s="8">
        <v>11242</v>
      </c>
      <c r="C869" s="9" t="s">
        <v>935</v>
      </c>
      <c r="D869" s="8" t="s">
        <v>16</v>
      </c>
      <c r="E869" s="8" t="str">
        <f>"489.73"</f>
        <v>489.73</v>
      </c>
      <c r="F869" s="8"/>
      <c r="G869" s="3">
        <v>489.73</v>
      </c>
      <c r="H869" s="10"/>
      <c r="I869" s="8">
        <v>5</v>
      </c>
      <c r="J869" s="10">
        <v>2017</v>
      </c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 t="str">
        <f>"589.92"</f>
        <v>589.92</v>
      </c>
      <c r="W869" s="5"/>
      <c r="X869" s="5"/>
      <c r="Y869" s="5"/>
      <c r="Z869" s="5"/>
      <c r="AA869" s="5"/>
      <c r="AB869" s="5"/>
      <c r="AC869" s="5" t="str">
        <f>"389.54"</f>
        <v>389.54</v>
      </c>
      <c r="AD869" s="5"/>
    </row>
    <row r="870" spans="1:30" ht="13.5" customHeight="1">
      <c r="A870" s="8">
        <v>868</v>
      </c>
      <c r="B870" s="8">
        <v>10845</v>
      </c>
      <c r="C870" s="9" t="s">
        <v>1053</v>
      </c>
      <c r="D870" s="8" t="s">
        <v>16</v>
      </c>
      <c r="E870" s="8" t="str">
        <f>"461.88"</f>
        <v>461.88</v>
      </c>
      <c r="F870" s="8"/>
      <c r="G870" s="3">
        <v>489.88</v>
      </c>
      <c r="H870" s="10" t="s">
        <v>18</v>
      </c>
      <c r="I870" s="8">
        <v>1</v>
      </c>
      <c r="J870" s="10">
        <v>2017</v>
      </c>
      <c r="K870" s="5" t="str">
        <f>"461.88"</f>
        <v>461.88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</row>
    <row r="871" spans="1:30" ht="13.5" customHeight="1">
      <c r="A871" s="8">
        <v>869</v>
      </c>
      <c r="B871" s="8">
        <v>10389</v>
      </c>
      <c r="C871" s="9" t="s">
        <v>736</v>
      </c>
      <c r="D871" s="8" t="s">
        <v>29</v>
      </c>
      <c r="E871" s="8" t="str">
        <f>"490.54"</f>
        <v>490.54</v>
      </c>
      <c r="F871" s="8"/>
      <c r="G871" s="3">
        <v>490.54</v>
      </c>
      <c r="H871" s="10"/>
      <c r="I871" s="8">
        <v>3</v>
      </c>
      <c r="J871" s="10">
        <v>2017</v>
      </c>
      <c r="K871" s="5" t="str">
        <f>"780.68"</f>
        <v>780.68</v>
      </c>
      <c r="L871" s="5"/>
      <c r="M871" s="5"/>
      <c r="N871" s="5"/>
      <c r="O871" s="5"/>
      <c r="P871" s="5"/>
      <c r="Q871" s="5"/>
      <c r="R871" s="5"/>
      <c r="S871" s="5"/>
      <c r="T871" s="5"/>
      <c r="U871" s="5" t="str">
        <f>"737.48"</f>
        <v>737.48</v>
      </c>
      <c r="V871" s="5"/>
      <c r="W871" s="5"/>
      <c r="X871" s="5"/>
      <c r="Y871" s="5"/>
      <c r="Z871" s="5"/>
      <c r="AA871" s="5"/>
      <c r="AB871" s="5" t="str">
        <f>"243.59"</f>
        <v>243.59</v>
      </c>
      <c r="AC871" s="5"/>
      <c r="AD871" s="5"/>
    </row>
    <row r="872" spans="1:30" ht="13.5" customHeight="1">
      <c r="A872" s="8">
        <v>870</v>
      </c>
      <c r="B872" s="8">
        <v>11106</v>
      </c>
      <c r="C872" s="9" t="s">
        <v>1168</v>
      </c>
      <c r="D872" s="8" t="s">
        <v>16</v>
      </c>
      <c r="E872" s="8" t="str">
        <f>"490.95"</f>
        <v>490.95</v>
      </c>
      <c r="F872" s="8"/>
      <c r="G872" s="3">
        <v>490.95</v>
      </c>
      <c r="H872" s="10"/>
      <c r="I872" s="8">
        <v>5</v>
      </c>
      <c r="J872" s="10">
        <v>2017</v>
      </c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 t="str">
        <f>"490.52"</f>
        <v>490.52</v>
      </c>
      <c r="W872" s="5"/>
      <c r="X872" s="5"/>
      <c r="Y872" s="5"/>
      <c r="Z872" s="5"/>
      <c r="AA872" s="5"/>
      <c r="AB872" s="5"/>
      <c r="AC872" s="5" t="str">
        <f>"491.37"</f>
        <v>491.37</v>
      </c>
      <c r="AD872" s="5"/>
    </row>
    <row r="873" spans="1:30" ht="13.5" customHeight="1">
      <c r="A873" s="8">
        <v>871</v>
      </c>
      <c r="B873" s="8">
        <v>11062</v>
      </c>
      <c r="C873" s="9" t="s">
        <v>896</v>
      </c>
      <c r="D873" s="8" t="s">
        <v>363</v>
      </c>
      <c r="E873" s="8" t="str">
        <f>"504.03"</f>
        <v>504.03</v>
      </c>
      <c r="F873" s="8"/>
      <c r="G873" s="3">
        <v>493.1</v>
      </c>
      <c r="H873" s="10" t="s">
        <v>12</v>
      </c>
      <c r="I873" s="8">
        <v>2</v>
      </c>
      <c r="J873" s="10">
        <v>2017</v>
      </c>
      <c r="K873" s="5" t="str">
        <f>"542.96"</f>
        <v>542.96</v>
      </c>
      <c r="L873" s="5"/>
      <c r="M873" s="5"/>
      <c r="N873" s="5"/>
      <c r="O873" s="5"/>
      <c r="P873" s="5" t="str">
        <f>"465.10"</f>
        <v>465.10</v>
      </c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</row>
    <row r="874" spans="1:30" ht="13.5" customHeight="1">
      <c r="A874" s="8">
        <v>872</v>
      </c>
      <c r="B874" s="8">
        <v>10193</v>
      </c>
      <c r="C874" s="9" t="s">
        <v>912</v>
      </c>
      <c r="D874" s="8" t="s">
        <v>16</v>
      </c>
      <c r="E874" s="8" t="str">
        <f>"477.62"</f>
        <v>477.62</v>
      </c>
      <c r="F874" s="8"/>
      <c r="G874" s="3">
        <v>494.14</v>
      </c>
      <c r="H874" s="10" t="s">
        <v>12</v>
      </c>
      <c r="I874" s="8">
        <v>2</v>
      </c>
      <c r="J874" s="10">
        <v>2017</v>
      </c>
      <c r="K874" s="5" t="str">
        <f>"489.09"</f>
        <v>489.09</v>
      </c>
      <c r="L874" s="5" t="str">
        <f>"466.14"</f>
        <v>466.14</v>
      </c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</row>
    <row r="875" spans="1:30" ht="13.5" customHeight="1">
      <c r="A875" s="8">
        <v>873</v>
      </c>
      <c r="B875" s="8">
        <v>11297</v>
      </c>
      <c r="C875" s="9" t="s">
        <v>1070</v>
      </c>
      <c r="D875" s="8" t="s">
        <v>16</v>
      </c>
      <c r="E875" s="8" t="str">
        <f>"494.49"</f>
        <v>494.49</v>
      </c>
      <c r="F875" s="8"/>
      <c r="G875" s="3">
        <v>494.49</v>
      </c>
      <c r="H875" s="10" t="s">
        <v>12</v>
      </c>
      <c r="I875" s="8">
        <v>4</v>
      </c>
      <c r="J875" s="10">
        <v>2017</v>
      </c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 t="str">
        <f>"466.49"</f>
        <v>466.49</v>
      </c>
      <c r="AD875" s="5"/>
    </row>
    <row r="876" spans="1:30" ht="13.5" customHeight="1">
      <c r="A876" s="8">
        <v>874</v>
      </c>
      <c r="B876" s="8">
        <v>11237</v>
      </c>
      <c r="C876" s="9" t="s">
        <v>903</v>
      </c>
      <c r="D876" s="8" t="s">
        <v>16</v>
      </c>
      <c r="E876" s="8" t="str">
        <f>"497.24"</f>
        <v>497.24</v>
      </c>
      <c r="F876" s="8"/>
      <c r="G876" s="3">
        <v>497.24</v>
      </c>
      <c r="H876" s="10"/>
      <c r="I876" s="8">
        <v>5</v>
      </c>
      <c r="J876" s="10">
        <v>2017</v>
      </c>
      <c r="K876" s="5"/>
      <c r="L876" s="5" t="str">
        <f>"653.58"</f>
        <v>653.58</v>
      </c>
      <c r="M876" s="5"/>
      <c r="N876" s="5"/>
      <c r="O876" s="5"/>
      <c r="P876" s="5"/>
      <c r="Q876" s="5"/>
      <c r="R876" s="5"/>
      <c r="S876" s="5"/>
      <c r="T876" s="5"/>
      <c r="U876" s="5"/>
      <c r="V876" s="5" t="str">
        <f>"425.33"</f>
        <v>425.33</v>
      </c>
      <c r="W876" s="5"/>
      <c r="X876" s="5"/>
      <c r="Y876" s="5"/>
      <c r="Z876" s="5"/>
      <c r="AA876" s="5"/>
      <c r="AB876" s="5"/>
      <c r="AC876" s="5" t="str">
        <f>"569.15"</f>
        <v>569.15</v>
      </c>
      <c r="AD876" s="5"/>
    </row>
    <row r="877" spans="1:30" ht="13.5" customHeight="1">
      <c r="A877" s="8">
        <v>875</v>
      </c>
      <c r="B877" s="8">
        <v>2168</v>
      </c>
      <c r="C877" s="9" t="s">
        <v>1052</v>
      </c>
      <c r="D877" s="8" t="s">
        <v>16</v>
      </c>
      <c r="E877" s="8" t="str">
        <f>"469.50"</f>
        <v>469.50</v>
      </c>
      <c r="F877" s="8"/>
      <c r="G877" s="3">
        <v>497.5</v>
      </c>
      <c r="H877" s="10" t="s">
        <v>18</v>
      </c>
      <c r="I877" s="8">
        <v>1</v>
      </c>
      <c r="J877" s="10">
        <v>2017</v>
      </c>
      <c r="K877" s="5" t="str">
        <f>"469.50"</f>
        <v>469.50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</row>
    <row r="878" spans="1:30" ht="13.5" customHeight="1">
      <c r="A878" s="8">
        <v>876</v>
      </c>
      <c r="B878" s="8">
        <v>11422</v>
      </c>
      <c r="C878" s="9" t="s">
        <v>1076</v>
      </c>
      <c r="D878" s="8" t="s">
        <v>29</v>
      </c>
      <c r="E878" s="8" t="str">
        <f>"497.68"</f>
        <v>497.68</v>
      </c>
      <c r="F878" s="8"/>
      <c r="G878" s="3">
        <v>497.68</v>
      </c>
      <c r="H878" s="10" t="s">
        <v>12</v>
      </c>
      <c r="I878" s="8">
        <v>4</v>
      </c>
      <c r="J878" s="10">
        <v>2017</v>
      </c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 t="str">
        <f>"469.68"</f>
        <v>469.68</v>
      </c>
      <c r="AC878" s="5"/>
      <c r="AD878" s="5"/>
    </row>
    <row r="879" spans="1:30" ht="13.5" customHeight="1">
      <c r="A879" s="8">
        <v>877</v>
      </c>
      <c r="B879" s="8">
        <v>10843</v>
      </c>
      <c r="C879" s="9" t="s">
        <v>930</v>
      </c>
      <c r="D879" s="8" t="s">
        <v>16</v>
      </c>
      <c r="E879" s="8" t="str">
        <f>"471.30"</f>
        <v>471.30</v>
      </c>
      <c r="F879" s="8"/>
      <c r="G879" s="3">
        <v>499.3</v>
      </c>
      <c r="H879" s="10" t="s">
        <v>18</v>
      </c>
      <c r="I879" s="8">
        <v>1</v>
      </c>
      <c r="J879" s="10">
        <v>2017</v>
      </c>
      <c r="K879" s="5" t="str">
        <f>"471.30"</f>
        <v>471.30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</row>
    <row r="880" spans="1:30" ht="13.5" customHeight="1">
      <c r="A880" s="8">
        <v>878</v>
      </c>
      <c r="B880" s="8">
        <v>11316</v>
      </c>
      <c r="C880" s="9" t="s">
        <v>1146</v>
      </c>
      <c r="D880" s="8" t="s">
        <v>16</v>
      </c>
      <c r="E880" s="8" t="str">
        <f>"499.33"</f>
        <v>499.33</v>
      </c>
      <c r="F880" s="8"/>
      <c r="G880" s="3">
        <v>499.33</v>
      </c>
      <c r="H880" s="10"/>
      <c r="I880" s="8">
        <v>5</v>
      </c>
      <c r="J880" s="10">
        <v>2017</v>
      </c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 t="str">
        <f>"531.71"</f>
        <v>531.71</v>
      </c>
      <c r="W880" s="5"/>
      <c r="X880" s="5"/>
      <c r="Y880" s="5"/>
      <c r="Z880" s="5"/>
      <c r="AA880" s="5"/>
      <c r="AB880" s="5"/>
      <c r="AC880" s="5" t="str">
        <f>"466.94"</f>
        <v>466.94</v>
      </c>
      <c r="AD880" s="5"/>
    </row>
    <row r="881" spans="1:30" ht="13.5" customHeight="1">
      <c r="A881" s="8">
        <v>879</v>
      </c>
      <c r="B881" s="8">
        <v>10728</v>
      </c>
      <c r="C881" s="9" t="s">
        <v>940</v>
      </c>
      <c r="D881" s="8" t="s">
        <v>29</v>
      </c>
      <c r="E881" s="8" t="str">
        <f>"499.90"</f>
        <v>499.90</v>
      </c>
      <c r="F881" s="8"/>
      <c r="G881" s="3">
        <v>499.9</v>
      </c>
      <c r="H881" s="10"/>
      <c r="I881" s="8">
        <v>3</v>
      </c>
      <c r="J881" s="10">
        <v>2017</v>
      </c>
      <c r="K881" s="5" t="str">
        <f>"846.09"</f>
        <v>846.09</v>
      </c>
      <c r="L881" s="5"/>
      <c r="M881" s="5"/>
      <c r="N881" s="5"/>
      <c r="O881" s="5"/>
      <c r="P881" s="5"/>
      <c r="Q881" s="5"/>
      <c r="R881" s="5"/>
      <c r="S881" s="5"/>
      <c r="T881" s="5"/>
      <c r="U881" s="5" t="str">
        <f>"725.68"</f>
        <v>725.68</v>
      </c>
      <c r="V881" s="5"/>
      <c r="W881" s="5"/>
      <c r="X881" s="5"/>
      <c r="Y881" s="5"/>
      <c r="Z881" s="5"/>
      <c r="AA881" s="5"/>
      <c r="AB881" s="5" t="str">
        <f>"274.11"</f>
        <v>274.11</v>
      </c>
      <c r="AC881" s="5"/>
      <c r="AD881" s="5"/>
    </row>
    <row r="882" spans="1:30" ht="13.5" customHeight="1">
      <c r="A882" s="8">
        <v>880</v>
      </c>
      <c r="B882" s="8">
        <v>10114</v>
      </c>
      <c r="C882" s="9" t="s">
        <v>951</v>
      </c>
      <c r="D882" s="8" t="s">
        <v>16</v>
      </c>
      <c r="E882" s="8" t="str">
        <f>"500.13"</f>
        <v>500.13</v>
      </c>
      <c r="F882" s="8"/>
      <c r="G882" s="3">
        <v>500.13</v>
      </c>
      <c r="H882" s="10"/>
      <c r="I882" s="8">
        <v>3</v>
      </c>
      <c r="J882" s="10">
        <v>2017</v>
      </c>
      <c r="K882" s="5" t="str">
        <f>"800.74"</f>
        <v>800.74</v>
      </c>
      <c r="L882" s="5" t="str">
        <f>"535.98"</f>
        <v>535.98</v>
      </c>
      <c r="M882" s="5" t="str">
        <f>"464.28"</f>
        <v>464.28</v>
      </c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</row>
    <row r="883" spans="1:30" ht="13.5" customHeight="1">
      <c r="A883" s="8">
        <v>881</v>
      </c>
      <c r="B883" s="8">
        <v>10201</v>
      </c>
      <c r="C883" s="9" t="s">
        <v>924</v>
      </c>
      <c r="D883" s="8" t="s">
        <v>16</v>
      </c>
      <c r="E883" s="8" t="str">
        <f>"501.62"</f>
        <v>501.62</v>
      </c>
      <c r="F883" s="8"/>
      <c r="G883" s="3">
        <v>501.62</v>
      </c>
      <c r="H883" s="10"/>
      <c r="I883" s="8">
        <v>3</v>
      </c>
      <c r="J883" s="10">
        <v>2017</v>
      </c>
      <c r="K883" s="5" t="str">
        <f>"794.76"</f>
        <v>794.76</v>
      </c>
      <c r="L883" s="5" t="str">
        <f>"447.77"</f>
        <v>447.77</v>
      </c>
      <c r="M883" s="5" t="str">
        <f>"555.46"</f>
        <v>555.46</v>
      </c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</row>
    <row r="884" spans="1:30" ht="13.5" customHeight="1">
      <c r="A884" s="8">
        <v>882</v>
      </c>
      <c r="B884" s="8">
        <v>10787</v>
      </c>
      <c r="C884" s="9" t="s">
        <v>787</v>
      </c>
      <c r="D884" s="8" t="s">
        <v>29</v>
      </c>
      <c r="E884" s="8" t="str">
        <f>"502.47"</f>
        <v>502.47</v>
      </c>
      <c r="F884" s="8"/>
      <c r="G884" s="3">
        <v>502.47</v>
      </c>
      <c r="H884" s="10"/>
      <c r="I884" s="8">
        <v>3</v>
      </c>
      <c r="J884" s="10">
        <v>2017</v>
      </c>
      <c r="K884" s="5" t="str">
        <f>"584.92"</f>
        <v>584.92</v>
      </c>
      <c r="L884" s="5"/>
      <c r="M884" s="5"/>
      <c r="N884" s="5"/>
      <c r="O884" s="5"/>
      <c r="P884" s="5"/>
      <c r="Q884" s="5"/>
      <c r="R884" s="5" t="str">
        <f>"444.42"</f>
        <v>444.42</v>
      </c>
      <c r="S884" s="5"/>
      <c r="T884" s="5"/>
      <c r="U884" s="5" t="str">
        <f>"560.52"</f>
        <v>560.52</v>
      </c>
      <c r="V884" s="5"/>
      <c r="W884" s="5"/>
      <c r="X884" s="5"/>
      <c r="Y884" s="5"/>
      <c r="Z884" s="5"/>
      <c r="AA884" s="5"/>
      <c r="AB884" s="5"/>
      <c r="AC884" s="5"/>
      <c r="AD884" s="5"/>
    </row>
    <row r="885" spans="1:30" ht="13.5" customHeight="1">
      <c r="A885" s="8">
        <v>883</v>
      </c>
      <c r="B885" s="8">
        <v>10229</v>
      </c>
      <c r="C885" s="9" t="s">
        <v>898</v>
      </c>
      <c r="D885" s="8" t="s">
        <v>363</v>
      </c>
      <c r="E885" s="8" t="str">
        <f>"475.29"</f>
        <v>475.29</v>
      </c>
      <c r="F885" s="8"/>
      <c r="G885" s="3">
        <v>503.29</v>
      </c>
      <c r="H885" s="10" t="s">
        <v>18</v>
      </c>
      <c r="I885" s="8">
        <v>1</v>
      </c>
      <c r="J885" s="10">
        <v>2017</v>
      </c>
      <c r="K885" s="5" t="str">
        <f>"475.29"</f>
        <v>475.29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</row>
    <row r="886" spans="1:30" ht="13.5" customHeight="1">
      <c r="A886" s="8">
        <v>884</v>
      </c>
      <c r="B886" s="8">
        <v>10495</v>
      </c>
      <c r="C886" s="9" t="s">
        <v>840</v>
      </c>
      <c r="D886" s="8" t="s">
        <v>16</v>
      </c>
      <c r="E886" s="8" t="str">
        <f>"476.96"</f>
        <v>476.96</v>
      </c>
      <c r="F886" s="8"/>
      <c r="G886" s="3">
        <v>504.96</v>
      </c>
      <c r="H886" s="10" t="s">
        <v>18</v>
      </c>
      <c r="I886" s="8">
        <v>1</v>
      </c>
      <c r="J886" s="10">
        <v>2017</v>
      </c>
      <c r="K886" s="5" t="str">
        <f>"476.96"</f>
        <v>476.96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</row>
    <row r="887" spans="1:30" ht="13.5" customHeight="1">
      <c r="A887" s="8">
        <v>885</v>
      </c>
      <c r="B887" s="8">
        <v>9975</v>
      </c>
      <c r="C887" s="9" t="s">
        <v>1214</v>
      </c>
      <c r="D887" s="8" t="s">
        <v>708</v>
      </c>
      <c r="E887" s="8" t="str">
        <f>"478.07"</f>
        <v>478.07</v>
      </c>
      <c r="F887" s="8"/>
      <c r="G887" s="3">
        <v>506.07</v>
      </c>
      <c r="H887" s="10" t="s">
        <v>18</v>
      </c>
      <c r="I887" s="8">
        <v>1</v>
      </c>
      <c r="J887" s="10">
        <v>2017</v>
      </c>
      <c r="K887" s="5" t="str">
        <f>"478.07"</f>
        <v>478.07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</row>
    <row r="888" spans="1:30" ht="13.5" customHeight="1">
      <c r="A888" s="8">
        <v>886</v>
      </c>
      <c r="B888" s="8">
        <v>6582</v>
      </c>
      <c r="C888" s="9" t="s">
        <v>1084</v>
      </c>
      <c r="D888" s="8" t="s">
        <v>196</v>
      </c>
      <c r="E888" s="8" t="str">
        <f>"478.33"</f>
        <v>478.33</v>
      </c>
      <c r="F888" s="8"/>
      <c r="G888" s="3">
        <v>506.33</v>
      </c>
      <c r="H888" s="10" t="s">
        <v>18</v>
      </c>
      <c r="I888" s="8">
        <v>1</v>
      </c>
      <c r="J888" s="10">
        <v>2017</v>
      </c>
      <c r="K888" s="5" t="str">
        <f>"478.33"</f>
        <v>478.33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</row>
    <row r="889" spans="1:30" ht="13.5" customHeight="1">
      <c r="A889" s="8">
        <v>887</v>
      </c>
      <c r="B889" s="8">
        <v>10894</v>
      </c>
      <c r="C889" s="9" t="s">
        <v>1083</v>
      </c>
      <c r="D889" s="8" t="s">
        <v>16</v>
      </c>
      <c r="E889" s="8" t="str">
        <f>"494.65"</f>
        <v>494.65</v>
      </c>
      <c r="F889" s="8"/>
      <c r="G889" s="3">
        <v>507.1</v>
      </c>
      <c r="H889" s="10"/>
      <c r="I889" s="8">
        <v>3</v>
      </c>
      <c r="J889" s="10">
        <v>2017</v>
      </c>
      <c r="K889" s="5" t="str">
        <f>"516.76"</f>
        <v>516.76</v>
      </c>
      <c r="L889" s="5" t="str">
        <f>"541.67"</f>
        <v>541.67</v>
      </c>
      <c r="M889" s="5" t="str">
        <f>"472.53"</f>
        <v>472.53</v>
      </c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</row>
    <row r="890" spans="1:30" ht="13.5" customHeight="1">
      <c r="A890" s="8">
        <v>888</v>
      </c>
      <c r="B890" s="8">
        <v>11406</v>
      </c>
      <c r="C890" s="9" t="s">
        <v>999</v>
      </c>
      <c r="D890" s="8" t="s">
        <v>363</v>
      </c>
      <c r="E890" s="8" t="str">
        <f>"507.84"</f>
        <v>507.84</v>
      </c>
      <c r="F890" s="8"/>
      <c r="G890" s="3">
        <v>507.84</v>
      </c>
      <c r="H890" s="10" t="s">
        <v>12</v>
      </c>
      <c r="I890" s="8">
        <v>4</v>
      </c>
      <c r="J890" s="10">
        <v>2017</v>
      </c>
      <c r="K890" s="5"/>
      <c r="L890" s="5"/>
      <c r="M890" s="5"/>
      <c r="N890" s="5"/>
      <c r="O890" s="5"/>
      <c r="P890" s="5" t="str">
        <f>"479.84"</f>
        <v>479.84</v>
      </c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</row>
    <row r="891" spans="1:30" ht="13.5" customHeight="1">
      <c r="A891" s="8">
        <v>889</v>
      </c>
      <c r="B891" s="8">
        <v>10360</v>
      </c>
      <c r="C891" s="9" t="s">
        <v>1088</v>
      </c>
      <c r="D891" s="8" t="s">
        <v>76</v>
      </c>
      <c r="E891" s="8" t="str">
        <f>"480.43"</f>
        <v>480.43</v>
      </c>
      <c r="F891" s="8"/>
      <c r="G891" s="3">
        <v>508.43</v>
      </c>
      <c r="H891" s="10" t="s">
        <v>18</v>
      </c>
      <c r="I891" s="8">
        <v>1</v>
      </c>
      <c r="J891" s="10">
        <v>2017</v>
      </c>
      <c r="K891" s="5" t="str">
        <f>"480.43"</f>
        <v>480.43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</row>
    <row r="892" spans="1:30" ht="13.5" customHeight="1">
      <c r="A892" s="8">
        <v>890</v>
      </c>
      <c r="B892" s="8">
        <v>11312</v>
      </c>
      <c r="C892" s="9" t="s">
        <v>1152</v>
      </c>
      <c r="D892" s="8" t="s">
        <v>16</v>
      </c>
      <c r="E892" s="8" t="str">
        <f>"509.75"</f>
        <v>509.75</v>
      </c>
      <c r="F892" s="8"/>
      <c r="G892" s="3">
        <v>509.75</v>
      </c>
      <c r="H892" s="10"/>
      <c r="I892" s="8">
        <v>5</v>
      </c>
      <c r="J892" s="10">
        <v>2017</v>
      </c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 t="str">
        <f>"545.50"</f>
        <v>545.50</v>
      </c>
      <c r="W892" s="5"/>
      <c r="X892" s="5"/>
      <c r="Y892" s="5"/>
      <c r="Z892" s="5"/>
      <c r="AA892" s="5"/>
      <c r="AB892" s="5"/>
      <c r="AC892" s="5" t="str">
        <f>"473.99"</f>
        <v>473.99</v>
      </c>
      <c r="AD892" s="5"/>
    </row>
    <row r="893" spans="1:30" ht="13.5" customHeight="1">
      <c r="A893" s="8">
        <v>891</v>
      </c>
      <c r="B893" s="8">
        <v>10935</v>
      </c>
      <c r="C893" s="9" t="s">
        <v>1148</v>
      </c>
      <c r="D893" s="8" t="s">
        <v>16</v>
      </c>
      <c r="E893" s="8" t="str">
        <f>"510.81"</f>
        <v>510.81</v>
      </c>
      <c r="F893" s="8"/>
      <c r="G893" s="3">
        <v>510.81</v>
      </c>
      <c r="H893" s="10"/>
      <c r="I893" s="8">
        <v>5</v>
      </c>
      <c r="J893" s="10">
        <v>2017</v>
      </c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 t="str">
        <f>"550.82"</f>
        <v>550.82</v>
      </c>
      <c r="W893" s="5"/>
      <c r="X893" s="5"/>
      <c r="Y893" s="5"/>
      <c r="Z893" s="5"/>
      <c r="AA893" s="5"/>
      <c r="AB893" s="5"/>
      <c r="AC893" s="5" t="str">
        <f>"470.79"</f>
        <v>470.79</v>
      </c>
      <c r="AD893" s="5"/>
    </row>
    <row r="894" spans="1:30" ht="13.5" customHeight="1">
      <c r="A894" s="8">
        <v>892</v>
      </c>
      <c r="B894" s="8">
        <v>11290</v>
      </c>
      <c r="C894" s="9" t="s">
        <v>964</v>
      </c>
      <c r="D894" s="8" t="s">
        <v>16</v>
      </c>
      <c r="E894" s="8" t="str">
        <f>"512.87"</f>
        <v>512.87</v>
      </c>
      <c r="F894" s="8"/>
      <c r="G894" s="3">
        <v>512.87</v>
      </c>
      <c r="H894" s="10"/>
      <c r="I894" s="8">
        <v>5</v>
      </c>
      <c r="J894" s="10">
        <v>2017</v>
      </c>
      <c r="K894" s="5"/>
      <c r="L894" s="5" t="str">
        <f>"628.34"</f>
        <v>628.34</v>
      </c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 t="str">
        <f>"397.40"</f>
        <v>397.40</v>
      </c>
      <c r="AD894" s="5"/>
    </row>
    <row r="895" spans="1:30" ht="13.5" customHeight="1">
      <c r="A895" s="8">
        <v>893</v>
      </c>
      <c r="B895" s="8">
        <v>10856</v>
      </c>
      <c r="C895" s="9" t="s">
        <v>1004</v>
      </c>
      <c r="D895" s="8" t="s">
        <v>16</v>
      </c>
      <c r="E895" s="8" t="str">
        <f>"509.62"</f>
        <v>509.62</v>
      </c>
      <c r="F895" s="8"/>
      <c r="G895" s="3">
        <v>514.08000000000004</v>
      </c>
      <c r="H895" s="10"/>
      <c r="I895" s="8">
        <v>3</v>
      </c>
      <c r="J895" s="10">
        <v>2017</v>
      </c>
      <c r="K895" s="5" t="str">
        <f>"524.51"</f>
        <v>524.51</v>
      </c>
      <c r="L895" s="5" t="str">
        <f>"494.72"</f>
        <v>494.72</v>
      </c>
      <c r="M895" s="5" t="str">
        <f>"533.44"</f>
        <v>533.44</v>
      </c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</row>
    <row r="896" spans="1:30" ht="13.5" customHeight="1">
      <c r="A896" s="8">
        <v>894</v>
      </c>
      <c r="B896" s="8">
        <v>10934</v>
      </c>
      <c r="C896" s="9" t="s">
        <v>989</v>
      </c>
      <c r="D896" s="8" t="s">
        <v>16</v>
      </c>
      <c r="E896" s="8" t="str">
        <f>"514.54"</f>
        <v>514.54</v>
      </c>
      <c r="F896" s="8"/>
      <c r="G896" s="3">
        <v>514.54</v>
      </c>
      <c r="H896" s="10"/>
      <c r="I896" s="8">
        <v>5</v>
      </c>
      <c r="J896" s="10">
        <v>2017</v>
      </c>
      <c r="K896" s="5"/>
      <c r="L896" s="5" t="str">
        <f>"555.79"</f>
        <v>555.79</v>
      </c>
      <c r="M896" s="5" t="str">
        <f>"577.84"</f>
        <v>577.84</v>
      </c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 t="str">
        <f>"473.28"</f>
        <v>473.28</v>
      </c>
      <c r="Z896" s="5"/>
      <c r="AA896" s="5"/>
      <c r="AB896" s="5"/>
      <c r="AC896" s="5"/>
      <c r="AD896" s="5"/>
    </row>
    <row r="897" spans="1:30" ht="13.5" customHeight="1">
      <c r="A897" s="8">
        <v>895</v>
      </c>
      <c r="B897" s="8">
        <v>4413</v>
      </c>
      <c r="C897" s="9" t="s">
        <v>412</v>
      </c>
      <c r="D897" s="8" t="s">
        <v>22</v>
      </c>
      <c r="E897" s="8" t="str">
        <f>"487.48"</f>
        <v>487.48</v>
      </c>
      <c r="F897" s="8"/>
      <c r="G897" s="3">
        <v>515.48</v>
      </c>
      <c r="H897" s="10" t="s">
        <v>18</v>
      </c>
      <c r="I897" s="8">
        <v>1</v>
      </c>
      <c r="J897" s="10">
        <v>2017</v>
      </c>
      <c r="K897" s="5" t="str">
        <f>"487.48"</f>
        <v>487.48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</row>
    <row r="898" spans="1:30" ht="13.5" customHeight="1">
      <c r="A898" s="8">
        <v>896</v>
      </c>
      <c r="B898" s="8">
        <v>10646</v>
      </c>
      <c r="C898" s="9" t="s">
        <v>1029</v>
      </c>
      <c r="D898" s="8" t="s">
        <v>16</v>
      </c>
      <c r="E898" s="8" t="str">
        <f>"487.92"</f>
        <v>487.92</v>
      </c>
      <c r="F898" s="8"/>
      <c r="G898" s="3">
        <v>515.91999999999996</v>
      </c>
      <c r="H898" s="10" t="s">
        <v>18</v>
      </c>
      <c r="I898" s="8">
        <v>1</v>
      </c>
      <c r="J898" s="10">
        <v>2017</v>
      </c>
      <c r="K898" s="5" t="str">
        <f>"487.92"</f>
        <v>487.92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</row>
    <row r="899" spans="1:30" ht="13.5" customHeight="1">
      <c r="A899" s="8">
        <v>897</v>
      </c>
      <c r="B899" s="8">
        <v>3975</v>
      </c>
      <c r="C899" s="9" t="s">
        <v>1111</v>
      </c>
      <c r="D899" s="8" t="s">
        <v>1112</v>
      </c>
      <c r="E899" s="8" t="str">
        <f>"490.84"</f>
        <v>490.84</v>
      </c>
      <c r="F899" s="8"/>
      <c r="G899" s="3">
        <v>518.84</v>
      </c>
      <c r="H899" s="10" t="s">
        <v>18</v>
      </c>
      <c r="I899" s="8">
        <v>1</v>
      </c>
      <c r="J899" s="10">
        <v>2018</v>
      </c>
      <c r="K899" s="5" t="str">
        <f>"490.84"</f>
        <v>490.84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</row>
    <row r="900" spans="1:30" ht="13.5" customHeight="1">
      <c r="A900" s="8">
        <v>898</v>
      </c>
      <c r="B900" s="8">
        <v>11285</v>
      </c>
      <c r="C900" s="9" t="s">
        <v>1015</v>
      </c>
      <c r="D900" s="8" t="s">
        <v>16</v>
      </c>
      <c r="E900" s="8" t="str">
        <f>"520.26"</f>
        <v>520.26</v>
      </c>
      <c r="F900" s="8"/>
      <c r="G900" s="3">
        <v>520.26</v>
      </c>
      <c r="H900" s="10"/>
      <c r="I900" s="8">
        <v>5</v>
      </c>
      <c r="J900" s="10">
        <v>2017</v>
      </c>
      <c r="K900" s="5"/>
      <c r="L900" s="5" t="str">
        <f>"643.81"</f>
        <v>643.81</v>
      </c>
      <c r="M900" s="5"/>
      <c r="N900" s="5"/>
      <c r="O900" s="5"/>
      <c r="P900" s="5"/>
      <c r="Q900" s="5"/>
      <c r="R900" s="5"/>
      <c r="S900" s="5"/>
      <c r="T900" s="5"/>
      <c r="U900" s="5"/>
      <c r="V900" s="5" t="str">
        <f>"496.80"</f>
        <v>496.80</v>
      </c>
      <c r="W900" s="5"/>
      <c r="X900" s="5"/>
      <c r="Y900" s="5"/>
      <c r="Z900" s="5"/>
      <c r="AA900" s="5"/>
      <c r="AB900" s="5"/>
      <c r="AC900" s="5" t="str">
        <f>"543.71"</f>
        <v>543.71</v>
      </c>
      <c r="AD900" s="5"/>
    </row>
    <row r="901" spans="1:30" ht="13.5" customHeight="1">
      <c r="A901" s="8">
        <v>899</v>
      </c>
      <c r="B901" s="8">
        <v>11378</v>
      </c>
      <c r="C901" s="9" t="s">
        <v>918</v>
      </c>
      <c r="D901" s="8" t="s">
        <v>29</v>
      </c>
      <c r="E901" s="8" t="str">
        <f>"521.06"</f>
        <v>521.06</v>
      </c>
      <c r="F901" s="8"/>
      <c r="G901" s="3">
        <v>521.05999999999995</v>
      </c>
      <c r="H901" s="10" t="s">
        <v>12</v>
      </c>
      <c r="I901" s="8">
        <v>4</v>
      </c>
      <c r="J901" s="10">
        <v>2017</v>
      </c>
      <c r="K901" s="5"/>
      <c r="L901" s="5"/>
      <c r="M901" s="5"/>
      <c r="N901" s="5"/>
      <c r="O901" s="5"/>
      <c r="P901" s="5"/>
      <c r="Q901" s="5"/>
      <c r="R901" s="5" t="str">
        <f>"493.06"</f>
        <v>493.06</v>
      </c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</row>
    <row r="902" spans="1:30" ht="13.5" customHeight="1">
      <c r="A902" s="8">
        <v>900</v>
      </c>
      <c r="B902" s="8">
        <v>10183</v>
      </c>
      <c r="C902" s="9" t="s">
        <v>966</v>
      </c>
      <c r="D902" s="8" t="s">
        <v>16</v>
      </c>
      <c r="E902" s="8" t="str">
        <f>"521.14"</f>
        <v>521.14</v>
      </c>
      <c r="F902" s="8"/>
      <c r="G902" s="3">
        <v>521.14</v>
      </c>
      <c r="H902" s="10"/>
      <c r="I902" s="8">
        <v>3</v>
      </c>
      <c r="J902" s="10">
        <v>2017</v>
      </c>
      <c r="K902" s="5" t="str">
        <f>"777.63"</f>
        <v>777.63</v>
      </c>
      <c r="L902" s="5" t="str">
        <f>"619.56"</f>
        <v>619.56</v>
      </c>
      <c r="M902" s="5" t="str">
        <f>"585.30"</f>
        <v>585.30</v>
      </c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 t="str">
        <f>"456.97"</f>
        <v>456.97</v>
      </c>
      <c r="AD902" s="5"/>
    </row>
    <row r="903" spans="1:30" ht="13.5" customHeight="1">
      <c r="A903" s="8">
        <v>901</v>
      </c>
      <c r="B903" s="8">
        <v>10791</v>
      </c>
      <c r="C903" s="9" t="s">
        <v>965</v>
      </c>
      <c r="D903" s="8" t="s">
        <v>16</v>
      </c>
      <c r="E903" s="8" t="str">
        <f>"523.88"</f>
        <v>523.88</v>
      </c>
      <c r="F903" s="8"/>
      <c r="G903" s="3">
        <v>523.88</v>
      </c>
      <c r="H903" s="10"/>
      <c r="I903" s="8">
        <v>5</v>
      </c>
      <c r="J903" s="10">
        <v>2017</v>
      </c>
      <c r="K903" s="5"/>
      <c r="L903" s="5" t="str">
        <f>"615.86"</f>
        <v>615.86</v>
      </c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 t="str">
        <f>"431.90"</f>
        <v>431.90</v>
      </c>
      <c r="AD903" s="5"/>
    </row>
    <row r="904" spans="1:30" ht="13.5" customHeight="1">
      <c r="A904" s="8">
        <v>902</v>
      </c>
      <c r="B904" s="8">
        <v>10906</v>
      </c>
      <c r="C904" s="9" t="s">
        <v>1095</v>
      </c>
      <c r="D904" s="8" t="s">
        <v>16</v>
      </c>
      <c r="E904" s="8" t="str">
        <f>"496.91"</f>
        <v>496.91</v>
      </c>
      <c r="F904" s="8"/>
      <c r="G904" s="3">
        <v>524.91</v>
      </c>
      <c r="H904" s="10" t="s">
        <v>18</v>
      </c>
      <c r="I904" s="8">
        <v>1</v>
      </c>
      <c r="J904" s="10">
        <v>2017</v>
      </c>
      <c r="K904" s="5" t="str">
        <f>"496.91"</f>
        <v>496.91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</row>
    <row r="905" spans="1:30" ht="13.5" customHeight="1">
      <c r="A905" s="8">
        <v>903</v>
      </c>
      <c r="B905" s="8">
        <v>10368</v>
      </c>
      <c r="C905" s="9" t="s">
        <v>956</v>
      </c>
      <c r="D905" s="8" t="s">
        <v>165</v>
      </c>
      <c r="E905" s="8" t="str">
        <f>"293.51"</f>
        <v>293.51</v>
      </c>
      <c r="F905" s="8"/>
      <c r="G905" s="3">
        <v>525.25</v>
      </c>
      <c r="H905" s="10" t="s">
        <v>12</v>
      </c>
      <c r="I905" s="8">
        <v>2</v>
      </c>
      <c r="J905" s="10">
        <v>2017</v>
      </c>
      <c r="K905" s="5" t="str">
        <f>"293.51"</f>
        <v>293.51</v>
      </c>
      <c r="L905" s="5"/>
      <c r="M905" s="5"/>
      <c r="N905" s="5"/>
      <c r="O905" s="5"/>
      <c r="P905" s="5"/>
      <c r="Q905" s="5"/>
      <c r="R905" s="5"/>
      <c r="S905" s="5"/>
      <c r="T905" s="5" t="str">
        <f>"497.25"</f>
        <v>497.25</v>
      </c>
      <c r="U905" s="5"/>
      <c r="V905" s="5"/>
      <c r="W905" s="5"/>
      <c r="X905" s="5"/>
      <c r="Y905" s="5"/>
      <c r="Z905" s="5"/>
      <c r="AA905" s="5"/>
      <c r="AB905" s="5"/>
      <c r="AC905" s="5"/>
      <c r="AD905" s="5"/>
    </row>
    <row r="906" spans="1:30" ht="13.5" customHeight="1">
      <c r="A906" s="8">
        <v>904</v>
      </c>
      <c r="B906" s="8">
        <v>11314</v>
      </c>
      <c r="C906" s="9" t="s">
        <v>1157</v>
      </c>
      <c r="D906" s="8" t="s">
        <v>16</v>
      </c>
      <c r="E906" s="8" t="str">
        <f>"525.27"</f>
        <v>525.27</v>
      </c>
      <c r="F906" s="8"/>
      <c r="G906" s="3">
        <v>525.27</v>
      </c>
      <c r="H906" s="10"/>
      <c r="I906" s="8">
        <v>5</v>
      </c>
      <c r="J906" s="10">
        <v>2017</v>
      </c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 t="str">
        <f>"584.42"</f>
        <v>584.42</v>
      </c>
      <c r="W906" s="5"/>
      <c r="X906" s="5"/>
      <c r="Y906" s="5"/>
      <c r="Z906" s="5"/>
      <c r="AA906" s="5"/>
      <c r="AB906" s="5"/>
      <c r="AC906" s="5" t="str">
        <f>"466.12"</f>
        <v>466.12</v>
      </c>
      <c r="AD906" s="5"/>
    </row>
    <row r="907" spans="1:30" ht="13.5" customHeight="1">
      <c r="A907" s="8">
        <v>905</v>
      </c>
      <c r="B907" s="8">
        <v>10816</v>
      </c>
      <c r="C907" s="9" t="s">
        <v>1162</v>
      </c>
      <c r="D907" s="8" t="s">
        <v>16</v>
      </c>
      <c r="E907" s="8" t="str">
        <f>"528.73"</f>
        <v>528.73</v>
      </c>
      <c r="F907" s="8"/>
      <c r="G907" s="3">
        <v>528.73</v>
      </c>
      <c r="H907" s="10" t="s">
        <v>12</v>
      </c>
      <c r="I907" s="8">
        <v>4</v>
      </c>
      <c r="J907" s="10">
        <v>2017</v>
      </c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 t="str">
        <f>"500.73"</f>
        <v>500.73</v>
      </c>
      <c r="W907" s="5"/>
      <c r="X907" s="5"/>
      <c r="Y907" s="5"/>
      <c r="Z907" s="5"/>
      <c r="AA907" s="5"/>
      <c r="AB907" s="5"/>
      <c r="AC907" s="5"/>
      <c r="AD907" s="5"/>
    </row>
    <row r="908" spans="1:30" ht="13.5" customHeight="1">
      <c r="A908" s="8">
        <v>906</v>
      </c>
      <c r="B908" s="8">
        <v>11288</v>
      </c>
      <c r="C908" s="9" t="s">
        <v>1009</v>
      </c>
      <c r="D908" s="8" t="s">
        <v>16</v>
      </c>
      <c r="E908" s="8" t="str">
        <f>"528.98"</f>
        <v>528.98</v>
      </c>
      <c r="F908" s="8"/>
      <c r="G908" s="3">
        <v>528.98</v>
      </c>
      <c r="H908" s="10"/>
      <c r="I908" s="8">
        <v>5</v>
      </c>
      <c r="J908" s="10">
        <v>2017</v>
      </c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 t="str">
        <f>"563.65"</f>
        <v>563.65</v>
      </c>
      <c r="W908" s="5"/>
      <c r="X908" s="5"/>
      <c r="Y908" s="5"/>
      <c r="Z908" s="5"/>
      <c r="AA908" s="5"/>
      <c r="AB908" s="5"/>
      <c r="AC908" s="5" t="str">
        <f>"494.30"</f>
        <v>494.30</v>
      </c>
      <c r="AD908" s="5"/>
    </row>
    <row r="909" spans="1:30" ht="13.5" customHeight="1">
      <c r="A909" s="8">
        <v>907</v>
      </c>
      <c r="B909" s="8">
        <v>10477</v>
      </c>
      <c r="C909" s="9" t="s">
        <v>948</v>
      </c>
      <c r="D909" s="8" t="s">
        <v>29</v>
      </c>
      <c r="E909" s="8" t="str">
        <f>"917.07"</f>
        <v>917.07</v>
      </c>
      <c r="F909" s="8"/>
      <c r="G909" s="3">
        <v>529.44000000000005</v>
      </c>
      <c r="H909" s="10" t="s">
        <v>12</v>
      </c>
      <c r="I909" s="8">
        <v>2</v>
      </c>
      <c r="J909" s="10">
        <v>2017</v>
      </c>
      <c r="K909" s="5" t="str">
        <f>"1332.70"</f>
        <v>1332.70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 t="str">
        <f>"501.44"</f>
        <v>501.44</v>
      </c>
      <c r="AD909" s="5"/>
    </row>
    <row r="910" spans="1:30" ht="13.5" customHeight="1">
      <c r="A910" s="8">
        <v>908</v>
      </c>
      <c r="B910" s="8">
        <v>10876</v>
      </c>
      <c r="C910" s="9" t="s">
        <v>1167</v>
      </c>
      <c r="D910" s="8" t="s">
        <v>16</v>
      </c>
      <c r="E910" s="8" t="str">
        <f>"505.61"</f>
        <v>505.61</v>
      </c>
      <c r="F910" s="8"/>
      <c r="G910" s="3">
        <v>533.61</v>
      </c>
      <c r="H910" s="10" t="s">
        <v>18</v>
      </c>
      <c r="I910" s="8">
        <v>1</v>
      </c>
      <c r="J910" s="10">
        <v>2017</v>
      </c>
      <c r="K910" s="5" t="str">
        <f>"505.61"</f>
        <v>505.61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</row>
    <row r="911" spans="1:30" ht="13.5" customHeight="1">
      <c r="A911" s="8">
        <v>909</v>
      </c>
      <c r="B911" s="8">
        <v>11305</v>
      </c>
      <c r="C911" s="9" t="s">
        <v>981</v>
      </c>
      <c r="D911" s="8" t="s">
        <v>16</v>
      </c>
      <c r="E911" s="8" t="str">
        <f>"535.02"</f>
        <v>535.02</v>
      </c>
      <c r="F911" s="8"/>
      <c r="G911" s="3">
        <v>535.02</v>
      </c>
      <c r="H911" s="10" t="s">
        <v>12</v>
      </c>
      <c r="I911" s="8">
        <v>4</v>
      </c>
      <c r="J911" s="10">
        <v>2017</v>
      </c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 t="str">
        <f>"507.02"</f>
        <v>507.02</v>
      </c>
      <c r="AD911" s="5"/>
    </row>
    <row r="912" spans="1:30" ht="13.5" customHeight="1">
      <c r="A912" s="8">
        <v>910</v>
      </c>
      <c r="B912" s="8">
        <v>10267</v>
      </c>
      <c r="C912" s="9" t="s">
        <v>591</v>
      </c>
      <c r="D912" s="8" t="s">
        <v>29</v>
      </c>
      <c r="E912" s="8" t="str">
        <f>"494.03"</f>
        <v>494.03</v>
      </c>
      <c r="F912" s="8"/>
      <c r="G912" s="3">
        <v>536.67999999999995</v>
      </c>
      <c r="H912" s="10"/>
      <c r="I912" s="8">
        <v>3</v>
      </c>
      <c r="J912" s="10">
        <v>2017</v>
      </c>
      <c r="K912" s="5" t="str">
        <f>"582.34"</f>
        <v>582.34</v>
      </c>
      <c r="L912" s="5"/>
      <c r="M912" s="5"/>
      <c r="N912" s="5"/>
      <c r="O912" s="5"/>
      <c r="P912" s="5"/>
      <c r="Q912" s="5"/>
      <c r="R912" s="5" t="str">
        <f>"405.71"</f>
        <v>405.71</v>
      </c>
      <c r="S912" s="5"/>
      <c r="T912" s="5"/>
      <c r="U912" s="5" t="str">
        <f>"667.64"</f>
        <v>667.64</v>
      </c>
      <c r="V912" s="5"/>
      <c r="W912" s="5"/>
      <c r="X912" s="5"/>
      <c r="Y912" s="5"/>
      <c r="Z912" s="5"/>
      <c r="AA912" s="5"/>
      <c r="AB912" s="5"/>
      <c r="AC912" s="5"/>
      <c r="AD912" s="5"/>
    </row>
    <row r="913" spans="1:30" ht="13.5" customHeight="1">
      <c r="A913" s="8">
        <v>911</v>
      </c>
      <c r="B913" s="8">
        <v>11235</v>
      </c>
      <c r="C913" s="9" t="s">
        <v>1063</v>
      </c>
      <c r="D913" s="8" t="s">
        <v>16</v>
      </c>
      <c r="E913" s="8" t="str">
        <f>"538.74"</f>
        <v>538.74</v>
      </c>
      <c r="F913" s="8"/>
      <c r="G913" s="3">
        <v>538.74</v>
      </c>
      <c r="H913" s="10"/>
      <c r="I913" s="8">
        <v>5</v>
      </c>
      <c r="J913" s="10">
        <v>2017</v>
      </c>
      <c r="K913" s="5"/>
      <c r="L913" s="5" t="str">
        <f>"659.10"</f>
        <v>659.10</v>
      </c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 t="str">
        <f>"578.79"</f>
        <v>578.79</v>
      </c>
      <c r="AB913" s="5"/>
      <c r="AC913" s="5" t="str">
        <f>"498.69"</f>
        <v>498.69</v>
      </c>
      <c r="AD913" s="5"/>
    </row>
    <row r="914" spans="1:30" ht="13.5" customHeight="1">
      <c r="A914" s="8">
        <v>912</v>
      </c>
      <c r="B914" s="8">
        <v>10710</v>
      </c>
      <c r="C914" s="9" t="s">
        <v>987</v>
      </c>
      <c r="D914" s="8" t="s">
        <v>16</v>
      </c>
      <c r="E914" s="8" t="str">
        <f>"588.22"</f>
        <v>588.22</v>
      </c>
      <c r="F914" s="8"/>
      <c r="G914" s="3">
        <v>541.91</v>
      </c>
      <c r="H914" s="10" t="s">
        <v>12</v>
      </c>
      <c r="I914" s="8">
        <v>2</v>
      </c>
      <c r="J914" s="10">
        <v>2017</v>
      </c>
      <c r="K914" s="5" t="str">
        <f>"662.52"</f>
        <v>662.52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 t="str">
        <f>"513.91"</f>
        <v>513.91</v>
      </c>
      <c r="W914" s="5"/>
      <c r="X914" s="5"/>
      <c r="Y914" s="5"/>
      <c r="Z914" s="5"/>
      <c r="AA914" s="5"/>
      <c r="AB914" s="5"/>
      <c r="AC914" s="5"/>
      <c r="AD914" s="5"/>
    </row>
    <row r="915" spans="1:30" ht="13.5" customHeight="1">
      <c r="A915" s="8">
        <v>913</v>
      </c>
      <c r="B915" s="8">
        <v>10235</v>
      </c>
      <c r="C915" s="9" t="s">
        <v>953</v>
      </c>
      <c r="D915" s="8" t="s">
        <v>16</v>
      </c>
      <c r="E915" s="8" t="str">
        <f>"541.94"</f>
        <v>541.94</v>
      </c>
      <c r="F915" s="8"/>
      <c r="G915" s="3">
        <v>541.94000000000005</v>
      </c>
      <c r="H915" s="10"/>
      <c r="I915" s="8">
        <v>3</v>
      </c>
      <c r="J915" s="10">
        <v>2017</v>
      </c>
      <c r="K915" s="5" t="str">
        <f>"769.89"</f>
        <v>769.89</v>
      </c>
      <c r="L915" s="5" t="str">
        <f>"567.55"</f>
        <v>567.55</v>
      </c>
      <c r="M915" s="5" t="str">
        <f>"557.83"</f>
        <v>557.83</v>
      </c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 t="str">
        <f>"526.05"</f>
        <v>526.05</v>
      </c>
      <c r="AD915" s="5"/>
    </row>
    <row r="916" spans="1:30" ht="13.5" customHeight="1">
      <c r="A916" s="8">
        <v>914</v>
      </c>
      <c r="B916" s="8">
        <v>11030</v>
      </c>
      <c r="C916" s="9" t="s">
        <v>1023</v>
      </c>
      <c r="D916" s="8" t="s">
        <v>16</v>
      </c>
      <c r="E916" s="8" t="str">
        <f>"546.27"</f>
        <v>546.27</v>
      </c>
      <c r="F916" s="8"/>
      <c r="G916" s="3">
        <v>546.27</v>
      </c>
      <c r="H916" s="10" t="s">
        <v>12</v>
      </c>
      <c r="I916" s="8">
        <v>4</v>
      </c>
      <c r="J916" s="10">
        <v>2017</v>
      </c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 t="str">
        <f>"518.27"</f>
        <v>518.27</v>
      </c>
      <c r="W916" s="5"/>
      <c r="X916" s="5"/>
      <c r="Y916" s="5"/>
      <c r="Z916" s="5"/>
      <c r="AA916" s="5"/>
      <c r="AB916" s="5"/>
      <c r="AC916" s="5"/>
      <c r="AD916" s="5"/>
    </row>
    <row r="917" spans="1:30" ht="13.5" customHeight="1">
      <c r="A917" s="8">
        <v>915</v>
      </c>
      <c r="B917" s="8">
        <v>11300</v>
      </c>
      <c r="C917" s="9" t="s">
        <v>1067</v>
      </c>
      <c r="D917" s="8" t="s">
        <v>16</v>
      </c>
      <c r="E917" s="8" t="str">
        <f>"546.37"</f>
        <v>546.37</v>
      </c>
      <c r="F917" s="8"/>
      <c r="G917" s="3">
        <v>546.37</v>
      </c>
      <c r="H917" s="10" t="s">
        <v>12</v>
      </c>
      <c r="I917" s="8">
        <v>4</v>
      </c>
      <c r="J917" s="10">
        <v>2017</v>
      </c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 t="str">
        <f>"518.37"</f>
        <v>518.37</v>
      </c>
      <c r="AD917" s="5"/>
    </row>
    <row r="918" spans="1:30" ht="13.5" customHeight="1">
      <c r="A918" s="8">
        <v>916</v>
      </c>
      <c r="B918" s="8">
        <v>10120</v>
      </c>
      <c r="C918" s="9" t="s">
        <v>1047</v>
      </c>
      <c r="D918" s="8" t="s">
        <v>16</v>
      </c>
      <c r="E918" s="8" t="str">
        <f>"547.05"</f>
        <v>547.05</v>
      </c>
      <c r="F918" s="8"/>
      <c r="G918" s="3">
        <v>547.04999999999995</v>
      </c>
      <c r="H918" s="10"/>
      <c r="I918" s="8">
        <v>3</v>
      </c>
      <c r="J918" s="10">
        <v>2017</v>
      </c>
      <c r="K918" s="5" t="str">
        <f>"1030.38"</f>
        <v>1030.38</v>
      </c>
      <c r="L918" s="5" t="str">
        <f>"616.85"</f>
        <v>616.85</v>
      </c>
      <c r="M918" s="5"/>
      <c r="N918" s="5"/>
      <c r="O918" s="5"/>
      <c r="P918" s="5"/>
      <c r="Q918" s="5"/>
      <c r="R918" s="5"/>
      <c r="S918" s="5"/>
      <c r="T918" s="5"/>
      <c r="U918" s="5"/>
      <c r="V918" s="5" t="str">
        <f>"477.25"</f>
        <v>477.25</v>
      </c>
      <c r="W918" s="5"/>
      <c r="X918" s="5"/>
      <c r="Y918" s="5"/>
      <c r="Z918" s="5"/>
      <c r="AA918" s="5"/>
      <c r="AB918" s="5"/>
      <c r="AC918" s="5"/>
      <c r="AD918" s="5"/>
    </row>
    <row r="919" spans="1:30" ht="13.5" customHeight="1">
      <c r="A919" s="8">
        <v>917</v>
      </c>
      <c r="B919" s="8">
        <v>11428</v>
      </c>
      <c r="C919" s="9" t="s">
        <v>906</v>
      </c>
      <c r="D919" s="8" t="s">
        <v>16</v>
      </c>
      <c r="E919" s="8" t="str">
        <f>"548.84"</f>
        <v>548.84</v>
      </c>
      <c r="F919" s="8"/>
      <c r="G919" s="3">
        <v>548.84</v>
      </c>
      <c r="H919" s="10" t="s">
        <v>12</v>
      </c>
      <c r="I919" s="8">
        <v>4</v>
      </c>
      <c r="J919" s="10">
        <v>2017</v>
      </c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 t="str">
        <f>"520.84"</f>
        <v>520.84</v>
      </c>
      <c r="AD919" s="5"/>
    </row>
    <row r="920" spans="1:30" ht="13.5" customHeight="1">
      <c r="A920" s="8">
        <v>918</v>
      </c>
      <c r="B920" s="8">
        <v>10857</v>
      </c>
      <c r="C920" s="9" t="s">
        <v>1032</v>
      </c>
      <c r="D920" s="8" t="s">
        <v>16</v>
      </c>
      <c r="E920" s="8" t="str">
        <f>"521.93"</f>
        <v>521.93</v>
      </c>
      <c r="F920" s="8"/>
      <c r="G920" s="3">
        <v>549.92999999999995</v>
      </c>
      <c r="H920" s="10" t="s">
        <v>18</v>
      </c>
      <c r="I920" s="8">
        <v>1</v>
      </c>
      <c r="J920" s="10">
        <v>2017</v>
      </c>
      <c r="K920" s="5" t="str">
        <f>"521.93"</f>
        <v>521.93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</row>
    <row r="921" spans="1:30" ht="13.5" customHeight="1">
      <c r="A921" s="8">
        <v>919</v>
      </c>
      <c r="B921" s="8">
        <v>11239</v>
      </c>
      <c r="C921" s="9" t="s">
        <v>1006</v>
      </c>
      <c r="D921" s="8" t="s">
        <v>16</v>
      </c>
      <c r="E921" s="8" t="str">
        <f>"550.20"</f>
        <v>550.20</v>
      </c>
      <c r="F921" s="8"/>
      <c r="G921" s="3">
        <v>550.20000000000005</v>
      </c>
      <c r="H921" s="10"/>
      <c r="I921" s="8">
        <v>5</v>
      </c>
      <c r="J921" s="10">
        <v>2017</v>
      </c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 t="str">
        <f>"524.29"</f>
        <v>524.29</v>
      </c>
      <c r="W921" s="5"/>
      <c r="X921" s="5"/>
      <c r="Y921" s="5"/>
      <c r="Z921" s="5"/>
      <c r="AA921" s="5"/>
      <c r="AB921" s="5"/>
      <c r="AC921" s="5" t="str">
        <f>"576.10"</f>
        <v>576.10</v>
      </c>
      <c r="AD921" s="5"/>
    </row>
    <row r="922" spans="1:30" ht="13.5" customHeight="1">
      <c r="A922" s="8">
        <v>920</v>
      </c>
      <c r="B922" s="8">
        <v>11386</v>
      </c>
      <c r="C922" s="9" t="s">
        <v>991</v>
      </c>
      <c r="D922" s="8" t="s">
        <v>76</v>
      </c>
      <c r="E922" s="8" t="str">
        <f>"550.31"</f>
        <v>550.31</v>
      </c>
      <c r="F922" s="8"/>
      <c r="G922" s="3">
        <v>550.30999999999995</v>
      </c>
      <c r="H922" s="10" t="s">
        <v>12</v>
      </c>
      <c r="I922" s="8">
        <v>4</v>
      </c>
      <c r="J922" s="10">
        <v>2017</v>
      </c>
      <c r="K922" s="5"/>
      <c r="L922" s="5"/>
      <c r="M922" s="5"/>
      <c r="N922" s="5"/>
      <c r="O922" s="5"/>
      <c r="P922" s="5" t="str">
        <f>"522.31"</f>
        <v>522.31</v>
      </c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</row>
    <row r="923" spans="1:30" ht="13.5" customHeight="1">
      <c r="A923" s="8">
        <v>921</v>
      </c>
      <c r="B923" s="8">
        <v>6274</v>
      </c>
      <c r="C923" s="9" t="s">
        <v>1246</v>
      </c>
      <c r="D923" s="8" t="s">
        <v>76</v>
      </c>
      <c r="E923" s="8"/>
      <c r="F923" s="8"/>
      <c r="G923" s="3">
        <v>551.20000000000005</v>
      </c>
      <c r="H923" s="10" t="s">
        <v>18</v>
      </c>
      <c r="I923" s="8">
        <v>1</v>
      </c>
      <c r="J923" s="10">
        <v>2017</v>
      </c>
      <c r="K923" s="5">
        <v>523.20000000000005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</row>
    <row r="924" spans="1:30" ht="13.5" customHeight="1">
      <c r="A924" s="8">
        <v>922</v>
      </c>
      <c r="B924" s="8">
        <v>11056</v>
      </c>
      <c r="C924" s="9" t="s">
        <v>929</v>
      </c>
      <c r="D924" s="8" t="s">
        <v>363</v>
      </c>
      <c r="E924" s="8" t="str">
        <f>"551.53"</f>
        <v>551.53</v>
      </c>
      <c r="F924" s="8"/>
      <c r="G924" s="3">
        <v>551.53</v>
      </c>
      <c r="H924" s="10" t="s">
        <v>12</v>
      </c>
      <c r="I924" s="8">
        <v>4</v>
      </c>
      <c r="J924" s="10">
        <v>2017</v>
      </c>
      <c r="K924" s="5"/>
      <c r="L924" s="5"/>
      <c r="M924" s="5"/>
      <c r="N924" s="5"/>
      <c r="O924" s="5"/>
      <c r="P924" s="5" t="str">
        <f>"523.53"</f>
        <v>523.53</v>
      </c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</row>
    <row r="925" spans="1:30" ht="13.5" customHeight="1">
      <c r="A925" s="8">
        <v>923</v>
      </c>
      <c r="B925" s="8">
        <v>10896</v>
      </c>
      <c r="C925" s="9" t="s">
        <v>1159</v>
      </c>
      <c r="D925" s="8" t="s">
        <v>16</v>
      </c>
      <c r="E925" s="8" t="str">
        <f>"503.57"</f>
        <v>503.57</v>
      </c>
      <c r="F925" s="8"/>
      <c r="G925" s="3">
        <v>552.91</v>
      </c>
      <c r="H925" s="10"/>
      <c r="I925" s="8">
        <v>3</v>
      </c>
      <c r="J925" s="10">
        <v>2017</v>
      </c>
      <c r="K925" s="5" t="str">
        <f>"546.12"</f>
        <v>546.12</v>
      </c>
      <c r="L925" s="5" t="str">
        <f>"644.80"</f>
        <v>644.80</v>
      </c>
      <c r="M925" s="5"/>
      <c r="N925" s="5"/>
      <c r="O925" s="5"/>
      <c r="P925" s="5"/>
      <c r="Q925" s="5"/>
      <c r="R925" s="5"/>
      <c r="S925" s="5"/>
      <c r="T925" s="5"/>
      <c r="U925" s="5"/>
      <c r="V925" s="5" t="str">
        <f>"461.02"</f>
        <v>461.02</v>
      </c>
      <c r="W925" s="5"/>
      <c r="X925" s="5"/>
      <c r="Y925" s="5"/>
      <c r="Z925" s="5"/>
      <c r="AA925" s="5"/>
      <c r="AB925" s="5"/>
      <c r="AC925" s="5"/>
      <c r="AD925" s="5"/>
    </row>
    <row r="926" spans="1:30" ht="13.5" customHeight="1">
      <c r="A926" s="8">
        <v>924</v>
      </c>
      <c r="B926" s="8">
        <v>10184</v>
      </c>
      <c r="C926" s="9" t="s">
        <v>1017</v>
      </c>
      <c r="D926" s="8" t="s">
        <v>16</v>
      </c>
      <c r="E926" s="8" t="str">
        <f>"671.51"</f>
        <v>671.51</v>
      </c>
      <c r="F926" s="8"/>
      <c r="G926" s="3">
        <v>553.23</v>
      </c>
      <c r="H926" s="10" t="s">
        <v>12</v>
      </c>
      <c r="I926" s="8">
        <v>2</v>
      </c>
      <c r="J926" s="10">
        <v>2017</v>
      </c>
      <c r="K926" s="5" t="str">
        <f>"817.79"</f>
        <v>817.79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 t="str">
        <f>"525.23"</f>
        <v>525.23</v>
      </c>
      <c r="AD926" s="5"/>
    </row>
    <row r="927" spans="1:30" ht="13.5" customHeight="1">
      <c r="A927" s="8">
        <v>925</v>
      </c>
      <c r="B927" s="8">
        <v>10765</v>
      </c>
      <c r="C927" s="9" t="s">
        <v>837</v>
      </c>
      <c r="D927" s="8" t="s">
        <v>29</v>
      </c>
      <c r="E927" s="8" t="str">
        <f>"557.02"</f>
        <v>557.02</v>
      </c>
      <c r="F927" s="8"/>
      <c r="G927" s="3">
        <v>557.02</v>
      </c>
      <c r="H927" s="10"/>
      <c r="I927" s="8">
        <v>3</v>
      </c>
      <c r="J927" s="10">
        <v>2017</v>
      </c>
      <c r="K927" s="5" t="str">
        <f>"786.88"</f>
        <v>786.88</v>
      </c>
      <c r="L927" s="5"/>
      <c r="M927" s="5"/>
      <c r="N927" s="5"/>
      <c r="O927" s="5"/>
      <c r="P927" s="5"/>
      <c r="Q927" s="5"/>
      <c r="R927" s="5"/>
      <c r="S927" s="5"/>
      <c r="T927" s="5"/>
      <c r="U927" s="5" t="str">
        <f>"575.50"</f>
        <v>575.50</v>
      </c>
      <c r="V927" s="5"/>
      <c r="W927" s="5"/>
      <c r="X927" s="5"/>
      <c r="Y927" s="5"/>
      <c r="Z927" s="5"/>
      <c r="AA927" s="5"/>
      <c r="AB927" s="5" t="str">
        <f>"538.53"</f>
        <v>538.53</v>
      </c>
      <c r="AC927" s="5"/>
      <c r="AD927" s="5"/>
    </row>
    <row r="928" spans="1:30" ht="13.5" customHeight="1">
      <c r="A928" s="8">
        <v>926</v>
      </c>
      <c r="B928" s="8">
        <v>10452</v>
      </c>
      <c r="C928" s="9" t="s">
        <v>970</v>
      </c>
      <c r="D928" s="8" t="s">
        <v>29</v>
      </c>
      <c r="E928" s="8" t="str">
        <f>"531.15"</f>
        <v>531.15</v>
      </c>
      <c r="F928" s="8"/>
      <c r="G928" s="3">
        <v>559.15</v>
      </c>
      <c r="H928" s="10" t="s">
        <v>18</v>
      </c>
      <c r="I928" s="8">
        <v>1</v>
      </c>
      <c r="J928" s="10">
        <v>2017</v>
      </c>
      <c r="K928" s="5" t="str">
        <f>"531.15"</f>
        <v>531.15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</row>
    <row r="929" spans="1:30" ht="13.5" customHeight="1">
      <c r="A929" s="8">
        <v>927</v>
      </c>
      <c r="B929" s="8">
        <v>10941</v>
      </c>
      <c r="C929" s="9" t="s">
        <v>1001</v>
      </c>
      <c r="D929" s="8" t="s">
        <v>16</v>
      </c>
      <c r="E929" s="8" t="str">
        <f>"525.60"</f>
        <v>525.60</v>
      </c>
      <c r="F929" s="8"/>
      <c r="G929" s="3">
        <v>559.27</v>
      </c>
      <c r="H929" s="10" t="s">
        <v>12</v>
      </c>
      <c r="I929" s="8">
        <v>2</v>
      </c>
      <c r="J929" s="10">
        <v>2017</v>
      </c>
      <c r="K929" s="5" t="str">
        <f>"525.60"</f>
        <v>525.60</v>
      </c>
      <c r="L929" s="5" t="str">
        <f>"531.27"</f>
        <v>531.27</v>
      </c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</row>
    <row r="930" spans="1:30" ht="13.5" customHeight="1">
      <c r="A930" s="8">
        <v>928</v>
      </c>
      <c r="B930" s="8">
        <v>10840</v>
      </c>
      <c r="C930" s="9" t="s">
        <v>1069</v>
      </c>
      <c r="D930" s="8" t="s">
        <v>16</v>
      </c>
      <c r="E930" s="8" t="str">
        <f>"603.73"</f>
        <v>603.73</v>
      </c>
      <c r="F930" s="8"/>
      <c r="G930" s="3">
        <v>562.16</v>
      </c>
      <c r="H930" s="10" t="s">
        <v>12</v>
      </c>
      <c r="I930" s="8">
        <v>2</v>
      </c>
      <c r="J930" s="10">
        <v>2017</v>
      </c>
      <c r="K930" s="5" t="str">
        <f>"673.30"</f>
        <v>673.30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 t="str">
        <f>"534.16"</f>
        <v>534.16</v>
      </c>
      <c r="W930" s="5"/>
      <c r="X930" s="5"/>
      <c r="Y930" s="5"/>
      <c r="Z930" s="5"/>
      <c r="AA930" s="5"/>
      <c r="AB930" s="5"/>
      <c r="AC930" s="5"/>
      <c r="AD930" s="5"/>
    </row>
    <row r="931" spans="1:30" ht="13.5" customHeight="1">
      <c r="A931" s="8">
        <v>929</v>
      </c>
      <c r="B931" s="8">
        <v>7055</v>
      </c>
      <c r="C931" s="9" t="s">
        <v>642</v>
      </c>
      <c r="D931" s="8" t="s">
        <v>378</v>
      </c>
      <c r="E931" s="8" t="str">
        <f>"537.15"</f>
        <v>537.15</v>
      </c>
      <c r="F931" s="8"/>
      <c r="G931" s="3">
        <v>565.15</v>
      </c>
      <c r="H931" s="10" t="s">
        <v>18</v>
      </c>
      <c r="I931" s="8">
        <v>1</v>
      </c>
      <c r="J931" s="10">
        <v>2017</v>
      </c>
      <c r="K931" s="5" t="str">
        <f>"537.15"</f>
        <v>537.15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</row>
    <row r="932" spans="1:30" ht="13.5" customHeight="1">
      <c r="A932" s="8">
        <v>930</v>
      </c>
      <c r="B932" s="8">
        <v>11018</v>
      </c>
      <c r="C932" s="9" t="s">
        <v>1213</v>
      </c>
      <c r="D932" s="8" t="s">
        <v>22</v>
      </c>
      <c r="E932" s="8" t="str">
        <f>"542.23"</f>
        <v>542.23</v>
      </c>
      <c r="F932" s="8"/>
      <c r="G932" s="3">
        <v>570.23</v>
      </c>
      <c r="H932" s="10" t="s">
        <v>18</v>
      </c>
      <c r="I932" s="8">
        <v>1</v>
      </c>
      <c r="J932" s="10">
        <v>2017</v>
      </c>
      <c r="K932" s="5" t="str">
        <f>"542.23"</f>
        <v>542.23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</row>
    <row r="933" spans="1:30" ht="13.5" customHeight="1">
      <c r="A933" s="8">
        <v>931</v>
      </c>
      <c r="B933" s="8">
        <v>10387</v>
      </c>
      <c r="C933" s="9" t="s">
        <v>845</v>
      </c>
      <c r="D933" s="8" t="s">
        <v>29</v>
      </c>
      <c r="E933" s="8" t="str">
        <f>"570.51"</f>
        <v>570.51</v>
      </c>
      <c r="F933" s="8"/>
      <c r="G933" s="3">
        <v>570.51</v>
      </c>
      <c r="H933" s="10"/>
      <c r="I933" s="8">
        <v>3</v>
      </c>
      <c r="J933" s="10">
        <v>2017</v>
      </c>
      <c r="K933" s="5" t="str">
        <f>"1013.86"</f>
        <v>1013.86</v>
      </c>
      <c r="L933" s="5"/>
      <c r="M933" s="5"/>
      <c r="N933" s="5"/>
      <c r="O933" s="5"/>
      <c r="P933" s="5"/>
      <c r="Q933" s="5"/>
      <c r="R933" s="5"/>
      <c r="S933" s="5"/>
      <c r="T933" s="5"/>
      <c r="U933" s="5" t="str">
        <f>"817.52"</f>
        <v>817.52</v>
      </c>
      <c r="V933" s="5"/>
      <c r="W933" s="5"/>
      <c r="X933" s="5"/>
      <c r="Y933" s="5"/>
      <c r="Z933" s="5"/>
      <c r="AA933" s="5"/>
      <c r="AB933" s="5" t="str">
        <f>"323.50"</f>
        <v>323.50</v>
      </c>
      <c r="AC933" s="5"/>
      <c r="AD933" s="5"/>
    </row>
    <row r="934" spans="1:30" ht="13.5" customHeight="1">
      <c r="A934" s="8">
        <v>932</v>
      </c>
      <c r="B934" s="8">
        <v>10482</v>
      </c>
      <c r="C934" s="9" t="s">
        <v>614</v>
      </c>
      <c r="D934" s="8" t="s">
        <v>29</v>
      </c>
      <c r="E934" s="8" t="str">
        <f>"606.46"</f>
        <v>606.46</v>
      </c>
      <c r="F934" s="8"/>
      <c r="G934" s="3">
        <v>572.88</v>
      </c>
      <c r="H934" s="10" t="s">
        <v>12</v>
      </c>
      <c r="I934" s="8">
        <v>2</v>
      </c>
      <c r="J934" s="10">
        <v>2017</v>
      </c>
      <c r="K934" s="5" t="str">
        <f>"668.04"</f>
        <v>668.04</v>
      </c>
      <c r="L934" s="5"/>
      <c r="M934" s="5"/>
      <c r="N934" s="5"/>
      <c r="O934" s="5"/>
      <c r="P934" s="5"/>
      <c r="Q934" s="5"/>
      <c r="R934" s="5"/>
      <c r="S934" s="5"/>
      <c r="T934" s="5"/>
      <c r="U934" s="5" t="str">
        <f>"544.88"</f>
        <v>544.88</v>
      </c>
      <c r="V934" s="5"/>
      <c r="W934" s="5"/>
      <c r="X934" s="5"/>
      <c r="Y934" s="5"/>
      <c r="Z934" s="5"/>
      <c r="AA934" s="5"/>
      <c r="AB934" s="5"/>
      <c r="AC934" s="5"/>
      <c r="AD934" s="5"/>
    </row>
    <row r="935" spans="1:30" ht="13.5" customHeight="1">
      <c r="A935" s="8">
        <v>933</v>
      </c>
      <c r="B935" s="8">
        <v>11430</v>
      </c>
      <c r="C935" s="9" t="s">
        <v>778</v>
      </c>
      <c r="D935" s="8" t="s">
        <v>16</v>
      </c>
      <c r="E935" s="8" t="str">
        <f>"574.00"</f>
        <v>574.00</v>
      </c>
      <c r="F935" s="8"/>
      <c r="G935" s="3">
        <v>574</v>
      </c>
      <c r="H935" s="10" t="s">
        <v>12</v>
      </c>
      <c r="I935" s="8">
        <v>4</v>
      </c>
      <c r="J935" s="10">
        <v>2017</v>
      </c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 t="str">
        <f>"546.00"</f>
        <v>546.00</v>
      </c>
      <c r="AD935" s="5"/>
    </row>
    <row r="936" spans="1:30" ht="13.5" customHeight="1">
      <c r="A936" s="8">
        <v>934</v>
      </c>
      <c r="B936" s="8">
        <v>11236</v>
      </c>
      <c r="C936" s="9" t="s">
        <v>988</v>
      </c>
      <c r="D936" s="8" t="s">
        <v>16</v>
      </c>
      <c r="E936" s="8" t="str">
        <f>"577.29"</f>
        <v>577.29</v>
      </c>
      <c r="F936" s="8"/>
      <c r="G936" s="3">
        <v>577.29</v>
      </c>
      <c r="H936" s="10" t="s">
        <v>12</v>
      </c>
      <c r="I936" s="8">
        <v>4</v>
      </c>
      <c r="J936" s="10">
        <v>2017</v>
      </c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 t="str">
        <f>"549.29"</f>
        <v>549.29</v>
      </c>
      <c r="AD936" s="5"/>
    </row>
    <row r="937" spans="1:30" ht="13.5" customHeight="1">
      <c r="A937" s="8">
        <v>935</v>
      </c>
      <c r="B937" s="8">
        <v>10947</v>
      </c>
      <c r="C937" s="9" t="s">
        <v>1007</v>
      </c>
      <c r="D937" s="8" t="s">
        <v>29</v>
      </c>
      <c r="E937" s="8" t="str">
        <f>"580.17"</f>
        <v>580.17</v>
      </c>
      <c r="F937" s="8"/>
      <c r="G937" s="3">
        <v>580.16999999999996</v>
      </c>
      <c r="H937" s="10" t="s">
        <v>12</v>
      </c>
      <c r="I937" s="8">
        <v>4</v>
      </c>
      <c r="J937" s="10">
        <v>2017</v>
      </c>
      <c r="K937" s="5"/>
      <c r="L937" s="5"/>
      <c r="M937" s="5"/>
      <c r="N937" s="5"/>
      <c r="O937" s="5"/>
      <c r="P937" s="5"/>
      <c r="Q937" s="5"/>
      <c r="R937" s="5" t="str">
        <f>"552.17"</f>
        <v>552.17</v>
      </c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</row>
    <row r="938" spans="1:30" ht="13.5" customHeight="1">
      <c r="A938" s="8">
        <v>936</v>
      </c>
      <c r="B938" s="8">
        <v>10836</v>
      </c>
      <c r="C938" s="9" t="s">
        <v>1008</v>
      </c>
      <c r="D938" s="8" t="s">
        <v>16</v>
      </c>
      <c r="E938" s="8" t="str">
        <f>"584.83"</f>
        <v>584.83</v>
      </c>
      <c r="F938" s="8"/>
      <c r="G938" s="3">
        <v>584.83000000000004</v>
      </c>
      <c r="H938" s="10"/>
      <c r="I938" s="8">
        <v>5</v>
      </c>
      <c r="J938" s="10">
        <v>2017</v>
      </c>
      <c r="K938" s="5"/>
      <c r="L938" s="5" t="str">
        <f>"645.89"</f>
        <v>645.89</v>
      </c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 t="str">
        <f>"523.76"</f>
        <v>523.76</v>
      </c>
      <c r="AD938" s="5"/>
    </row>
    <row r="939" spans="1:30" ht="13.5" customHeight="1">
      <c r="A939" s="8">
        <v>937</v>
      </c>
      <c r="B939" s="8">
        <v>11243</v>
      </c>
      <c r="C939" s="9" t="s">
        <v>1090</v>
      </c>
      <c r="D939" s="8" t="s">
        <v>16</v>
      </c>
      <c r="E939" s="8" t="str">
        <f>"586.17"</f>
        <v>586.17</v>
      </c>
      <c r="F939" s="8"/>
      <c r="G939" s="3">
        <v>586.16999999999996</v>
      </c>
      <c r="H939" s="10"/>
      <c r="I939" s="8">
        <v>5</v>
      </c>
      <c r="J939" s="10">
        <v>2017</v>
      </c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 t="str">
        <f>"595.60"</f>
        <v>595.60</v>
      </c>
      <c r="W939" s="5"/>
      <c r="X939" s="5"/>
      <c r="Y939" s="5"/>
      <c r="Z939" s="5"/>
      <c r="AA939" s="5"/>
      <c r="AB939" s="5"/>
      <c r="AC939" s="5" t="str">
        <f>"576.74"</f>
        <v>576.74</v>
      </c>
      <c r="AD939" s="5"/>
    </row>
    <row r="940" spans="1:30" ht="13.5" customHeight="1">
      <c r="A940" s="8">
        <v>938</v>
      </c>
      <c r="B940" s="8">
        <v>11250</v>
      </c>
      <c r="C940" s="9" t="s">
        <v>923</v>
      </c>
      <c r="D940" s="8" t="s">
        <v>16</v>
      </c>
      <c r="E940" s="8" t="str">
        <f>"586.59"</f>
        <v>586.59</v>
      </c>
      <c r="F940" s="8"/>
      <c r="G940" s="3">
        <v>586.59</v>
      </c>
      <c r="H940" s="10" t="s">
        <v>12</v>
      </c>
      <c r="I940" s="8">
        <v>4</v>
      </c>
      <c r="J940" s="10">
        <v>2017</v>
      </c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 t="str">
        <f>"558.59"</f>
        <v>558.59</v>
      </c>
      <c r="W940" s="5"/>
      <c r="X940" s="5"/>
      <c r="Y940" s="5"/>
      <c r="Z940" s="5"/>
      <c r="AA940" s="5"/>
      <c r="AB940" s="5"/>
      <c r="AC940" s="5"/>
      <c r="AD940" s="5"/>
    </row>
    <row r="941" spans="1:30" ht="13.5" customHeight="1">
      <c r="A941" s="8">
        <v>939</v>
      </c>
      <c r="B941" s="8">
        <v>10764</v>
      </c>
      <c r="C941" s="9" t="s">
        <v>740</v>
      </c>
      <c r="D941" s="8" t="s">
        <v>29</v>
      </c>
      <c r="E941" s="8" t="str">
        <f>"560.10"</f>
        <v>560.10</v>
      </c>
      <c r="F941" s="8"/>
      <c r="G941" s="3">
        <v>588.1</v>
      </c>
      <c r="H941" s="10" t="s">
        <v>18</v>
      </c>
      <c r="I941" s="8">
        <v>1</v>
      </c>
      <c r="J941" s="10">
        <v>2017</v>
      </c>
      <c r="K941" s="5" t="str">
        <f>"560.10"</f>
        <v>560.10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</row>
    <row r="942" spans="1:30" ht="13.5" customHeight="1">
      <c r="A942" s="8">
        <v>940</v>
      </c>
      <c r="B942" s="8">
        <v>11298</v>
      </c>
      <c r="C942" s="9" t="s">
        <v>917</v>
      </c>
      <c r="D942" s="8" t="s">
        <v>16</v>
      </c>
      <c r="E942" s="8" t="str">
        <f>"589.73"</f>
        <v>589.73</v>
      </c>
      <c r="F942" s="8"/>
      <c r="G942" s="3">
        <v>589.73</v>
      </c>
      <c r="H942" s="10" t="s">
        <v>12</v>
      </c>
      <c r="I942" s="8">
        <v>4</v>
      </c>
      <c r="J942" s="10">
        <v>2017</v>
      </c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 t="str">
        <f>"561.73"</f>
        <v>561.73</v>
      </c>
      <c r="W942" s="5"/>
      <c r="X942" s="5"/>
      <c r="Y942" s="5"/>
      <c r="Z942" s="5"/>
      <c r="AA942" s="5"/>
      <c r="AB942" s="5"/>
      <c r="AC942" s="5"/>
      <c r="AD942" s="5"/>
    </row>
    <row r="943" spans="1:30" ht="13.5" customHeight="1">
      <c r="A943" s="8">
        <v>941</v>
      </c>
      <c r="B943" s="8">
        <v>11310</v>
      </c>
      <c r="C943" s="9" t="s">
        <v>1150</v>
      </c>
      <c r="D943" s="8" t="s">
        <v>16</v>
      </c>
      <c r="E943" s="8" t="str">
        <f>"591.65"</f>
        <v>591.65</v>
      </c>
      <c r="F943" s="8"/>
      <c r="G943" s="3">
        <v>591.65</v>
      </c>
      <c r="H943" s="10"/>
      <c r="I943" s="8">
        <v>5</v>
      </c>
      <c r="J943" s="10">
        <v>2017</v>
      </c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 t="str">
        <f>"662.18"</f>
        <v>662.18</v>
      </c>
      <c r="W943" s="5"/>
      <c r="X943" s="5"/>
      <c r="Y943" s="5"/>
      <c r="Z943" s="5"/>
      <c r="AA943" s="5"/>
      <c r="AB943" s="5"/>
      <c r="AC943" s="5" t="str">
        <f>"521.11"</f>
        <v>521.11</v>
      </c>
      <c r="AD943" s="5"/>
    </row>
    <row r="944" spans="1:30" ht="13.5" customHeight="1">
      <c r="A944" s="8">
        <v>942</v>
      </c>
      <c r="B944" s="8">
        <v>10185</v>
      </c>
      <c r="C944" s="9" t="s">
        <v>1049</v>
      </c>
      <c r="D944" s="8" t="s">
        <v>16</v>
      </c>
      <c r="E944" s="8" t="str">
        <f>"594.80"</f>
        <v>594.80</v>
      </c>
      <c r="F944" s="8"/>
      <c r="G944" s="3">
        <v>594.79999999999995</v>
      </c>
      <c r="H944" s="10"/>
      <c r="I944" s="8">
        <v>3</v>
      </c>
      <c r="J944" s="10">
        <v>2017</v>
      </c>
      <c r="K944" s="5" t="str">
        <f>"740.14"</f>
        <v>740.14</v>
      </c>
      <c r="L944" s="5" t="str">
        <f>"612.69"</f>
        <v>612.69</v>
      </c>
      <c r="M944" s="5" t="str">
        <f>"576.91"</f>
        <v>576.91</v>
      </c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</row>
    <row r="945" spans="1:30" ht="13.5" customHeight="1">
      <c r="A945" s="8">
        <v>943</v>
      </c>
      <c r="B945" s="8">
        <v>10831</v>
      </c>
      <c r="C945" s="9" t="s">
        <v>700</v>
      </c>
      <c r="D945" s="8" t="s">
        <v>29</v>
      </c>
      <c r="E945" s="8" t="str">
        <f>"908.13"</f>
        <v>908.13</v>
      </c>
      <c r="F945" s="8"/>
      <c r="G945" s="3">
        <v>599.67999999999995</v>
      </c>
      <c r="H945" s="10" t="s">
        <v>12</v>
      </c>
      <c r="I945" s="8">
        <v>2</v>
      </c>
      <c r="J945" s="10">
        <v>2017</v>
      </c>
      <c r="K945" s="5" t="str">
        <f>"1244.58"</f>
        <v>1244.58</v>
      </c>
      <c r="L945" s="5"/>
      <c r="M945" s="5"/>
      <c r="N945" s="5"/>
      <c r="O945" s="5"/>
      <c r="P945" s="5"/>
      <c r="Q945" s="5"/>
      <c r="R945" s="5"/>
      <c r="S945" s="5"/>
      <c r="T945" s="5"/>
      <c r="U945" s="5" t="str">
        <f>"571.68"</f>
        <v>571.68</v>
      </c>
      <c r="V945" s="5"/>
      <c r="W945" s="5"/>
      <c r="X945" s="5"/>
      <c r="Y945" s="5"/>
      <c r="Z945" s="5"/>
      <c r="AA945" s="5"/>
      <c r="AB945" s="5"/>
      <c r="AC945" s="5"/>
      <c r="AD945" s="5"/>
    </row>
    <row r="946" spans="1:30" ht="13.5" customHeight="1">
      <c r="A946" s="8">
        <v>944</v>
      </c>
      <c r="B946" s="8">
        <v>10730</v>
      </c>
      <c r="C946" s="9" t="s">
        <v>925</v>
      </c>
      <c r="D946" s="8" t="s">
        <v>29</v>
      </c>
      <c r="E946" s="8" t="str">
        <f>"602.86"</f>
        <v>602.86</v>
      </c>
      <c r="F946" s="8"/>
      <c r="G946" s="3">
        <v>602.86</v>
      </c>
      <c r="H946" s="10"/>
      <c r="I946" s="8">
        <v>3</v>
      </c>
      <c r="J946" s="10">
        <v>2017</v>
      </c>
      <c r="K946" s="5" t="str">
        <f>"1088.23"</f>
        <v>1088.23</v>
      </c>
      <c r="L946" s="5"/>
      <c r="M946" s="5"/>
      <c r="N946" s="5"/>
      <c r="O946" s="5"/>
      <c r="P946" s="5"/>
      <c r="Q946" s="5"/>
      <c r="R946" s="5"/>
      <c r="S946" s="5"/>
      <c r="T946" s="5"/>
      <c r="U946" s="5" t="str">
        <f>"891.18"</f>
        <v>891.18</v>
      </c>
      <c r="V946" s="5"/>
      <c r="W946" s="5"/>
      <c r="X946" s="5"/>
      <c r="Y946" s="5"/>
      <c r="Z946" s="5"/>
      <c r="AA946" s="5"/>
      <c r="AB946" s="5" t="str">
        <f>"314.53"</f>
        <v>314.53</v>
      </c>
      <c r="AC946" s="5"/>
      <c r="AD946" s="5"/>
    </row>
    <row r="947" spans="1:30" ht="13.5" customHeight="1">
      <c r="A947" s="8">
        <v>945</v>
      </c>
      <c r="B947" s="8">
        <v>10470</v>
      </c>
      <c r="C947" s="9" t="s">
        <v>861</v>
      </c>
      <c r="D947" s="8" t="s">
        <v>29</v>
      </c>
      <c r="E947" s="8" t="str">
        <f>"608.72"</f>
        <v>608.72</v>
      </c>
      <c r="F947" s="8"/>
      <c r="G947" s="3">
        <v>608.72</v>
      </c>
      <c r="H947" s="10"/>
      <c r="I947" s="8">
        <v>3</v>
      </c>
      <c r="J947" s="10">
        <v>2017</v>
      </c>
      <c r="K947" s="5" t="str">
        <f>"1179.60"</f>
        <v>1179.60</v>
      </c>
      <c r="L947" s="5"/>
      <c r="M947" s="5"/>
      <c r="N947" s="5"/>
      <c r="O947" s="5"/>
      <c r="P947" s="5"/>
      <c r="Q947" s="5"/>
      <c r="R947" s="5"/>
      <c r="S947" s="5"/>
      <c r="T947" s="5"/>
      <c r="U947" s="5" t="str">
        <f>"787.54"</f>
        <v>787.54</v>
      </c>
      <c r="V947" s="5"/>
      <c r="W947" s="5"/>
      <c r="X947" s="5"/>
      <c r="Y947" s="5"/>
      <c r="Z947" s="5"/>
      <c r="AA947" s="5"/>
      <c r="AB947" s="5"/>
      <c r="AC947" s="5" t="str">
        <f>"429.89"</f>
        <v>429.89</v>
      </c>
      <c r="AD947" s="5"/>
    </row>
    <row r="948" spans="1:30" ht="13.5" customHeight="1">
      <c r="A948" s="8">
        <v>946</v>
      </c>
      <c r="B948" s="8">
        <v>10587</v>
      </c>
      <c r="C948" s="9" t="s">
        <v>1048</v>
      </c>
      <c r="D948" s="8" t="s">
        <v>16</v>
      </c>
      <c r="E948" s="8" t="str">
        <f>"514.98"</f>
        <v>514.98</v>
      </c>
      <c r="F948" s="8"/>
      <c r="G948" s="3">
        <v>609.12</v>
      </c>
      <c r="H948" s="10" t="s">
        <v>12</v>
      </c>
      <c r="I948" s="8">
        <v>2</v>
      </c>
      <c r="J948" s="10">
        <v>2017</v>
      </c>
      <c r="K948" s="5" t="str">
        <f>"514.98"</f>
        <v>514.98</v>
      </c>
      <c r="L948" s="5" t="str">
        <f>"581.12"</f>
        <v>581.12</v>
      </c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</row>
    <row r="949" spans="1:30" ht="13.5" customHeight="1">
      <c r="A949" s="8">
        <v>947</v>
      </c>
      <c r="B949" s="8">
        <v>10566</v>
      </c>
      <c r="C949" s="9" t="s">
        <v>1163</v>
      </c>
      <c r="D949" s="8" t="s">
        <v>16</v>
      </c>
      <c r="E949" s="8" t="str">
        <f>"582.19"</f>
        <v>582.19</v>
      </c>
      <c r="F949" s="8"/>
      <c r="G949" s="3">
        <v>610.19000000000005</v>
      </c>
      <c r="H949" s="10" t="s">
        <v>18</v>
      </c>
      <c r="I949" s="8">
        <v>1</v>
      </c>
      <c r="J949" s="10">
        <v>2017</v>
      </c>
      <c r="K949" s="5" t="str">
        <f>"582.19"</f>
        <v>582.19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</row>
    <row r="950" spans="1:30" ht="13.5" customHeight="1">
      <c r="A950" s="8">
        <v>948</v>
      </c>
      <c r="B950" s="8">
        <v>10404</v>
      </c>
      <c r="C950" s="9" t="s">
        <v>457</v>
      </c>
      <c r="D950" s="8" t="s">
        <v>16</v>
      </c>
      <c r="E950" s="8" t="str">
        <f>"553.22"</f>
        <v>553.22</v>
      </c>
      <c r="F950" s="8"/>
      <c r="G950" s="3">
        <v>612.62</v>
      </c>
      <c r="H950" s="10"/>
      <c r="I950" s="8">
        <v>3</v>
      </c>
      <c r="J950" s="10">
        <v>2017</v>
      </c>
      <c r="K950" s="5" t="str">
        <f>"703.82"</f>
        <v>703.82</v>
      </c>
      <c r="L950" s="5"/>
      <c r="M950" s="5"/>
      <c r="N950" s="5"/>
      <c r="O950" s="5"/>
      <c r="P950" s="5"/>
      <c r="Q950" s="5"/>
      <c r="R950" s="5"/>
      <c r="S950" s="5"/>
      <c r="T950" s="5"/>
      <c r="U950" s="5" t="str">
        <f>"822.62"</f>
        <v>822.62</v>
      </c>
      <c r="V950" s="5"/>
      <c r="W950" s="5"/>
      <c r="X950" s="5"/>
      <c r="Y950" s="5"/>
      <c r="Z950" s="5"/>
      <c r="AA950" s="5"/>
      <c r="AB950" s="5"/>
      <c r="AC950" s="5" t="str">
        <f>"402.62"</f>
        <v>402.62</v>
      </c>
      <c r="AD950" s="5"/>
    </row>
    <row r="951" spans="1:30" ht="13.5" customHeight="1">
      <c r="A951" s="8">
        <v>949</v>
      </c>
      <c r="B951" s="8">
        <v>11299</v>
      </c>
      <c r="C951" s="9" t="s">
        <v>1043</v>
      </c>
      <c r="D951" s="8" t="s">
        <v>16</v>
      </c>
      <c r="E951" s="8" t="str">
        <f>"613.16"</f>
        <v>613.16</v>
      </c>
      <c r="F951" s="8"/>
      <c r="G951" s="3">
        <v>613.16</v>
      </c>
      <c r="H951" s="10" t="s">
        <v>12</v>
      </c>
      <c r="I951" s="8">
        <v>4</v>
      </c>
      <c r="J951" s="10">
        <v>2017</v>
      </c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 t="str">
        <f>"585.16"</f>
        <v>585.16</v>
      </c>
      <c r="AD951" s="5"/>
    </row>
    <row r="952" spans="1:30" ht="13.5" customHeight="1">
      <c r="A952" s="8">
        <v>950</v>
      </c>
      <c r="B952" s="8">
        <v>10770</v>
      </c>
      <c r="C952" s="9" t="s">
        <v>943</v>
      </c>
      <c r="D952" s="8" t="s">
        <v>29</v>
      </c>
      <c r="E952" s="8" t="str">
        <f>"661.89"</f>
        <v>661.89</v>
      </c>
      <c r="F952" s="8"/>
      <c r="G952" s="3">
        <v>613.70000000000005</v>
      </c>
      <c r="H952" s="10" t="s">
        <v>12</v>
      </c>
      <c r="I952" s="8">
        <v>2</v>
      </c>
      <c r="J952" s="10">
        <v>2017</v>
      </c>
      <c r="K952" s="5" t="str">
        <f>"738.08"</f>
        <v>738.08</v>
      </c>
      <c r="L952" s="5"/>
      <c r="M952" s="5"/>
      <c r="N952" s="5"/>
      <c r="O952" s="5"/>
      <c r="P952" s="5"/>
      <c r="Q952" s="5"/>
      <c r="R952" s="5"/>
      <c r="S952" s="5"/>
      <c r="T952" s="5"/>
      <c r="U952" s="5" t="str">
        <f>"585.70"</f>
        <v>585.70</v>
      </c>
      <c r="V952" s="5"/>
      <c r="W952" s="5"/>
      <c r="X952" s="5"/>
      <c r="Y952" s="5"/>
      <c r="Z952" s="5"/>
      <c r="AA952" s="5"/>
      <c r="AB952" s="5"/>
      <c r="AC952" s="5"/>
      <c r="AD952" s="5"/>
    </row>
    <row r="953" spans="1:30" ht="13.5" customHeight="1">
      <c r="A953" s="8">
        <v>951</v>
      </c>
      <c r="B953" s="8">
        <v>10718</v>
      </c>
      <c r="C953" s="9" t="s">
        <v>879</v>
      </c>
      <c r="D953" s="8" t="s">
        <v>29</v>
      </c>
      <c r="E953" s="8" t="str">
        <f>"614.17"</f>
        <v>614.17</v>
      </c>
      <c r="F953" s="8"/>
      <c r="G953" s="3">
        <v>614.16999999999996</v>
      </c>
      <c r="H953" s="10"/>
      <c r="I953" s="8">
        <v>3</v>
      </c>
      <c r="J953" s="10">
        <v>2017</v>
      </c>
      <c r="K953" s="5" t="str">
        <f>"1154.82"</f>
        <v>1154.82</v>
      </c>
      <c r="L953" s="5"/>
      <c r="M953" s="5"/>
      <c r="N953" s="5"/>
      <c r="O953" s="5"/>
      <c r="P953" s="5"/>
      <c r="Q953" s="5"/>
      <c r="R953" s="5"/>
      <c r="S953" s="5"/>
      <c r="T953" s="5"/>
      <c r="U953" s="5" t="str">
        <f>"775.42"</f>
        <v>775.42</v>
      </c>
      <c r="V953" s="5"/>
      <c r="W953" s="5"/>
      <c r="X953" s="5" t="str">
        <f>"452.91"</f>
        <v>452.91</v>
      </c>
      <c r="Y953" s="5"/>
      <c r="Z953" s="5"/>
      <c r="AA953" s="5"/>
      <c r="AB953" s="5"/>
      <c r="AC953" s="5"/>
      <c r="AD953" s="5"/>
    </row>
    <row r="954" spans="1:30" ht="13.5" customHeight="1">
      <c r="A954" s="8">
        <v>952</v>
      </c>
      <c r="B954" s="8">
        <v>10773</v>
      </c>
      <c r="C954" s="9" t="s">
        <v>728</v>
      </c>
      <c r="D954" s="8" t="s">
        <v>29</v>
      </c>
      <c r="E954" s="8" t="str">
        <f>"718.85"</f>
        <v>718.85</v>
      </c>
      <c r="F954" s="8"/>
      <c r="G954" s="3">
        <v>615.94000000000005</v>
      </c>
      <c r="H954" s="10" t="s">
        <v>12</v>
      </c>
      <c r="I954" s="8">
        <v>2</v>
      </c>
      <c r="J954" s="10">
        <v>2017</v>
      </c>
      <c r="K954" s="5" t="str">
        <f>"849.76"</f>
        <v>849.76</v>
      </c>
      <c r="L954" s="5"/>
      <c r="M954" s="5"/>
      <c r="N954" s="5"/>
      <c r="O954" s="5"/>
      <c r="P954" s="5"/>
      <c r="Q954" s="5"/>
      <c r="R954" s="5"/>
      <c r="S954" s="5"/>
      <c r="T954" s="5"/>
      <c r="U954" s="5" t="str">
        <f>"587.94"</f>
        <v>587.94</v>
      </c>
      <c r="V954" s="5"/>
      <c r="W954" s="5"/>
      <c r="X954" s="5"/>
      <c r="Y954" s="5"/>
      <c r="Z954" s="5"/>
      <c r="AA954" s="5"/>
      <c r="AB954" s="5"/>
      <c r="AC954" s="5"/>
      <c r="AD954" s="5"/>
    </row>
    <row r="955" spans="1:30" ht="13.5" customHeight="1">
      <c r="A955" s="8">
        <v>953</v>
      </c>
      <c r="B955" s="8">
        <v>10908</v>
      </c>
      <c r="C955" s="9" t="s">
        <v>1077</v>
      </c>
      <c r="D955" s="8" t="s">
        <v>16</v>
      </c>
      <c r="E955" s="8" t="str">
        <f>"590.91"</f>
        <v>590.91</v>
      </c>
      <c r="F955" s="8"/>
      <c r="G955" s="3">
        <v>618.91</v>
      </c>
      <c r="H955" s="10" t="s">
        <v>18</v>
      </c>
      <c r="I955" s="8">
        <v>1</v>
      </c>
      <c r="J955" s="10">
        <v>2017</v>
      </c>
      <c r="K955" s="5" t="str">
        <f>"590.91"</f>
        <v>590.91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</row>
    <row r="956" spans="1:30" ht="13.5" customHeight="1">
      <c r="A956" s="8">
        <v>954</v>
      </c>
      <c r="B956" s="8">
        <v>10732</v>
      </c>
      <c r="C956" s="9" t="s">
        <v>1040</v>
      </c>
      <c r="D956" s="8" t="s">
        <v>16</v>
      </c>
      <c r="E956" s="8" t="str">
        <f>"618.96"</f>
        <v>618.96</v>
      </c>
      <c r="F956" s="8"/>
      <c r="G956" s="3">
        <v>618.96</v>
      </c>
      <c r="H956" s="10"/>
      <c r="I956" s="8">
        <v>3</v>
      </c>
      <c r="J956" s="10">
        <v>2017</v>
      </c>
      <c r="K956" s="5" t="str">
        <f>"1090.09"</f>
        <v>1090.09</v>
      </c>
      <c r="L956" s="5" t="str">
        <f>"604.82"</f>
        <v>604.82</v>
      </c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 t="str">
        <f>"633.10"</f>
        <v>633.10</v>
      </c>
      <c r="AD956" s="5"/>
    </row>
    <row r="957" spans="1:30" ht="13.5" customHeight="1">
      <c r="A957" s="8">
        <v>955</v>
      </c>
      <c r="B957" s="8">
        <v>10895</v>
      </c>
      <c r="C957" s="9" t="s">
        <v>1061</v>
      </c>
      <c r="D957" s="8" t="s">
        <v>16</v>
      </c>
      <c r="E957" s="8" t="str">
        <f>"620.80"</f>
        <v>620.80</v>
      </c>
      <c r="F957" s="8"/>
      <c r="G957" s="3">
        <v>620.79999999999995</v>
      </c>
      <c r="H957" s="10" t="s">
        <v>12</v>
      </c>
      <c r="I957" s="8">
        <v>4</v>
      </c>
      <c r="J957" s="10">
        <v>2017</v>
      </c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 t="str">
        <f>"592.80"</f>
        <v>592.80</v>
      </c>
      <c r="W957" s="5"/>
      <c r="X957" s="5"/>
      <c r="Y957" s="5"/>
      <c r="Z957" s="5"/>
      <c r="AA957" s="5"/>
      <c r="AB957" s="5"/>
      <c r="AC957" s="5"/>
      <c r="AD957" s="5"/>
    </row>
    <row r="958" spans="1:30" ht="13.5" customHeight="1">
      <c r="A958" s="8">
        <v>956</v>
      </c>
      <c r="B958" s="8">
        <v>11112</v>
      </c>
      <c r="C958" s="9" t="s">
        <v>939</v>
      </c>
      <c r="D958" s="8" t="s">
        <v>22</v>
      </c>
      <c r="E958" s="8" t="str">
        <f>"622.87"</f>
        <v>622.87</v>
      </c>
      <c r="F958" s="8"/>
      <c r="G958" s="3">
        <v>622.87</v>
      </c>
      <c r="H958" s="10" t="s">
        <v>12</v>
      </c>
      <c r="I958" s="8">
        <v>4</v>
      </c>
      <c r="J958" s="10">
        <v>2017</v>
      </c>
      <c r="K958" s="5"/>
      <c r="L958" s="5"/>
      <c r="M958" s="5"/>
      <c r="N958" s="5"/>
      <c r="O958" s="5"/>
      <c r="P958" s="5" t="str">
        <f>"594.87"</f>
        <v>594.87</v>
      </c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</row>
    <row r="959" spans="1:30" ht="13.5" customHeight="1">
      <c r="A959" s="8">
        <v>957</v>
      </c>
      <c r="B959" s="8">
        <v>10454</v>
      </c>
      <c r="C959" s="9" t="s">
        <v>490</v>
      </c>
      <c r="D959" s="8" t="s">
        <v>16</v>
      </c>
      <c r="E959" s="8" t="str">
        <f>"626.09"</f>
        <v>626.09</v>
      </c>
      <c r="F959" s="8"/>
      <c r="G959" s="3">
        <v>626.09</v>
      </c>
      <c r="H959" s="10"/>
      <c r="I959" s="8">
        <v>3</v>
      </c>
      <c r="J959" s="10">
        <v>2017</v>
      </c>
      <c r="K959" s="5" t="str">
        <f>"764.40"</f>
        <v>764.40</v>
      </c>
      <c r="L959" s="5"/>
      <c r="M959" s="5"/>
      <c r="N959" s="5"/>
      <c r="O959" s="5"/>
      <c r="P959" s="5"/>
      <c r="Q959" s="5"/>
      <c r="R959" s="5" t="str">
        <f>"694.20"</f>
        <v>694.20</v>
      </c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 t="str">
        <f>"557.98"</f>
        <v>557.98</v>
      </c>
      <c r="AD959" s="5"/>
    </row>
    <row r="960" spans="1:30" ht="13.5" customHeight="1">
      <c r="A960" s="8">
        <v>958</v>
      </c>
      <c r="B960" s="8">
        <v>11251</v>
      </c>
      <c r="C960" s="9" t="s">
        <v>1098</v>
      </c>
      <c r="D960" s="8" t="s">
        <v>16</v>
      </c>
      <c r="E960" s="8" t="str">
        <f>"627.56"</f>
        <v>627.56</v>
      </c>
      <c r="F960" s="8"/>
      <c r="G960" s="3">
        <v>627.55999999999995</v>
      </c>
      <c r="H960" s="10"/>
      <c r="I960" s="8">
        <v>5</v>
      </c>
      <c r="J960" s="10">
        <v>2017</v>
      </c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 t="str">
        <f>"681.30"</f>
        <v>681.30</v>
      </c>
      <c r="W960" s="5"/>
      <c r="X960" s="5"/>
      <c r="Y960" s="5"/>
      <c r="Z960" s="5"/>
      <c r="AA960" s="5"/>
      <c r="AB960" s="5"/>
      <c r="AC960" s="5" t="str">
        <f>"573.81"</f>
        <v>573.81</v>
      </c>
      <c r="AD960" s="5"/>
    </row>
    <row r="961" spans="1:30" ht="13.5" customHeight="1">
      <c r="A961" s="8">
        <v>959</v>
      </c>
      <c r="B961" s="8">
        <v>10736</v>
      </c>
      <c r="C961" s="9" t="s">
        <v>855</v>
      </c>
      <c r="D961" s="8" t="s">
        <v>29</v>
      </c>
      <c r="E961" s="8" t="str">
        <f>"1004.54"</f>
        <v>1004.54</v>
      </c>
      <c r="F961" s="8"/>
      <c r="G961" s="3">
        <v>629.5</v>
      </c>
      <c r="H961" s="10" t="s">
        <v>12</v>
      </c>
      <c r="I961" s="8">
        <v>2</v>
      </c>
      <c r="J961" s="10">
        <v>2017</v>
      </c>
      <c r="K961" s="5" t="str">
        <f>"1407.58"</f>
        <v>1407.58</v>
      </c>
      <c r="L961" s="5"/>
      <c r="M961" s="5"/>
      <c r="N961" s="5"/>
      <c r="O961" s="5"/>
      <c r="P961" s="5"/>
      <c r="Q961" s="5"/>
      <c r="R961" s="5" t="str">
        <f>"601.50"</f>
        <v>601.50</v>
      </c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</row>
    <row r="962" spans="1:30" ht="13.5" customHeight="1">
      <c r="A962" s="8">
        <v>960</v>
      </c>
      <c r="B962" s="8">
        <v>10648</v>
      </c>
      <c r="C962" s="9" t="s">
        <v>1169</v>
      </c>
      <c r="D962" s="8" t="s">
        <v>16</v>
      </c>
      <c r="E962" s="8" t="str">
        <f>"603.26"</f>
        <v>603.26</v>
      </c>
      <c r="F962" s="8"/>
      <c r="G962" s="3">
        <v>631.26</v>
      </c>
      <c r="H962" s="10" t="s">
        <v>18</v>
      </c>
      <c r="I962" s="8">
        <v>1</v>
      </c>
      <c r="J962" s="10">
        <v>2017</v>
      </c>
      <c r="K962" s="5" t="str">
        <f>"603.26"</f>
        <v>603.26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</row>
    <row r="963" spans="1:30" ht="13.5" customHeight="1">
      <c r="A963" s="8">
        <v>961</v>
      </c>
      <c r="B963" s="8">
        <v>10418</v>
      </c>
      <c r="C963" s="9" t="s">
        <v>872</v>
      </c>
      <c r="D963" s="8" t="s">
        <v>29</v>
      </c>
      <c r="E963" s="8" t="str">
        <f>"780.90"</f>
        <v>780.90</v>
      </c>
      <c r="F963" s="8"/>
      <c r="G963" s="3">
        <v>637.62</v>
      </c>
      <c r="H963" s="10" t="s">
        <v>12</v>
      </c>
      <c r="I963" s="8">
        <v>2</v>
      </c>
      <c r="J963" s="10">
        <v>2017</v>
      </c>
      <c r="K963" s="5" t="str">
        <f>"952.18"</f>
        <v>952.18</v>
      </c>
      <c r="L963" s="5"/>
      <c r="M963" s="5"/>
      <c r="N963" s="5"/>
      <c r="O963" s="5"/>
      <c r="P963" s="5"/>
      <c r="Q963" s="5"/>
      <c r="R963" s="5"/>
      <c r="S963" s="5"/>
      <c r="T963" s="5"/>
      <c r="U963" s="5" t="str">
        <f>"609.62"</f>
        <v>609.62</v>
      </c>
      <c r="V963" s="5"/>
      <c r="W963" s="5"/>
      <c r="X963" s="5"/>
      <c r="Y963" s="5"/>
      <c r="Z963" s="5"/>
      <c r="AA963" s="5"/>
      <c r="AB963" s="5"/>
      <c r="AC963" s="5"/>
      <c r="AD963" s="5"/>
    </row>
    <row r="964" spans="1:30" ht="13.5" customHeight="1">
      <c r="A964" s="8">
        <v>962</v>
      </c>
      <c r="B964" s="8">
        <v>10859</v>
      </c>
      <c r="C964" s="9" t="s">
        <v>1060</v>
      </c>
      <c r="D964" s="8" t="s">
        <v>16</v>
      </c>
      <c r="E964" s="8" t="str">
        <f>"612.52"</f>
        <v>612.52</v>
      </c>
      <c r="F964" s="8"/>
      <c r="G964" s="3">
        <v>640.52</v>
      </c>
      <c r="H964" s="10" t="s">
        <v>18</v>
      </c>
      <c r="I964" s="8">
        <v>1</v>
      </c>
      <c r="J964" s="10">
        <v>2017</v>
      </c>
      <c r="K964" s="5" t="str">
        <f>"612.52"</f>
        <v>612.52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</row>
    <row r="965" spans="1:30" ht="13.5" customHeight="1">
      <c r="A965" s="8">
        <v>963</v>
      </c>
      <c r="B965" s="8">
        <v>10855</v>
      </c>
      <c r="C965" s="9" t="s">
        <v>1153</v>
      </c>
      <c r="D965" s="8" t="s">
        <v>16</v>
      </c>
      <c r="E965" s="8" t="str">
        <f>"652.57"</f>
        <v>652.57</v>
      </c>
      <c r="F965" s="8"/>
      <c r="G965" s="3">
        <v>640.96</v>
      </c>
      <c r="H965" s="10" t="s">
        <v>12</v>
      </c>
      <c r="I965" s="8">
        <v>2</v>
      </c>
      <c r="J965" s="10">
        <v>2017</v>
      </c>
      <c r="K965" s="5" t="str">
        <f>"692.17"</f>
        <v>692.17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 t="str">
        <f>"612.96"</f>
        <v>612.96</v>
      </c>
      <c r="W965" s="5"/>
      <c r="X965" s="5"/>
      <c r="Y965" s="5"/>
      <c r="Z965" s="5"/>
      <c r="AA965" s="5"/>
      <c r="AB965" s="5"/>
      <c r="AC965" s="5"/>
      <c r="AD965" s="5"/>
    </row>
    <row r="966" spans="1:30" ht="13.5" customHeight="1">
      <c r="A966" s="8">
        <v>964</v>
      </c>
      <c r="B966" s="8">
        <v>10635</v>
      </c>
      <c r="C966" s="9" t="s">
        <v>1050</v>
      </c>
      <c r="D966" s="8" t="s">
        <v>16</v>
      </c>
      <c r="E966" s="8" t="str">
        <f>"618.39"</f>
        <v>618.39</v>
      </c>
      <c r="F966" s="8"/>
      <c r="G966" s="3">
        <v>646.39</v>
      </c>
      <c r="H966" s="10" t="s">
        <v>18</v>
      </c>
      <c r="I966" s="8">
        <v>1</v>
      </c>
      <c r="J966" s="10">
        <v>2017</v>
      </c>
      <c r="K966" s="5" t="str">
        <f>"618.39"</f>
        <v>618.39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</row>
    <row r="967" spans="1:30" ht="13.5" customHeight="1">
      <c r="A967" s="8">
        <v>965</v>
      </c>
      <c r="B967" s="8">
        <v>10417</v>
      </c>
      <c r="C967" s="9" t="s">
        <v>1024</v>
      </c>
      <c r="D967" s="8" t="s">
        <v>16</v>
      </c>
      <c r="E967" s="8" t="str">
        <f>"655.65"</f>
        <v>655.65</v>
      </c>
      <c r="F967" s="8"/>
      <c r="G967" s="3">
        <v>655.65</v>
      </c>
      <c r="H967" s="10"/>
      <c r="I967" s="8">
        <v>3</v>
      </c>
      <c r="J967" s="10">
        <v>2017</v>
      </c>
      <c r="K967" s="5" t="str">
        <f>"1148.76"</f>
        <v>1148.76</v>
      </c>
      <c r="L967" s="5"/>
      <c r="M967" s="5"/>
      <c r="N967" s="5"/>
      <c r="O967" s="5"/>
      <c r="P967" s="5"/>
      <c r="Q967" s="5"/>
      <c r="R967" s="5"/>
      <c r="S967" s="5"/>
      <c r="T967" s="5"/>
      <c r="U967" s="5" t="str">
        <f>"808.58"</f>
        <v>808.58</v>
      </c>
      <c r="V967" s="5"/>
      <c r="W967" s="5"/>
      <c r="X967" s="5"/>
      <c r="Y967" s="5"/>
      <c r="Z967" s="5"/>
      <c r="AA967" s="5"/>
      <c r="AB967" s="5"/>
      <c r="AC967" s="5" t="str">
        <f>"502.72"</f>
        <v>502.72</v>
      </c>
      <c r="AD967" s="5"/>
    </row>
    <row r="968" spans="1:30" ht="13.5" customHeight="1">
      <c r="A968" s="8">
        <v>966</v>
      </c>
      <c r="B968" s="8">
        <v>10155</v>
      </c>
      <c r="C968" s="9" t="s">
        <v>1101</v>
      </c>
      <c r="D968" s="8" t="s">
        <v>16</v>
      </c>
      <c r="E968" s="8" t="str">
        <f>"630.27"</f>
        <v>630.27</v>
      </c>
      <c r="F968" s="8"/>
      <c r="G968" s="3">
        <v>658.27</v>
      </c>
      <c r="H968" s="10" t="s">
        <v>18</v>
      </c>
      <c r="I968" s="8">
        <v>1</v>
      </c>
      <c r="J968" s="10">
        <v>2017</v>
      </c>
      <c r="K968" s="5" t="str">
        <f>"630.27"</f>
        <v>630.27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</row>
    <row r="969" spans="1:30" ht="13.5" customHeight="1">
      <c r="A969" s="8">
        <v>967</v>
      </c>
      <c r="B969" s="8">
        <v>10472</v>
      </c>
      <c r="C969" s="9" t="s">
        <v>908</v>
      </c>
      <c r="D969" s="8" t="s">
        <v>29</v>
      </c>
      <c r="E969" s="8" t="str">
        <f>"658.58"</f>
        <v>658.58</v>
      </c>
      <c r="F969" s="8"/>
      <c r="G969" s="3">
        <v>658.58</v>
      </c>
      <c r="H969" s="10"/>
      <c r="I969" s="8">
        <v>3</v>
      </c>
      <c r="J969" s="10">
        <v>2017</v>
      </c>
      <c r="K969" s="5" t="str">
        <f>"1229.16"</f>
        <v>1229.16</v>
      </c>
      <c r="L969" s="5"/>
      <c r="M969" s="5"/>
      <c r="N969" s="5"/>
      <c r="O969" s="5"/>
      <c r="P969" s="5"/>
      <c r="Q969" s="5"/>
      <c r="R969" s="5"/>
      <c r="S969" s="5"/>
      <c r="T969" s="5"/>
      <c r="U969" s="5" t="str">
        <f>"871.08"</f>
        <v>871.08</v>
      </c>
      <c r="V969" s="5"/>
      <c r="W969" s="5"/>
      <c r="X969" s="5"/>
      <c r="Y969" s="5"/>
      <c r="Z969" s="5"/>
      <c r="AA969" s="5"/>
      <c r="AB969" s="5"/>
      <c r="AC969" s="5" t="str">
        <f>"446.08"</f>
        <v>446.08</v>
      </c>
      <c r="AD969" s="5"/>
    </row>
    <row r="970" spans="1:30" ht="13.5" customHeight="1">
      <c r="A970" s="8">
        <v>968</v>
      </c>
      <c r="B970" s="8">
        <v>11304</v>
      </c>
      <c r="C970" s="9" t="s">
        <v>1105</v>
      </c>
      <c r="D970" s="8" t="s">
        <v>16</v>
      </c>
      <c r="E970" s="8" t="str">
        <f>"663.88"</f>
        <v>663.88</v>
      </c>
      <c r="F970" s="8"/>
      <c r="G970" s="3">
        <v>663.88</v>
      </c>
      <c r="H970" s="10"/>
      <c r="I970" s="8">
        <v>5</v>
      </c>
      <c r="J970" s="10">
        <v>2017</v>
      </c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 t="str">
        <f>"683.39"</f>
        <v>683.39</v>
      </c>
      <c r="W970" s="5"/>
      <c r="X970" s="5"/>
      <c r="Y970" s="5"/>
      <c r="Z970" s="5"/>
      <c r="AA970" s="5"/>
      <c r="AB970" s="5"/>
      <c r="AC970" s="5" t="str">
        <f>"644.36"</f>
        <v>644.36</v>
      </c>
      <c r="AD970" s="5"/>
    </row>
    <row r="971" spans="1:30" ht="13.5" customHeight="1">
      <c r="A971" s="8">
        <v>969</v>
      </c>
      <c r="B971" s="8">
        <v>10949</v>
      </c>
      <c r="C971" s="9" t="s">
        <v>1012</v>
      </c>
      <c r="D971" s="8" t="s">
        <v>29</v>
      </c>
      <c r="E971" s="8" t="str">
        <f>"629.72"</f>
        <v>629.72</v>
      </c>
      <c r="F971" s="8"/>
      <c r="G971" s="3">
        <v>666.92</v>
      </c>
      <c r="H971" s="10"/>
      <c r="I971" s="8">
        <v>3</v>
      </c>
      <c r="J971" s="10">
        <v>2017</v>
      </c>
      <c r="K971" s="5" t="str">
        <f>"753.00"</f>
        <v>753.00</v>
      </c>
      <c r="L971" s="5"/>
      <c r="M971" s="5"/>
      <c r="N971" s="5"/>
      <c r="O971" s="5"/>
      <c r="P971" s="5"/>
      <c r="Q971" s="5"/>
      <c r="R971" s="5" t="str">
        <f>"506.43"</f>
        <v>506.43</v>
      </c>
      <c r="S971" s="5"/>
      <c r="T971" s="5"/>
      <c r="U971" s="5" t="str">
        <f>"827.40"</f>
        <v>827.40</v>
      </c>
      <c r="V971" s="5"/>
      <c r="W971" s="5"/>
      <c r="X971" s="5"/>
      <c r="Y971" s="5"/>
      <c r="Z971" s="5"/>
      <c r="AA971" s="5"/>
      <c r="AB971" s="5"/>
      <c r="AC971" s="5"/>
      <c r="AD971" s="5"/>
    </row>
    <row r="972" spans="1:30" ht="13.5" customHeight="1">
      <c r="A972" s="8">
        <v>970</v>
      </c>
      <c r="B972" s="8">
        <v>10780</v>
      </c>
      <c r="C972" s="9" t="s">
        <v>979</v>
      </c>
      <c r="D972" s="8" t="s">
        <v>29</v>
      </c>
      <c r="E972" s="8" t="str">
        <f>"667.17"</f>
        <v>667.17</v>
      </c>
      <c r="F972" s="8"/>
      <c r="G972" s="3">
        <v>667.17</v>
      </c>
      <c r="H972" s="10"/>
      <c r="I972" s="8">
        <v>3</v>
      </c>
      <c r="J972" s="10">
        <v>2017</v>
      </c>
      <c r="K972" s="5" t="str">
        <f>"1876.76"</f>
        <v>1876.76</v>
      </c>
      <c r="L972" s="5"/>
      <c r="M972" s="5"/>
      <c r="N972" s="5"/>
      <c r="O972" s="5"/>
      <c r="P972" s="5"/>
      <c r="Q972" s="5"/>
      <c r="R972" s="5"/>
      <c r="S972" s="5"/>
      <c r="T972" s="5"/>
      <c r="U972" s="5" t="str">
        <f>"939.00"</f>
        <v>939.00</v>
      </c>
      <c r="V972" s="5"/>
      <c r="W972" s="5"/>
      <c r="X972" s="5"/>
      <c r="Y972" s="5"/>
      <c r="Z972" s="5"/>
      <c r="AA972" s="5"/>
      <c r="AB972" s="5" t="str">
        <f>"395.33"</f>
        <v>395.33</v>
      </c>
      <c r="AC972" s="5"/>
      <c r="AD972" s="5"/>
    </row>
    <row r="973" spans="1:30" ht="13.5" customHeight="1">
      <c r="A973" s="8">
        <v>971</v>
      </c>
      <c r="B973" s="8">
        <v>11317</v>
      </c>
      <c r="C973" s="9" t="s">
        <v>1147</v>
      </c>
      <c r="D973" s="8" t="s">
        <v>16</v>
      </c>
      <c r="E973" s="8" t="str">
        <f>"667.22"</f>
        <v>667.22</v>
      </c>
      <c r="F973" s="8"/>
      <c r="G973" s="3">
        <v>667.22</v>
      </c>
      <c r="H973" s="10"/>
      <c r="I973" s="8">
        <v>5</v>
      </c>
      <c r="J973" s="10">
        <v>2017</v>
      </c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 t="str">
        <f>"715.51"</f>
        <v>715.51</v>
      </c>
      <c r="W973" s="5"/>
      <c r="X973" s="5"/>
      <c r="Y973" s="5"/>
      <c r="Z973" s="5"/>
      <c r="AA973" s="5"/>
      <c r="AB973" s="5"/>
      <c r="AC973" s="5" t="str">
        <f>"618.92"</f>
        <v>618.92</v>
      </c>
      <c r="AD973" s="5"/>
    </row>
    <row r="974" spans="1:30" ht="13.5" customHeight="1">
      <c r="A974" s="8">
        <v>972</v>
      </c>
      <c r="B974" s="8">
        <v>10956</v>
      </c>
      <c r="C974" s="9" t="s">
        <v>1041</v>
      </c>
      <c r="D974" s="8" t="s">
        <v>29</v>
      </c>
      <c r="E974" s="8" t="str">
        <f>"642.24"</f>
        <v>642.24</v>
      </c>
      <c r="F974" s="8"/>
      <c r="G974" s="3">
        <v>670.24</v>
      </c>
      <c r="H974" s="10" t="s">
        <v>18</v>
      </c>
      <c r="I974" s="8">
        <v>1</v>
      </c>
      <c r="J974" s="10">
        <v>2017</v>
      </c>
      <c r="K974" s="5" t="str">
        <f>"642.24"</f>
        <v>642.24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</row>
    <row r="975" spans="1:30" ht="13.5" customHeight="1">
      <c r="A975" s="8">
        <v>973</v>
      </c>
      <c r="B975" s="8">
        <v>11069</v>
      </c>
      <c r="C975" s="9" t="s">
        <v>904</v>
      </c>
      <c r="D975" s="8" t="s">
        <v>131</v>
      </c>
      <c r="E975" s="8" t="str">
        <f>"417.41"</f>
        <v>417.41</v>
      </c>
      <c r="F975" s="8"/>
      <c r="G975" s="3">
        <v>670.44</v>
      </c>
      <c r="H975" s="10" t="s">
        <v>12</v>
      </c>
      <c r="I975" s="8">
        <v>2</v>
      </c>
      <c r="J975" s="10">
        <v>2017</v>
      </c>
      <c r="K975" s="5" t="str">
        <f>"417.41"</f>
        <v>417.41</v>
      </c>
      <c r="L975" s="5"/>
      <c r="M975" s="5"/>
      <c r="N975" s="5"/>
      <c r="O975" s="5"/>
      <c r="P975" s="5" t="str">
        <f>"642.44"</f>
        <v>642.44</v>
      </c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</row>
    <row r="976" spans="1:30" ht="13.5" customHeight="1">
      <c r="A976" s="8">
        <v>974</v>
      </c>
      <c r="B976" s="8">
        <v>2289</v>
      </c>
      <c r="C976" s="9" t="s">
        <v>1054</v>
      </c>
      <c r="D976" s="8" t="s">
        <v>16</v>
      </c>
      <c r="E976" s="8" t="str">
        <f>"647.98"</f>
        <v>647.98</v>
      </c>
      <c r="F976" s="8"/>
      <c r="G976" s="3">
        <v>675.98</v>
      </c>
      <c r="H976" s="10" t="s">
        <v>18</v>
      </c>
      <c r="I976" s="8">
        <v>1</v>
      </c>
      <c r="J976" s="10">
        <v>2017</v>
      </c>
      <c r="K976" s="5" t="str">
        <f>"647.98"</f>
        <v>647.98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</row>
    <row r="977" spans="1:30" ht="13.5" customHeight="1">
      <c r="A977" s="8">
        <v>975</v>
      </c>
      <c r="B977" s="8">
        <v>11410</v>
      </c>
      <c r="C977" s="9" t="s">
        <v>1038</v>
      </c>
      <c r="D977" s="8" t="s">
        <v>11</v>
      </c>
      <c r="E977" s="8" t="str">
        <f>"676.52"</f>
        <v>676.52</v>
      </c>
      <c r="F977" s="8"/>
      <c r="G977" s="3">
        <v>676.52</v>
      </c>
      <c r="H977" s="10" t="s">
        <v>12</v>
      </c>
      <c r="I977" s="8">
        <v>4</v>
      </c>
      <c r="J977" s="10">
        <v>2018</v>
      </c>
      <c r="K977" s="5"/>
      <c r="L977" s="5"/>
      <c r="M977" s="5"/>
      <c r="N977" s="5"/>
      <c r="O977" s="5"/>
      <c r="P977" s="5" t="str">
        <f>"648.52"</f>
        <v>648.52</v>
      </c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</row>
    <row r="978" spans="1:30" ht="13.5" customHeight="1">
      <c r="A978" s="8">
        <v>976</v>
      </c>
      <c r="B978" s="8">
        <v>11209</v>
      </c>
      <c r="C978" s="9" t="s">
        <v>1051</v>
      </c>
      <c r="D978" s="8" t="s">
        <v>29</v>
      </c>
      <c r="E978" s="8" t="str">
        <f>"678.12"</f>
        <v>678.12</v>
      </c>
      <c r="F978" s="8"/>
      <c r="G978" s="3">
        <v>678.12</v>
      </c>
      <c r="H978" s="10"/>
      <c r="I978" s="8">
        <v>5</v>
      </c>
      <c r="J978" s="10">
        <v>2017</v>
      </c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 t="str">
        <f>"1036.58"</f>
        <v>1036.58</v>
      </c>
      <c r="V978" s="5"/>
      <c r="W978" s="5"/>
      <c r="X978" s="5"/>
      <c r="Y978" s="5" t="str">
        <f>"319.65"</f>
        <v>319.65</v>
      </c>
      <c r="Z978" s="5"/>
      <c r="AA978" s="5"/>
      <c r="AB978" s="5"/>
      <c r="AC978" s="5"/>
      <c r="AD978" s="5"/>
    </row>
    <row r="979" spans="1:30" ht="13.5" customHeight="1">
      <c r="A979" s="8">
        <v>977</v>
      </c>
      <c r="B979" s="8">
        <v>10460</v>
      </c>
      <c r="C979" s="9" t="s">
        <v>844</v>
      </c>
      <c r="D979" s="8" t="s">
        <v>29</v>
      </c>
      <c r="E979" s="8" t="str">
        <f>"685.62"</f>
        <v>685.62</v>
      </c>
      <c r="F979" s="8"/>
      <c r="G979" s="3">
        <v>685.62</v>
      </c>
      <c r="H979" s="10"/>
      <c r="I979" s="8">
        <v>3</v>
      </c>
      <c r="J979" s="10">
        <v>2017</v>
      </c>
      <c r="K979" s="5" t="str">
        <f>"1594.80"</f>
        <v>1594.80</v>
      </c>
      <c r="L979" s="5"/>
      <c r="M979" s="5"/>
      <c r="N979" s="5"/>
      <c r="O979" s="5"/>
      <c r="P979" s="5"/>
      <c r="Q979" s="5"/>
      <c r="R979" s="5"/>
      <c r="S979" s="5"/>
      <c r="T979" s="5"/>
      <c r="U979" s="5" t="str">
        <f>"841.44"</f>
        <v>841.44</v>
      </c>
      <c r="V979" s="5"/>
      <c r="W979" s="5"/>
      <c r="X979" s="5"/>
      <c r="Y979" s="5"/>
      <c r="Z979" s="5"/>
      <c r="AA979" s="5"/>
      <c r="AB979" s="5"/>
      <c r="AC979" s="5" t="str">
        <f>"529.80"</f>
        <v>529.80</v>
      </c>
      <c r="AD979" s="5"/>
    </row>
    <row r="980" spans="1:30" ht="13.5" customHeight="1">
      <c r="A980" s="8">
        <v>978</v>
      </c>
      <c r="B980" s="8">
        <v>10453</v>
      </c>
      <c r="C980" s="9" t="s">
        <v>794</v>
      </c>
      <c r="D980" s="8" t="s">
        <v>16</v>
      </c>
      <c r="E980" s="8" t="str">
        <f>"658.68"</f>
        <v>658.68</v>
      </c>
      <c r="F980" s="8"/>
      <c r="G980" s="3">
        <v>686.68</v>
      </c>
      <c r="H980" s="10" t="s">
        <v>18</v>
      </c>
      <c r="I980" s="8">
        <v>1</v>
      </c>
      <c r="J980" s="10">
        <v>2017</v>
      </c>
      <c r="K980" s="5" t="str">
        <f>"658.68"</f>
        <v>658.68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</row>
    <row r="981" spans="1:30" ht="13.5" customHeight="1">
      <c r="A981" s="8">
        <v>979</v>
      </c>
      <c r="B981" s="8">
        <v>10694</v>
      </c>
      <c r="C981" s="9" t="s">
        <v>862</v>
      </c>
      <c r="D981" s="8" t="s">
        <v>29</v>
      </c>
      <c r="E981" s="8" t="str">
        <f>"688.64"</f>
        <v>688.64</v>
      </c>
      <c r="F981" s="8"/>
      <c r="G981" s="3">
        <v>688.64</v>
      </c>
      <c r="H981" s="10" t="s">
        <v>12</v>
      </c>
      <c r="I981" s="8">
        <v>4</v>
      </c>
      <c r="J981" s="10">
        <v>2017</v>
      </c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 t="str">
        <f>"660.64"</f>
        <v>660.64</v>
      </c>
      <c r="V981" s="5"/>
      <c r="W981" s="5"/>
      <c r="X981" s="5"/>
      <c r="Y981" s="5"/>
      <c r="Z981" s="5"/>
      <c r="AA981" s="5"/>
      <c r="AB981" s="5"/>
      <c r="AC981" s="5"/>
      <c r="AD981" s="5"/>
    </row>
    <row r="982" spans="1:30" ht="13.5" customHeight="1">
      <c r="A982" s="8">
        <v>980</v>
      </c>
      <c r="B982" s="8">
        <v>10373</v>
      </c>
      <c r="C982" s="9" t="s">
        <v>1187</v>
      </c>
      <c r="D982" s="8" t="s">
        <v>453</v>
      </c>
      <c r="E982" s="8" t="str">
        <f>"665.66"</f>
        <v>665.66</v>
      </c>
      <c r="F982" s="8"/>
      <c r="G982" s="3">
        <v>693.66</v>
      </c>
      <c r="H982" s="10" t="s">
        <v>18</v>
      </c>
      <c r="I982" s="8">
        <v>1</v>
      </c>
      <c r="J982" s="10">
        <v>2017</v>
      </c>
      <c r="K982" s="5" t="str">
        <f>"665.66"</f>
        <v>665.66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</row>
    <row r="983" spans="1:30" ht="13.5" customHeight="1">
      <c r="A983" s="8">
        <v>981</v>
      </c>
      <c r="B983" s="8">
        <v>10916</v>
      </c>
      <c r="C983" s="9" t="s">
        <v>1165</v>
      </c>
      <c r="D983" s="8" t="s">
        <v>16</v>
      </c>
      <c r="E983" s="8" t="str">
        <f>"666.62"</f>
        <v>666.62</v>
      </c>
      <c r="F983" s="8"/>
      <c r="G983" s="3">
        <v>694.62</v>
      </c>
      <c r="H983" s="10" t="s">
        <v>18</v>
      </c>
      <c r="I983" s="8">
        <v>1</v>
      </c>
      <c r="J983" s="10">
        <v>2017</v>
      </c>
      <c r="K983" s="5" t="str">
        <f>"666.62"</f>
        <v>666.62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</row>
    <row r="984" spans="1:30" ht="13.5" customHeight="1">
      <c r="A984" s="8">
        <v>982</v>
      </c>
      <c r="B984" s="8">
        <v>11146</v>
      </c>
      <c r="C984" s="9" t="s">
        <v>846</v>
      </c>
      <c r="D984" s="8" t="s">
        <v>29</v>
      </c>
      <c r="E984" s="8" t="str">
        <f>"701.97"</f>
        <v>701.97</v>
      </c>
      <c r="F984" s="8"/>
      <c r="G984" s="3">
        <v>701.97</v>
      </c>
      <c r="H984" s="10"/>
      <c r="I984" s="8">
        <v>5</v>
      </c>
      <c r="J984" s="10">
        <v>2017</v>
      </c>
      <c r="K984" s="5"/>
      <c r="L984" s="5"/>
      <c r="M984" s="5"/>
      <c r="N984" s="5"/>
      <c r="O984" s="5"/>
      <c r="P984" s="5"/>
      <c r="Q984" s="5"/>
      <c r="R984" s="5" t="str">
        <f>"434.95"</f>
        <v>434.95</v>
      </c>
      <c r="S984" s="5"/>
      <c r="T984" s="5"/>
      <c r="U984" s="5" t="str">
        <f>"968.98"</f>
        <v>968.98</v>
      </c>
      <c r="V984" s="5"/>
      <c r="W984" s="5"/>
      <c r="X984" s="5"/>
      <c r="Y984" s="5"/>
      <c r="Z984" s="5"/>
      <c r="AA984" s="5"/>
      <c r="AB984" s="5"/>
      <c r="AC984" s="5"/>
      <c r="AD984" s="5"/>
    </row>
    <row r="985" spans="1:30" ht="13.5" customHeight="1">
      <c r="A985" s="8">
        <v>983</v>
      </c>
      <c r="B985" s="8">
        <v>11399</v>
      </c>
      <c r="C985" s="9" t="s">
        <v>1094</v>
      </c>
      <c r="D985" s="8" t="s">
        <v>16</v>
      </c>
      <c r="E985" s="8" t="str">
        <f>"705.46"</f>
        <v>705.46</v>
      </c>
      <c r="F985" s="8"/>
      <c r="G985" s="3">
        <v>705.46</v>
      </c>
      <c r="H985" s="10" t="s">
        <v>12</v>
      </c>
      <c r="I985" s="8">
        <v>4</v>
      </c>
      <c r="J985" s="10">
        <v>2017</v>
      </c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 t="str">
        <f>"677.46"</f>
        <v>677.46</v>
      </c>
      <c r="W985" s="5"/>
      <c r="X985" s="5"/>
      <c r="Y985" s="5"/>
      <c r="Z985" s="5"/>
      <c r="AA985" s="5"/>
      <c r="AB985" s="5"/>
      <c r="AC985" s="5"/>
      <c r="AD985" s="5"/>
    </row>
    <row r="986" spans="1:30" ht="13.5" customHeight="1">
      <c r="A986" s="8">
        <v>984</v>
      </c>
      <c r="B986" s="8">
        <v>11244</v>
      </c>
      <c r="C986" s="9" t="s">
        <v>1102</v>
      </c>
      <c r="D986" s="8" t="s">
        <v>16</v>
      </c>
      <c r="E986" s="8" t="str">
        <f>"712.43"</f>
        <v>712.43</v>
      </c>
      <c r="F986" s="8"/>
      <c r="G986" s="3">
        <v>712.43</v>
      </c>
      <c r="H986" s="10" t="s">
        <v>12</v>
      </c>
      <c r="I986" s="8">
        <v>4</v>
      </c>
      <c r="J986" s="10">
        <v>2017</v>
      </c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 t="str">
        <f>"684.43"</f>
        <v>684.43</v>
      </c>
      <c r="AD986" s="5"/>
    </row>
    <row r="987" spans="1:30" ht="13.5" customHeight="1">
      <c r="A987" s="8">
        <v>985</v>
      </c>
      <c r="B987" s="8">
        <v>10647</v>
      </c>
      <c r="C987" s="9" t="s">
        <v>1166</v>
      </c>
      <c r="D987" s="8" t="s">
        <v>16</v>
      </c>
      <c r="E987" s="8" t="str">
        <f>"684.87"</f>
        <v>684.87</v>
      </c>
      <c r="F987" s="8"/>
      <c r="G987" s="3">
        <v>712.87</v>
      </c>
      <c r="H987" s="10" t="s">
        <v>18</v>
      </c>
      <c r="I987" s="8">
        <v>1</v>
      </c>
      <c r="J987" s="10">
        <v>2017</v>
      </c>
      <c r="K987" s="5" t="str">
        <f>"684.87"</f>
        <v>684.87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</row>
    <row r="988" spans="1:30" ht="13.5" customHeight="1">
      <c r="A988" s="8">
        <v>986</v>
      </c>
      <c r="B988" s="8">
        <v>10471</v>
      </c>
      <c r="C988" s="9" t="s">
        <v>972</v>
      </c>
      <c r="D988" s="8" t="s">
        <v>29</v>
      </c>
      <c r="E988" s="8" t="str">
        <f>"714.33"</f>
        <v>714.33</v>
      </c>
      <c r="F988" s="8"/>
      <c r="G988" s="3">
        <v>714.33</v>
      </c>
      <c r="H988" s="10"/>
      <c r="I988" s="8">
        <v>3</v>
      </c>
      <c r="J988" s="10">
        <v>2017</v>
      </c>
      <c r="K988" s="5" t="str">
        <f>"2555.18"</f>
        <v>2555.18</v>
      </c>
      <c r="L988" s="5"/>
      <c r="M988" s="5"/>
      <c r="N988" s="5"/>
      <c r="O988" s="5"/>
      <c r="P988" s="5"/>
      <c r="Q988" s="5"/>
      <c r="R988" s="5"/>
      <c r="S988" s="5"/>
      <c r="T988" s="5"/>
      <c r="U988" s="5" t="str">
        <f>"969.30"</f>
        <v>969.30</v>
      </c>
      <c r="V988" s="5"/>
      <c r="W988" s="5"/>
      <c r="X988" s="5"/>
      <c r="Y988" s="5"/>
      <c r="Z988" s="5"/>
      <c r="AA988" s="5"/>
      <c r="AB988" s="5"/>
      <c r="AC988" s="5" t="str">
        <f>"459.35"</f>
        <v>459.35</v>
      </c>
      <c r="AD988" s="5"/>
    </row>
    <row r="989" spans="1:30" ht="13.5" customHeight="1">
      <c r="A989" s="8">
        <v>987</v>
      </c>
      <c r="B989" s="8">
        <v>10942</v>
      </c>
      <c r="C989" s="9" t="s">
        <v>1149</v>
      </c>
      <c r="D989" s="8" t="s">
        <v>16</v>
      </c>
      <c r="E989" s="8" t="str">
        <f>"687.91"</f>
        <v>687.91</v>
      </c>
      <c r="F989" s="8"/>
      <c r="G989" s="3">
        <v>715.91</v>
      </c>
      <c r="H989" s="10" t="s">
        <v>18</v>
      </c>
      <c r="I989" s="8">
        <v>1</v>
      </c>
      <c r="J989" s="10">
        <v>2017</v>
      </c>
      <c r="K989" s="5" t="str">
        <f>"687.91"</f>
        <v>687.91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</row>
    <row r="990" spans="1:30" ht="13.5" customHeight="1">
      <c r="A990" s="8">
        <v>988</v>
      </c>
      <c r="B990" s="8">
        <v>11140</v>
      </c>
      <c r="C990" s="9" t="s">
        <v>992</v>
      </c>
      <c r="D990" s="8" t="s">
        <v>29</v>
      </c>
      <c r="E990" s="8" t="str">
        <f>"719.48"</f>
        <v>719.48</v>
      </c>
      <c r="F990" s="8"/>
      <c r="G990" s="3">
        <v>719.48</v>
      </c>
      <c r="H990" s="10"/>
      <c r="I990" s="8">
        <v>5</v>
      </c>
      <c r="J990" s="10">
        <v>2017</v>
      </c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 t="str">
        <f>"1001.50"</f>
        <v>1001.50</v>
      </c>
      <c r="V990" s="5"/>
      <c r="W990" s="5"/>
      <c r="X990" s="5"/>
      <c r="Y990" s="5"/>
      <c r="Z990" s="5"/>
      <c r="AA990" s="5"/>
      <c r="AB990" s="5" t="str">
        <f>"437.46"</f>
        <v>437.46</v>
      </c>
      <c r="AC990" s="5"/>
      <c r="AD990" s="5"/>
    </row>
    <row r="991" spans="1:30" ht="13.5" customHeight="1">
      <c r="A991" s="8">
        <v>989</v>
      </c>
      <c r="B991" s="8">
        <v>10391</v>
      </c>
      <c r="C991" s="9" t="s">
        <v>983</v>
      </c>
      <c r="D991" s="8" t="s">
        <v>29</v>
      </c>
      <c r="E991" s="8" t="str">
        <f>"637.57"</f>
        <v>637.57</v>
      </c>
      <c r="F991" s="8"/>
      <c r="G991" s="3">
        <v>720.16</v>
      </c>
      <c r="H991" s="10"/>
      <c r="I991" s="8">
        <v>3</v>
      </c>
      <c r="J991" s="10">
        <v>2017</v>
      </c>
      <c r="K991" s="5" t="str">
        <f>"846.51"</f>
        <v>846.51</v>
      </c>
      <c r="L991" s="5"/>
      <c r="M991" s="5"/>
      <c r="N991" s="5"/>
      <c r="O991" s="5"/>
      <c r="P991" s="5"/>
      <c r="Q991" s="5"/>
      <c r="R991" s="5"/>
      <c r="S991" s="5"/>
      <c r="T991" s="5"/>
      <c r="U991" s="5" t="str">
        <f>"1011.70"</f>
        <v>1011.70</v>
      </c>
      <c r="V991" s="5"/>
      <c r="W991" s="5"/>
      <c r="X991" s="5"/>
      <c r="Y991" s="5"/>
      <c r="Z991" s="5"/>
      <c r="AA991" s="5"/>
      <c r="AB991" s="5" t="str">
        <f>"428.62"</f>
        <v>428.62</v>
      </c>
      <c r="AC991" s="5"/>
      <c r="AD991" s="5"/>
    </row>
    <row r="992" spans="1:30" ht="13.5" customHeight="1">
      <c r="A992" s="8">
        <v>990</v>
      </c>
      <c r="B992" s="8">
        <v>10842</v>
      </c>
      <c r="C992" s="9" t="s">
        <v>1096</v>
      </c>
      <c r="D992" s="8" t="s">
        <v>16</v>
      </c>
      <c r="E992" s="8" t="str">
        <f>"702.74"</f>
        <v>702.74</v>
      </c>
      <c r="F992" s="8"/>
      <c r="G992" s="3">
        <v>730.74</v>
      </c>
      <c r="H992" s="10" t="s">
        <v>18</v>
      </c>
      <c r="I992" s="8">
        <v>1</v>
      </c>
      <c r="J992" s="10">
        <v>2017</v>
      </c>
      <c r="K992" s="5" t="str">
        <f>"702.74"</f>
        <v>702.74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</row>
    <row r="993" spans="1:30" ht="13.5" customHeight="1">
      <c r="A993" s="8">
        <v>991</v>
      </c>
      <c r="B993" s="8">
        <v>10398</v>
      </c>
      <c r="C993" s="9" t="s">
        <v>977</v>
      </c>
      <c r="D993" s="8" t="s">
        <v>29</v>
      </c>
      <c r="E993" s="8" t="str">
        <f>"736.57"</f>
        <v>736.57</v>
      </c>
      <c r="F993" s="8"/>
      <c r="G993" s="3">
        <v>736.57</v>
      </c>
      <c r="H993" s="10"/>
      <c r="I993" s="8">
        <v>3</v>
      </c>
      <c r="J993" s="10">
        <v>2017</v>
      </c>
      <c r="K993" s="5" t="str">
        <f>"1469.26"</f>
        <v>1469.26</v>
      </c>
      <c r="L993" s="5"/>
      <c r="M993" s="5"/>
      <c r="N993" s="5"/>
      <c r="O993" s="5"/>
      <c r="P993" s="5"/>
      <c r="Q993" s="5"/>
      <c r="R993" s="5"/>
      <c r="S993" s="5"/>
      <c r="T993" s="5"/>
      <c r="U993" s="5" t="str">
        <f>"1047.42"</f>
        <v>1047.42</v>
      </c>
      <c r="V993" s="5"/>
      <c r="W993" s="5"/>
      <c r="X993" s="5"/>
      <c r="Y993" s="5"/>
      <c r="Z993" s="5"/>
      <c r="AA993" s="5"/>
      <c r="AB993" s="5" t="str">
        <f>"425.71"</f>
        <v>425.71</v>
      </c>
      <c r="AC993" s="5"/>
      <c r="AD993" s="5"/>
    </row>
    <row r="994" spans="1:30" ht="13.5" customHeight="1">
      <c r="A994" s="8">
        <v>992</v>
      </c>
      <c r="B994" s="8">
        <v>10733</v>
      </c>
      <c r="C994" s="9" t="s">
        <v>1010</v>
      </c>
      <c r="D994" s="8" t="s">
        <v>29</v>
      </c>
      <c r="E994" s="8" t="str">
        <f>"738.79"</f>
        <v>738.79</v>
      </c>
      <c r="F994" s="8"/>
      <c r="G994" s="3">
        <v>738.79</v>
      </c>
      <c r="H994" s="10"/>
      <c r="I994" s="8">
        <v>3</v>
      </c>
      <c r="J994" s="10">
        <v>2017</v>
      </c>
      <c r="K994" s="5" t="str">
        <f>"1397.68"</f>
        <v>1397.68</v>
      </c>
      <c r="L994" s="5"/>
      <c r="M994" s="5"/>
      <c r="N994" s="5"/>
      <c r="O994" s="5"/>
      <c r="P994" s="5"/>
      <c r="Q994" s="5"/>
      <c r="R994" s="5" t="str">
        <f>"576.83"</f>
        <v>576.83</v>
      </c>
      <c r="S994" s="5"/>
      <c r="T994" s="5"/>
      <c r="U994" s="5" t="str">
        <f>"900.74"</f>
        <v>900.74</v>
      </c>
      <c r="V994" s="5"/>
      <c r="W994" s="5"/>
      <c r="X994" s="5"/>
      <c r="Y994" s="5"/>
      <c r="Z994" s="5"/>
      <c r="AA994" s="5"/>
      <c r="AB994" s="5"/>
      <c r="AC994" s="5"/>
      <c r="AD994" s="5"/>
    </row>
    <row r="995" spans="1:30" ht="13.5" customHeight="1">
      <c r="A995" s="8">
        <v>993</v>
      </c>
      <c r="B995" s="8">
        <v>10395</v>
      </c>
      <c r="C995" s="9" t="s">
        <v>1064</v>
      </c>
      <c r="D995" s="8" t="s">
        <v>29</v>
      </c>
      <c r="E995" s="8" t="str">
        <f>"709.24"</f>
        <v>709.24</v>
      </c>
      <c r="F995" s="8"/>
      <c r="G995" s="3">
        <v>742.02</v>
      </c>
      <c r="H995" s="10"/>
      <c r="I995" s="8">
        <v>3</v>
      </c>
      <c r="J995" s="10">
        <v>2017</v>
      </c>
      <c r="K995" s="5" t="str">
        <f>"971.98"</f>
        <v>971.98</v>
      </c>
      <c r="L995" s="5"/>
      <c r="M995" s="5"/>
      <c r="N995" s="5"/>
      <c r="O995" s="5"/>
      <c r="P995" s="5"/>
      <c r="Q995" s="5"/>
      <c r="R995" s="5"/>
      <c r="S995" s="5"/>
      <c r="T995" s="5"/>
      <c r="U995" s="5" t="str">
        <f>"1037.54"</f>
        <v>1037.54</v>
      </c>
      <c r="V995" s="5"/>
      <c r="W995" s="5"/>
      <c r="X995" s="5"/>
      <c r="Y995" s="5"/>
      <c r="Z995" s="5"/>
      <c r="AA995" s="5"/>
      <c r="AB995" s="5" t="str">
        <f>"446.49"</f>
        <v>446.49</v>
      </c>
      <c r="AC995" s="5"/>
      <c r="AD995" s="5"/>
    </row>
    <row r="996" spans="1:30" ht="13.5" customHeight="1">
      <c r="A996" s="8">
        <v>994</v>
      </c>
      <c r="B996" s="8">
        <v>10761</v>
      </c>
      <c r="C996" s="9" t="s">
        <v>870</v>
      </c>
      <c r="D996" s="8" t="s">
        <v>29</v>
      </c>
      <c r="E996" s="8" t="str">
        <f>"869.90"</f>
        <v>869.90</v>
      </c>
      <c r="F996" s="8"/>
      <c r="G996" s="3">
        <v>743.48</v>
      </c>
      <c r="H996" s="10" t="s">
        <v>12</v>
      </c>
      <c r="I996" s="8">
        <v>2</v>
      </c>
      <c r="J996" s="10">
        <v>2017</v>
      </c>
      <c r="K996" s="5" t="str">
        <f>"1024.32"</f>
        <v>1024.32</v>
      </c>
      <c r="L996" s="5"/>
      <c r="M996" s="5"/>
      <c r="N996" s="5"/>
      <c r="O996" s="5"/>
      <c r="P996" s="5"/>
      <c r="Q996" s="5"/>
      <c r="R996" s="5"/>
      <c r="S996" s="5"/>
      <c r="T996" s="5"/>
      <c r="U996" s="5" t="str">
        <f>"715.48"</f>
        <v>715.48</v>
      </c>
      <c r="V996" s="5"/>
      <c r="W996" s="5"/>
      <c r="X996" s="5"/>
      <c r="Y996" s="5"/>
      <c r="Z996" s="5"/>
      <c r="AA996" s="5"/>
      <c r="AB996" s="5"/>
      <c r="AC996" s="5"/>
      <c r="AD996" s="5"/>
    </row>
    <row r="997" spans="1:30" ht="13.5" customHeight="1">
      <c r="A997" s="8">
        <v>995</v>
      </c>
      <c r="B997" s="8">
        <v>10737</v>
      </c>
      <c r="C997" s="9" t="s">
        <v>944</v>
      </c>
      <c r="D997" s="8" t="s">
        <v>16</v>
      </c>
      <c r="E997" s="8" t="str">
        <f>"754.56"</f>
        <v>754.56</v>
      </c>
      <c r="F997" s="8"/>
      <c r="G997" s="3">
        <v>754.56</v>
      </c>
      <c r="H997" s="10"/>
      <c r="I997" s="8">
        <v>5</v>
      </c>
      <c r="J997" s="10">
        <v>2017</v>
      </c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 t="str">
        <f>"1012.98"</f>
        <v>1012.98</v>
      </c>
      <c r="V997" s="5"/>
      <c r="W997" s="5"/>
      <c r="X997" s="5"/>
      <c r="Y997" s="5"/>
      <c r="Z997" s="5"/>
      <c r="AA997" s="5"/>
      <c r="AB997" s="5"/>
      <c r="AC997" s="5" t="str">
        <f>"496.13"</f>
        <v>496.13</v>
      </c>
      <c r="AD997" s="5"/>
    </row>
    <row r="998" spans="1:30" ht="13.5" customHeight="1">
      <c r="A998" s="8">
        <v>996</v>
      </c>
      <c r="B998" s="8">
        <v>10399</v>
      </c>
      <c r="C998" s="9" t="s">
        <v>996</v>
      </c>
      <c r="D998" s="8" t="s">
        <v>241</v>
      </c>
      <c r="E998" s="8" t="str">
        <f>"727.44"</f>
        <v>727.44</v>
      </c>
      <c r="F998" s="8"/>
      <c r="G998" s="3">
        <v>755.44</v>
      </c>
      <c r="H998" s="10" t="s">
        <v>18</v>
      </c>
      <c r="I998" s="8">
        <v>1</v>
      </c>
      <c r="J998" s="10">
        <v>2017</v>
      </c>
      <c r="K998" s="5" t="str">
        <f>"727.44"</f>
        <v>727.44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</row>
    <row r="999" spans="1:30" ht="13.5" customHeight="1">
      <c r="A999" s="8">
        <v>997</v>
      </c>
      <c r="B999" s="8">
        <v>10803</v>
      </c>
      <c r="C999" s="9" t="s">
        <v>854</v>
      </c>
      <c r="D999" s="8" t="s">
        <v>29</v>
      </c>
      <c r="E999" s="8" t="str">
        <f>"601.40"</f>
        <v>601.40</v>
      </c>
      <c r="F999" s="8"/>
      <c r="G999" s="3">
        <v>768.98</v>
      </c>
      <c r="H999" s="10" t="s">
        <v>12</v>
      </c>
      <c r="I999" s="8">
        <v>2</v>
      </c>
      <c r="J999" s="10">
        <v>2017</v>
      </c>
      <c r="K999" s="5" t="str">
        <f>"601.40"</f>
        <v>601.40</v>
      </c>
      <c r="L999" s="5"/>
      <c r="M999" s="5"/>
      <c r="N999" s="5"/>
      <c r="O999" s="5"/>
      <c r="P999" s="5"/>
      <c r="Q999" s="5"/>
      <c r="R999" s="5"/>
      <c r="S999" s="5"/>
      <c r="T999" s="5"/>
      <c r="U999" s="5" t="str">
        <f>"740.98"</f>
        <v>740.98</v>
      </c>
      <c r="V999" s="5"/>
      <c r="W999" s="5"/>
      <c r="X999" s="5"/>
      <c r="Y999" s="5"/>
      <c r="Z999" s="5"/>
      <c r="AA999" s="5"/>
      <c r="AB999" s="5"/>
      <c r="AC999" s="5"/>
      <c r="AD999" s="5"/>
    </row>
    <row r="1000" spans="1:30" ht="13.5" customHeight="1">
      <c r="A1000" s="8">
        <v>998</v>
      </c>
      <c r="B1000" s="8">
        <v>10827</v>
      </c>
      <c r="C1000" s="9" t="s">
        <v>849</v>
      </c>
      <c r="D1000" s="8" t="s">
        <v>29</v>
      </c>
      <c r="E1000" s="8" t="str">
        <f>"349.32"</f>
        <v>349.32</v>
      </c>
      <c r="F1000" s="8"/>
      <c r="G1000" s="3">
        <v>770.58</v>
      </c>
      <c r="H1000" s="10" t="s">
        <v>12</v>
      </c>
      <c r="I1000" s="8">
        <v>2</v>
      </c>
      <c r="J1000" s="10">
        <v>2017</v>
      </c>
      <c r="K1000" s="5" t="str">
        <f>"349.32"</f>
        <v>349.32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 t="str">
        <f>"742.58"</f>
        <v>742.58</v>
      </c>
      <c r="V1000" s="5"/>
      <c r="W1000" s="5"/>
      <c r="X1000" s="5"/>
      <c r="Y1000" s="5"/>
      <c r="Z1000" s="5"/>
      <c r="AA1000" s="5"/>
      <c r="AB1000" s="5"/>
      <c r="AC1000" s="5"/>
      <c r="AD1000" s="5"/>
    </row>
    <row r="1001" spans="1:30" ht="13.5" customHeight="1">
      <c r="A1001" s="8">
        <v>999</v>
      </c>
      <c r="B1001" s="8">
        <v>10455</v>
      </c>
      <c r="C1001" s="9" t="s">
        <v>926</v>
      </c>
      <c r="D1001" s="8" t="s">
        <v>29</v>
      </c>
      <c r="E1001" s="8" t="str">
        <f>"746.22"</f>
        <v>746.22</v>
      </c>
      <c r="F1001" s="8"/>
      <c r="G1001" s="3">
        <v>774.22</v>
      </c>
      <c r="H1001" s="10" t="s">
        <v>18</v>
      </c>
      <c r="I1001" s="8">
        <v>1</v>
      </c>
      <c r="J1001" s="10">
        <v>2017</v>
      </c>
      <c r="K1001" s="5" t="str">
        <f>"746.22"</f>
        <v>746.22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</row>
    <row r="1002" spans="1:30" ht="13.5" customHeight="1">
      <c r="A1002" s="8">
        <v>1000</v>
      </c>
      <c r="B1002" s="8">
        <v>10397</v>
      </c>
      <c r="C1002" s="9" t="s">
        <v>1014</v>
      </c>
      <c r="D1002" s="8" t="s">
        <v>29</v>
      </c>
      <c r="E1002" s="8" t="str">
        <f>"770.34"</f>
        <v>770.34</v>
      </c>
      <c r="F1002" s="8"/>
      <c r="G1002" s="3">
        <v>781.4</v>
      </c>
      <c r="H1002" s="10"/>
      <c r="I1002" s="8">
        <v>3</v>
      </c>
      <c r="J1002" s="10">
        <v>2017</v>
      </c>
      <c r="K1002" s="5" t="str">
        <f>"956.10"</f>
        <v>956.10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 t="str">
        <f>"978.22"</f>
        <v>978.22</v>
      </c>
      <c r="V1002" s="5"/>
      <c r="W1002" s="5"/>
      <c r="X1002" s="5"/>
      <c r="Y1002" s="5"/>
      <c r="Z1002" s="5"/>
      <c r="AA1002" s="5"/>
      <c r="AB1002" s="5" t="str">
        <f>"584.58"</f>
        <v>584.58</v>
      </c>
      <c r="AC1002" s="5"/>
      <c r="AD1002" s="5"/>
    </row>
    <row r="1003" spans="1:30" ht="13.5" customHeight="1">
      <c r="A1003" s="8">
        <v>1001</v>
      </c>
      <c r="B1003" s="8">
        <v>11078</v>
      </c>
      <c r="C1003" s="9" t="s">
        <v>1119</v>
      </c>
      <c r="D1003" s="8" t="s">
        <v>29</v>
      </c>
      <c r="E1003" s="8" t="str">
        <f>"788.40"</f>
        <v>788.40</v>
      </c>
      <c r="F1003" s="8"/>
      <c r="G1003" s="3">
        <v>788.4</v>
      </c>
      <c r="H1003" s="10" t="s">
        <v>12</v>
      </c>
      <c r="I1003" s="8">
        <v>4</v>
      </c>
      <c r="J1003" s="10">
        <v>2017</v>
      </c>
      <c r="K1003" s="5"/>
      <c r="L1003" s="5"/>
      <c r="M1003" s="5"/>
      <c r="N1003" s="5"/>
      <c r="O1003" s="5"/>
      <c r="P1003" s="5"/>
      <c r="Q1003" s="5"/>
      <c r="R1003" s="5" t="str">
        <f>"760.40"</f>
        <v>760.40</v>
      </c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</row>
    <row r="1004" spans="1:30" ht="13.5" customHeight="1">
      <c r="A1004" s="8">
        <v>1002</v>
      </c>
      <c r="B1004" s="8">
        <v>10124</v>
      </c>
      <c r="C1004" s="9" t="s">
        <v>1104</v>
      </c>
      <c r="D1004" s="8" t="s">
        <v>16</v>
      </c>
      <c r="E1004" s="8" t="str">
        <f>"766.59"</f>
        <v>766.59</v>
      </c>
      <c r="F1004" s="8"/>
      <c r="G1004" s="3">
        <v>794.59</v>
      </c>
      <c r="H1004" s="10" t="s">
        <v>18</v>
      </c>
      <c r="I1004" s="8">
        <v>1</v>
      </c>
      <c r="J1004" s="10">
        <v>2017</v>
      </c>
      <c r="K1004" s="5" t="str">
        <f>"766.59"</f>
        <v>766.59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</row>
    <row r="1005" spans="1:30" ht="13.5" customHeight="1">
      <c r="A1005" s="8">
        <v>1003</v>
      </c>
      <c r="B1005" s="8">
        <v>10476</v>
      </c>
      <c r="C1005" s="9" t="s">
        <v>1034</v>
      </c>
      <c r="D1005" s="8" t="s">
        <v>29</v>
      </c>
      <c r="E1005" s="8" t="str">
        <f>"812.58"</f>
        <v>812.58</v>
      </c>
      <c r="F1005" s="8"/>
      <c r="G1005" s="3">
        <v>812.58</v>
      </c>
      <c r="H1005" s="10"/>
      <c r="I1005" s="8">
        <v>3</v>
      </c>
      <c r="J1005" s="10">
        <v>2017</v>
      </c>
      <c r="K1005" s="5" t="str">
        <f>"1359.68"</f>
        <v>1359.68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 t="str">
        <f>"1102.58"</f>
        <v>1102.58</v>
      </c>
      <c r="V1005" s="5"/>
      <c r="W1005" s="5"/>
      <c r="X1005" s="5"/>
      <c r="Y1005" s="5"/>
      <c r="Z1005" s="5"/>
      <c r="AA1005" s="5"/>
      <c r="AB1005" s="5"/>
      <c r="AC1005" s="5" t="str">
        <f>"522.57"</f>
        <v>522.57</v>
      </c>
      <c r="AD1005" s="5"/>
    </row>
    <row r="1006" spans="1:30" ht="13.5" customHeight="1">
      <c r="A1006" s="8">
        <v>1004</v>
      </c>
      <c r="B1006" s="8">
        <v>10725</v>
      </c>
      <c r="C1006" s="9" t="s">
        <v>1036</v>
      </c>
      <c r="D1006" s="8" t="s">
        <v>29</v>
      </c>
      <c r="E1006" s="8" t="str">
        <f>"814.17"</f>
        <v>814.17</v>
      </c>
      <c r="F1006" s="8"/>
      <c r="G1006" s="3">
        <v>814.17</v>
      </c>
      <c r="H1006" s="10"/>
      <c r="I1006" s="8">
        <v>3</v>
      </c>
      <c r="J1006" s="10">
        <v>2017</v>
      </c>
      <c r="K1006" s="5" t="str">
        <f>"1718.16"</f>
        <v>1718.16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 t="str">
        <f>"1181.34"</f>
        <v>1181.34</v>
      </c>
      <c r="V1006" s="5"/>
      <c r="W1006" s="5"/>
      <c r="X1006" s="5"/>
      <c r="Y1006" s="5"/>
      <c r="Z1006" s="5"/>
      <c r="AA1006" s="5"/>
      <c r="AB1006" s="5" t="str">
        <f>"447.00"</f>
        <v>447.00</v>
      </c>
      <c r="AC1006" s="5"/>
      <c r="AD1006" s="5"/>
    </row>
    <row r="1007" spans="1:30" ht="13.5" customHeight="1">
      <c r="A1007" s="8">
        <v>1005</v>
      </c>
      <c r="B1007" s="8">
        <v>10948</v>
      </c>
      <c r="C1007" s="9" t="s">
        <v>1078</v>
      </c>
      <c r="D1007" s="8" t="s">
        <v>29</v>
      </c>
      <c r="E1007" s="8" t="str">
        <f>"828.38"</f>
        <v>828.38</v>
      </c>
      <c r="F1007" s="8"/>
      <c r="G1007" s="3">
        <v>828.38</v>
      </c>
      <c r="H1007" s="10"/>
      <c r="I1007" s="8">
        <v>5</v>
      </c>
      <c r="J1007" s="10">
        <v>2017</v>
      </c>
      <c r="K1007" s="5"/>
      <c r="L1007" s="5"/>
      <c r="M1007" s="5"/>
      <c r="N1007" s="5"/>
      <c r="O1007" s="5"/>
      <c r="P1007" s="5"/>
      <c r="Q1007" s="5"/>
      <c r="R1007" s="5" t="str">
        <f>"652.05"</f>
        <v>652.05</v>
      </c>
      <c r="S1007" s="5"/>
      <c r="T1007" s="5"/>
      <c r="U1007" s="5" t="str">
        <f>"1004.70"</f>
        <v>1004.70</v>
      </c>
      <c r="V1007" s="5"/>
      <c r="W1007" s="5"/>
      <c r="X1007" s="5"/>
      <c r="Y1007" s="5"/>
      <c r="Z1007" s="5"/>
      <c r="AA1007" s="5"/>
      <c r="AB1007" s="5"/>
      <c r="AC1007" s="5"/>
      <c r="AD1007" s="5"/>
    </row>
    <row r="1008" spans="1:30" ht="13.5" customHeight="1">
      <c r="A1008" s="8">
        <v>1006</v>
      </c>
      <c r="B1008" s="8">
        <v>10486</v>
      </c>
      <c r="C1008" s="9" t="s">
        <v>962</v>
      </c>
      <c r="D1008" s="8" t="s">
        <v>29</v>
      </c>
      <c r="E1008" s="8" t="str">
        <f>"807.45"</f>
        <v>807.45</v>
      </c>
      <c r="F1008" s="8"/>
      <c r="G1008" s="3">
        <v>835</v>
      </c>
      <c r="H1008" s="10" t="s">
        <v>12</v>
      </c>
      <c r="I1008" s="8">
        <v>2</v>
      </c>
      <c r="J1008" s="10">
        <v>2017</v>
      </c>
      <c r="K1008" s="5" t="str">
        <f>"807.90"</f>
        <v>807.90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 t="str">
        <f>"807.00"</f>
        <v>807.00</v>
      </c>
      <c r="V1008" s="5"/>
      <c r="W1008" s="5"/>
      <c r="X1008" s="5"/>
      <c r="Y1008" s="5"/>
      <c r="Z1008" s="5"/>
      <c r="AA1008" s="5"/>
      <c r="AB1008" s="5"/>
      <c r="AC1008" s="5"/>
      <c r="AD1008" s="5"/>
    </row>
    <row r="1009" spans="1:30" ht="13.5" customHeight="1">
      <c r="A1009" s="8">
        <v>1007</v>
      </c>
      <c r="B1009" s="8">
        <v>11091</v>
      </c>
      <c r="C1009" s="9" t="s">
        <v>1042</v>
      </c>
      <c r="D1009" s="8" t="s">
        <v>76</v>
      </c>
      <c r="E1009" s="8" t="str">
        <f>"463.71"</f>
        <v>463.71</v>
      </c>
      <c r="F1009" s="8"/>
      <c r="G1009" s="3">
        <v>840.79</v>
      </c>
      <c r="H1009" s="10" t="s">
        <v>12</v>
      </c>
      <c r="I1009" s="8">
        <v>2</v>
      </c>
      <c r="J1009" s="10">
        <v>2017</v>
      </c>
      <c r="K1009" s="5" t="str">
        <f>"463.71"</f>
        <v>463.71</v>
      </c>
      <c r="L1009" s="5"/>
      <c r="M1009" s="5"/>
      <c r="N1009" s="5"/>
      <c r="O1009" s="5"/>
      <c r="P1009" s="5" t="str">
        <f>"812.79"</f>
        <v>812.79</v>
      </c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</row>
    <row r="1010" spans="1:30" ht="13.5" customHeight="1">
      <c r="A1010" s="8">
        <v>1008</v>
      </c>
      <c r="B1010" s="8">
        <v>10481</v>
      </c>
      <c r="C1010" s="9" t="s">
        <v>889</v>
      </c>
      <c r="D1010" s="8" t="s">
        <v>29</v>
      </c>
      <c r="E1010" s="8" t="str">
        <f>"948.58"</f>
        <v>948.58</v>
      </c>
      <c r="F1010" s="8"/>
      <c r="G1010" s="3">
        <v>847.42</v>
      </c>
      <c r="H1010" s="10" t="s">
        <v>12</v>
      </c>
      <c r="I1010" s="8">
        <v>2</v>
      </c>
      <c r="J1010" s="10">
        <v>2017</v>
      </c>
      <c r="K1010" s="5" t="str">
        <f>"1077.74"</f>
        <v>1077.74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 t="str">
        <f>"819.42"</f>
        <v>819.42</v>
      </c>
      <c r="V1010" s="5"/>
      <c r="W1010" s="5"/>
      <c r="X1010" s="5"/>
      <c r="Y1010" s="5"/>
      <c r="Z1010" s="5"/>
      <c r="AA1010" s="5"/>
      <c r="AB1010" s="5"/>
      <c r="AC1010" s="5"/>
      <c r="AD1010" s="5"/>
    </row>
    <row r="1011" spans="1:30" ht="13.5" customHeight="1">
      <c r="A1011" s="8">
        <v>1009</v>
      </c>
      <c r="B1011" s="8">
        <v>10475</v>
      </c>
      <c r="C1011" s="9" t="s">
        <v>945</v>
      </c>
      <c r="D1011" s="8" t="s">
        <v>29</v>
      </c>
      <c r="E1011" s="8" t="str">
        <f>"848.60"</f>
        <v>848.60</v>
      </c>
      <c r="F1011" s="8"/>
      <c r="G1011" s="3">
        <v>848.6</v>
      </c>
      <c r="H1011" s="10"/>
      <c r="I1011" s="8">
        <v>5</v>
      </c>
      <c r="J1011" s="10">
        <v>2017</v>
      </c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 t="str">
        <f>"1076.44"</f>
        <v>1076.44</v>
      </c>
      <c r="V1011" s="5"/>
      <c r="W1011" s="5"/>
      <c r="X1011" s="5"/>
      <c r="Y1011" s="5"/>
      <c r="Z1011" s="5"/>
      <c r="AA1011" s="5"/>
      <c r="AB1011" s="5"/>
      <c r="AC1011" s="5" t="str">
        <f>"620.75"</f>
        <v>620.75</v>
      </c>
      <c r="AD1011" s="5"/>
    </row>
    <row r="1012" spans="1:30" ht="13.5" customHeight="1">
      <c r="A1012" s="8">
        <v>1010</v>
      </c>
      <c r="B1012" s="8">
        <v>10490</v>
      </c>
      <c r="C1012" s="9" t="s">
        <v>995</v>
      </c>
      <c r="D1012" s="8" t="s">
        <v>29</v>
      </c>
      <c r="E1012" s="8" t="str">
        <f>"520.99"</f>
        <v>520.99</v>
      </c>
      <c r="F1012" s="8"/>
      <c r="G1012" s="3">
        <v>857.96</v>
      </c>
      <c r="H1012" s="10" t="s">
        <v>12</v>
      </c>
      <c r="I1012" s="8">
        <v>2</v>
      </c>
      <c r="J1012" s="10">
        <v>2017</v>
      </c>
      <c r="K1012" s="5" t="str">
        <f>"520.99"</f>
        <v>520.99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 t="str">
        <f>"829.96"</f>
        <v>829.96</v>
      </c>
      <c r="V1012" s="5"/>
      <c r="W1012" s="5"/>
      <c r="X1012" s="5"/>
      <c r="Y1012" s="5"/>
      <c r="Z1012" s="5"/>
      <c r="AA1012" s="5"/>
      <c r="AB1012" s="5"/>
      <c r="AC1012" s="5"/>
      <c r="AD1012" s="5"/>
    </row>
    <row r="1013" spans="1:30" ht="13.5" customHeight="1">
      <c r="A1013" s="8">
        <v>1011</v>
      </c>
      <c r="B1013" s="8">
        <v>10401</v>
      </c>
      <c r="C1013" s="9" t="s">
        <v>1068</v>
      </c>
      <c r="D1013" s="8" t="s">
        <v>29</v>
      </c>
      <c r="E1013" s="8" t="str">
        <f>"843.60"</f>
        <v>843.60</v>
      </c>
      <c r="F1013" s="8"/>
      <c r="G1013" s="3">
        <v>871.6</v>
      </c>
      <c r="H1013" s="10" t="s">
        <v>18</v>
      </c>
      <c r="I1013" s="8">
        <v>1</v>
      </c>
      <c r="J1013" s="10">
        <v>2017</v>
      </c>
      <c r="K1013" s="5" t="str">
        <f>"843.60"</f>
        <v>843.60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</row>
    <row r="1014" spans="1:30" ht="13.5" customHeight="1">
      <c r="A1014" s="8">
        <v>1012</v>
      </c>
      <c r="B1014" s="8">
        <v>10396</v>
      </c>
      <c r="C1014" s="9" t="s">
        <v>1089</v>
      </c>
      <c r="D1014" s="8" t="s">
        <v>29</v>
      </c>
      <c r="E1014" s="8" t="str">
        <f>"744.79"</f>
        <v>744.79</v>
      </c>
      <c r="F1014" s="8"/>
      <c r="G1014" s="3">
        <v>877.4</v>
      </c>
      <c r="H1014" s="10"/>
      <c r="I1014" s="8">
        <v>3</v>
      </c>
      <c r="J1014" s="10">
        <v>2017</v>
      </c>
      <c r="K1014" s="5" t="str">
        <f>"1020.40"</f>
        <v>1020.40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 t="str">
        <f>"1285.62"</f>
        <v>1285.62</v>
      </c>
      <c r="V1014" s="5"/>
      <c r="W1014" s="5"/>
      <c r="X1014" s="5"/>
      <c r="Y1014" s="5"/>
      <c r="Z1014" s="5"/>
      <c r="AA1014" s="5"/>
      <c r="AB1014" s="5" t="str">
        <f>"469.17"</f>
        <v>469.17</v>
      </c>
      <c r="AC1014" s="5"/>
      <c r="AD1014" s="5"/>
    </row>
    <row r="1015" spans="1:30" ht="13.5" customHeight="1">
      <c r="A1015" s="8">
        <v>1013</v>
      </c>
      <c r="B1015" s="8">
        <v>11212</v>
      </c>
      <c r="C1015" s="9" t="s">
        <v>982</v>
      </c>
      <c r="D1015" s="8" t="s">
        <v>29</v>
      </c>
      <c r="E1015" s="8" t="str">
        <f>"890.80"</f>
        <v>890.80</v>
      </c>
      <c r="F1015" s="8"/>
      <c r="G1015" s="3">
        <v>890.8</v>
      </c>
      <c r="H1015" s="10" t="s">
        <v>12</v>
      </c>
      <c r="I1015" s="8">
        <v>4</v>
      </c>
      <c r="J1015" s="10">
        <v>2017</v>
      </c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 t="str">
        <f>"862.80"</f>
        <v>862.80</v>
      </c>
      <c r="V1015" s="5"/>
      <c r="W1015" s="5"/>
      <c r="X1015" s="5"/>
      <c r="Y1015" s="5"/>
      <c r="Z1015" s="5"/>
      <c r="AA1015" s="5"/>
      <c r="AB1015" s="5"/>
      <c r="AC1015" s="5"/>
      <c r="AD1015" s="5"/>
    </row>
    <row r="1016" spans="1:30" ht="13.5" customHeight="1">
      <c r="A1016" s="8">
        <v>1014</v>
      </c>
      <c r="B1016" s="8">
        <v>1393</v>
      </c>
      <c r="C1016" s="9" t="s">
        <v>1065</v>
      </c>
      <c r="D1016" s="8" t="s">
        <v>1066</v>
      </c>
      <c r="E1016" s="8" t="str">
        <f>"867.52"</f>
        <v>867.52</v>
      </c>
      <c r="F1016" s="8"/>
      <c r="G1016" s="3">
        <v>895.52</v>
      </c>
      <c r="H1016" s="10" t="s">
        <v>18</v>
      </c>
      <c r="I1016" s="8">
        <v>1</v>
      </c>
      <c r="J1016" s="10">
        <v>2017</v>
      </c>
      <c r="K1016" s="5" t="str">
        <f>"867.52"</f>
        <v>867.52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</row>
    <row r="1017" spans="1:30" ht="13.5" customHeight="1">
      <c r="A1017" s="8">
        <v>1015</v>
      </c>
      <c r="B1017" s="8">
        <v>10832</v>
      </c>
      <c r="C1017" s="9" t="s">
        <v>1210</v>
      </c>
      <c r="D1017" s="8" t="s">
        <v>29</v>
      </c>
      <c r="E1017" s="8" t="str">
        <f>"914.08"</f>
        <v>914.08</v>
      </c>
      <c r="F1017" s="8"/>
      <c r="G1017" s="3">
        <v>914.08</v>
      </c>
      <c r="H1017" s="10" t="s">
        <v>12</v>
      </c>
      <c r="I1017" s="8">
        <v>4</v>
      </c>
      <c r="J1017" s="10">
        <v>2017</v>
      </c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 t="str">
        <f>"886.08"</f>
        <v>886.08</v>
      </c>
      <c r="V1017" s="5"/>
      <c r="W1017" s="5"/>
      <c r="X1017" s="5"/>
      <c r="Y1017" s="5"/>
      <c r="Z1017" s="5"/>
      <c r="AA1017" s="5"/>
      <c r="AB1017" s="5"/>
      <c r="AC1017" s="5"/>
      <c r="AD1017" s="5"/>
    </row>
    <row r="1018" spans="1:30" ht="13.5" customHeight="1">
      <c r="A1018" s="8">
        <v>1016</v>
      </c>
      <c r="B1018" s="8">
        <v>10492</v>
      </c>
      <c r="C1018" s="9" t="s">
        <v>914</v>
      </c>
      <c r="D1018" s="8" t="s">
        <v>16</v>
      </c>
      <c r="E1018" s="8" t="str">
        <f>"919.21"</f>
        <v>919.21</v>
      </c>
      <c r="F1018" s="8"/>
      <c r="G1018" s="3">
        <v>921.4</v>
      </c>
      <c r="H1018" s="10" t="s">
        <v>12</v>
      </c>
      <c r="I1018" s="8">
        <v>2</v>
      </c>
      <c r="J1018" s="10">
        <v>2017</v>
      </c>
      <c r="K1018" s="5" t="str">
        <f>"945.02"</f>
        <v>945.02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 t="str">
        <f>"893.40"</f>
        <v>893.40</v>
      </c>
      <c r="V1018" s="5"/>
      <c r="W1018" s="5"/>
      <c r="X1018" s="5"/>
      <c r="Y1018" s="5"/>
      <c r="Z1018" s="5"/>
      <c r="AA1018" s="5"/>
      <c r="AB1018" s="5"/>
      <c r="AC1018" s="5"/>
      <c r="AD1018" s="5"/>
    </row>
    <row r="1019" spans="1:30" ht="13.5" customHeight="1">
      <c r="A1019" s="8">
        <v>1017</v>
      </c>
      <c r="B1019" s="8">
        <v>11191</v>
      </c>
      <c r="C1019" s="9" t="s">
        <v>1092</v>
      </c>
      <c r="D1019" s="8" t="s">
        <v>29</v>
      </c>
      <c r="E1019" s="8" t="str">
        <f>"946.51"</f>
        <v>946.51</v>
      </c>
      <c r="F1019" s="8"/>
      <c r="G1019" s="3">
        <v>946.51</v>
      </c>
      <c r="H1019" s="10"/>
      <c r="I1019" s="8">
        <v>5</v>
      </c>
      <c r="J1019" s="10">
        <v>2017</v>
      </c>
      <c r="K1019" s="5"/>
      <c r="L1019" s="5"/>
      <c r="M1019" s="5"/>
      <c r="N1019" s="5"/>
      <c r="O1019" s="5"/>
      <c r="P1019" s="5"/>
      <c r="Q1019" s="5"/>
      <c r="R1019" s="5" t="str">
        <f>"737.49"</f>
        <v>737.49</v>
      </c>
      <c r="S1019" s="5"/>
      <c r="T1019" s="5"/>
      <c r="U1019" s="5" t="str">
        <f>"1155.52"</f>
        <v>1155.52</v>
      </c>
      <c r="V1019" s="5"/>
      <c r="W1019" s="5"/>
      <c r="X1019" s="5"/>
      <c r="Y1019" s="5"/>
      <c r="Z1019" s="5"/>
      <c r="AA1019" s="5"/>
      <c r="AB1019" s="5"/>
      <c r="AC1019" s="5"/>
      <c r="AD1019" s="5"/>
    </row>
    <row r="1020" spans="1:30" ht="13.5" customHeight="1">
      <c r="A1020" s="8">
        <v>1018</v>
      </c>
      <c r="B1020" s="8">
        <v>10121</v>
      </c>
      <c r="C1020" s="9" t="s">
        <v>1073</v>
      </c>
      <c r="D1020" s="8" t="s">
        <v>16</v>
      </c>
      <c r="E1020" s="8" t="str">
        <f>"931.26"</f>
        <v>931.26</v>
      </c>
      <c r="F1020" s="8"/>
      <c r="G1020" s="3">
        <v>959.26</v>
      </c>
      <c r="H1020" s="10" t="s">
        <v>18</v>
      </c>
      <c r="I1020" s="8">
        <v>1</v>
      </c>
      <c r="J1020" s="10">
        <v>2017</v>
      </c>
      <c r="K1020" s="5" t="str">
        <f>"931.26"</f>
        <v>931.26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</row>
    <row r="1021" spans="1:30" ht="13.5" customHeight="1">
      <c r="A1021" s="8">
        <v>1019</v>
      </c>
      <c r="B1021" s="8">
        <v>10393</v>
      </c>
      <c r="C1021" s="9" t="s">
        <v>1030</v>
      </c>
      <c r="D1021" s="8" t="s">
        <v>29</v>
      </c>
      <c r="E1021" s="8" t="str">
        <f>"504.97"</f>
        <v>504.97</v>
      </c>
      <c r="F1021" s="8"/>
      <c r="G1021" s="3">
        <v>967</v>
      </c>
      <c r="H1021" s="10" t="s">
        <v>12</v>
      </c>
      <c r="I1021" s="8">
        <v>2</v>
      </c>
      <c r="J1021" s="10">
        <v>2017</v>
      </c>
      <c r="K1021" s="5" t="str">
        <f>"504.97"</f>
        <v>504.97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 t="str">
        <f>"939.00"</f>
        <v>939.00</v>
      </c>
      <c r="V1021" s="5"/>
      <c r="W1021" s="5"/>
      <c r="X1021" s="5"/>
      <c r="Y1021" s="5"/>
      <c r="Z1021" s="5"/>
      <c r="AA1021" s="5"/>
      <c r="AB1021" s="5"/>
      <c r="AC1021" s="5"/>
      <c r="AD1021" s="5"/>
    </row>
    <row r="1022" spans="1:30" ht="13.5" customHeight="1">
      <c r="A1022" s="8">
        <v>1020</v>
      </c>
      <c r="B1022" s="8">
        <v>10388</v>
      </c>
      <c r="C1022" s="9" t="s">
        <v>1099</v>
      </c>
      <c r="D1022" s="8" t="s">
        <v>29</v>
      </c>
      <c r="E1022" s="8" t="str">
        <f>"977.29"</f>
        <v>977.29</v>
      </c>
      <c r="F1022" s="8"/>
      <c r="G1022" s="3">
        <v>1005.29</v>
      </c>
      <c r="H1022" s="10" t="s">
        <v>18</v>
      </c>
      <c r="I1022" s="8">
        <v>1</v>
      </c>
      <c r="J1022" s="10">
        <v>2017</v>
      </c>
      <c r="K1022" s="5" t="str">
        <f>"977.29"</f>
        <v>977.29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</row>
    <row r="1023" spans="1:30" ht="13.5" customHeight="1">
      <c r="A1023" s="8">
        <v>1021</v>
      </c>
      <c r="B1023" s="8">
        <v>10793</v>
      </c>
      <c r="C1023" s="9" t="s">
        <v>1045</v>
      </c>
      <c r="D1023" s="8" t="s">
        <v>29</v>
      </c>
      <c r="E1023" s="8" t="str">
        <f>"1282.12"</f>
        <v>1282.12</v>
      </c>
      <c r="F1023" s="8"/>
      <c r="G1023" s="3">
        <v>1038.74</v>
      </c>
      <c r="H1023" s="10" t="s">
        <v>12</v>
      </c>
      <c r="I1023" s="8">
        <v>2</v>
      </c>
      <c r="J1023" s="10">
        <v>2017</v>
      </c>
      <c r="K1023" s="5" t="str">
        <f>"1553.50"</f>
        <v>1553.50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 t="str">
        <f>"1010.74"</f>
        <v>1010.74</v>
      </c>
      <c r="V1023" s="5"/>
      <c r="W1023" s="5"/>
      <c r="X1023" s="5"/>
      <c r="Y1023" s="5"/>
      <c r="Z1023" s="5"/>
      <c r="AA1023" s="5"/>
      <c r="AB1023" s="5"/>
      <c r="AC1023" s="5"/>
      <c r="AD1023" s="5"/>
    </row>
    <row r="1024" spans="1:30" ht="13.5" customHeight="1">
      <c r="A1024" s="8">
        <v>1022</v>
      </c>
      <c r="B1024" s="8">
        <v>10735</v>
      </c>
      <c r="C1024" s="9" t="s">
        <v>1081</v>
      </c>
      <c r="D1024" s="8" t="s">
        <v>29</v>
      </c>
      <c r="E1024" s="8" t="str">
        <f>"1052.95"</f>
        <v>1052.95</v>
      </c>
      <c r="F1024" s="8"/>
      <c r="G1024" s="3">
        <v>1052.95</v>
      </c>
      <c r="H1024" s="10"/>
      <c r="I1024" s="8">
        <v>3</v>
      </c>
      <c r="J1024" s="10">
        <v>2017</v>
      </c>
      <c r="K1024" s="5" t="str">
        <f>"1908.14"</f>
        <v>1908.14</v>
      </c>
      <c r="L1024" s="5"/>
      <c r="M1024" s="5"/>
      <c r="N1024" s="5"/>
      <c r="O1024" s="5"/>
      <c r="P1024" s="5"/>
      <c r="Q1024" s="5"/>
      <c r="R1024" s="5" t="str">
        <f>"698.47"</f>
        <v>698.47</v>
      </c>
      <c r="S1024" s="5"/>
      <c r="T1024" s="5"/>
      <c r="U1024" s="5" t="str">
        <f>"1407.42"</f>
        <v>1407.42</v>
      </c>
      <c r="V1024" s="5"/>
      <c r="W1024" s="5"/>
      <c r="X1024" s="5"/>
      <c r="Y1024" s="5"/>
      <c r="Z1024" s="5"/>
      <c r="AA1024" s="5"/>
      <c r="AB1024" s="5"/>
      <c r="AC1024" s="5"/>
      <c r="AD1024" s="5"/>
    </row>
    <row r="1025" spans="1:30" ht="13.5" customHeight="1">
      <c r="A1025" s="8">
        <v>1023</v>
      </c>
      <c r="B1025" s="8">
        <v>10394</v>
      </c>
      <c r="C1025" s="9" t="s">
        <v>1026</v>
      </c>
      <c r="D1025" s="8" t="s">
        <v>29</v>
      </c>
      <c r="E1025" s="8" t="str">
        <f>"841.14"</f>
        <v>841.14</v>
      </c>
      <c r="F1025" s="8"/>
      <c r="G1025" s="3">
        <v>1054.3800000000001</v>
      </c>
      <c r="H1025" s="10" t="s">
        <v>12</v>
      </c>
      <c r="I1025" s="8">
        <v>2</v>
      </c>
      <c r="J1025" s="10">
        <v>2017</v>
      </c>
      <c r="K1025" s="5" t="str">
        <f>"841.14"</f>
        <v>841.14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 t="str">
        <f>"1026.38"</f>
        <v>1026.38</v>
      </c>
      <c r="V1025" s="5"/>
      <c r="W1025" s="5"/>
      <c r="X1025" s="5"/>
      <c r="Y1025" s="5"/>
      <c r="Z1025" s="5"/>
      <c r="AA1025" s="5"/>
      <c r="AB1025" s="5"/>
      <c r="AC1025" s="5"/>
      <c r="AD1025" s="5"/>
    </row>
    <row r="1026" spans="1:30" ht="13.5" customHeight="1">
      <c r="A1026" s="8">
        <v>1024</v>
      </c>
      <c r="B1026" s="8">
        <v>10800</v>
      </c>
      <c r="C1026" s="9" t="s">
        <v>1033</v>
      </c>
      <c r="D1026" s="8" t="s">
        <v>29</v>
      </c>
      <c r="E1026" s="8" t="str">
        <f>"1076.32"</f>
        <v>1076.32</v>
      </c>
      <c r="F1026" s="8"/>
      <c r="G1026" s="3">
        <v>1089.1400000000001</v>
      </c>
      <c r="H1026" s="10" t="s">
        <v>12</v>
      </c>
      <c r="I1026" s="8">
        <v>2</v>
      </c>
      <c r="J1026" s="10">
        <v>2017</v>
      </c>
      <c r="K1026" s="5" t="str">
        <f>"1091.50"</f>
        <v>1091.50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 t="str">
        <f>"1061.14"</f>
        <v>1061.14</v>
      </c>
      <c r="V1026" s="5"/>
      <c r="W1026" s="5"/>
      <c r="X1026" s="5"/>
      <c r="Y1026" s="5"/>
      <c r="Z1026" s="5"/>
      <c r="AA1026" s="5"/>
      <c r="AB1026" s="5"/>
      <c r="AC1026" s="5"/>
      <c r="AD1026" s="5"/>
    </row>
    <row r="1027" spans="1:30" ht="13.5" customHeight="1">
      <c r="A1027" s="8">
        <v>1025</v>
      </c>
      <c r="B1027" s="8">
        <v>10763</v>
      </c>
      <c r="C1027" s="9" t="s">
        <v>1075</v>
      </c>
      <c r="D1027" s="8" t="s">
        <v>29</v>
      </c>
      <c r="E1027" s="8" t="str">
        <f>"1652.30"</f>
        <v>1652.30</v>
      </c>
      <c r="F1027" s="8"/>
      <c r="G1027" s="3">
        <v>1099.02</v>
      </c>
      <c r="H1027" s="10" t="s">
        <v>12</v>
      </c>
      <c r="I1027" s="8">
        <v>2</v>
      </c>
      <c r="J1027" s="10">
        <v>2017</v>
      </c>
      <c r="K1027" s="5" t="str">
        <f>"2233.58"</f>
        <v>2233.58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 t="str">
        <f>"1071.02"</f>
        <v>1071.02</v>
      </c>
      <c r="V1027" s="5"/>
      <c r="W1027" s="5"/>
      <c r="X1027" s="5"/>
      <c r="Y1027" s="5"/>
      <c r="Z1027" s="5"/>
      <c r="AA1027" s="5"/>
      <c r="AB1027" s="5"/>
      <c r="AC1027" s="5"/>
      <c r="AD1027" s="5"/>
    </row>
    <row r="1028" spans="1:30" ht="13.5" customHeight="1">
      <c r="A1028" s="8">
        <v>1026</v>
      </c>
      <c r="B1028" s="8">
        <v>10721</v>
      </c>
      <c r="C1028" s="9" t="s">
        <v>1093</v>
      </c>
      <c r="D1028" s="8" t="s">
        <v>29</v>
      </c>
      <c r="E1028" s="8" t="str">
        <f>"1394.75"</f>
        <v>1394.75</v>
      </c>
      <c r="F1028" s="8"/>
      <c r="G1028" s="3">
        <v>1099.3399999999999</v>
      </c>
      <c r="H1028" s="10" t="s">
        <v>12</v>
      </c>
      <c r="I1028" s="8">
        <v>2</v>
      </c>
      <c r="J1028" s="10">
        <v>2017</v>
      </c>
      <c r="K1028" s="5" t="str">
        <f>"1718.16"</f>
        <v>1718.16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 t="str">
        <f>"1071.34"</f>
        <v>1071.34</v>
      </c>
      <c r="V1028" s="5"/>
      <c r="W1028" s="5"/>
      <c r="X1028" s="5"/>
      <c r="Y1028" s="5"/>
      <c r="Z1028" s="5"/>
      <c r="AA1028" s="5"/>
      <c r="AB1028" s="5"/>
      <c r="AC1028" s="5"/>
      <c r="AD1028" s="5"/>
    </row>
    <row r="1029" spans="1:30" ht="13.5" customHeight="1">
      <c r="A1029" s="8">
        <v>1027</v>
      </c>
      <c r="B1029" s="8">
        <v>11306</v>
      </c>
      <c r="C1029" s="9" t="s">
        <v>1106</v>
      </c>
      <c r="D1029" s="8"/>
      <c r="E1029" s="8" t="str">
        <f>"1108.81"</f>
        <v>1108.81</v>
      </c>
      <c r="F1029" s="8"/>
      <c r="G1029" s="3">
        <v>1108.81</v>
      </c>
      <c r="H1029" s="10" t="s">
        <v>12</v>
      </c>
      <c r="I1029" s="8">
        <v>4</v>
      </c>
      <c r="J1029" s="10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 t="str">
        <f>"1080.81"</f>
        <v>1080.81</v>
      </c>
      <c r="AD1029" s="5"/>
    </row>
    <row r="1030" spans="1:30" ht="13.5" customHeight="1">
      <c r="A1030" s="8">
        <v>1028</v>
      </c>
      <c r="B1030" s="8">
        <v>10772</v>
      </c>
      <c r="C1030" s="9" t="s">
        <v>1071</v>
      </c>
      <c r="D1030" s="8" t="s">
        <v>29</v>
      </c>
      <c r="E1030" s="8" t="str">
        <f>"1140.01"</f>
        <v>1140.01</v>
      </c>
      <c r="F1030" s="8"/>
      <c r="G1030" s="3">
        <v>1120.7</v>
      </c>
      <c r="H1030" s="10" t="s">
        <v>12</v>
      </c>
      <c r="I1030" s="8">
        <v>2</v>
      </c>
      <c r="J1030" s="10">
        <v>2017</v>
      </c>
      <c r="K1030" s="5" t="str">
        <f>"1187.32"</f>
        <v>1187.32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 t="str">
        <f>"1092.70"</f>
        <v>1092.70</v>
      </c>
      <c r="V1030" s="5"/>
      <c r="W1030" s="5"/>
      <c r="X1030" s="5"/>
      <c r="Y1030" s="5"/>
      <c r="Z1030" s="5"/>
      <c r="AA1030" s="5"/>
      <c r="AB1030" s="5"/>
      <c r="AC1030" s="5"/>
      <c r="AD1030" s="5"/>
    </row>
    <row r="1031" spans="1:30" ht="13.5" customHeight="1">
      <c r="A1031" s="8">
        <v>1029</v>
      </c>
      <c r="B1031" s="8">
        <v>10805</v>
      </c>
      <c r="C1031" s="9" t="s">
        <v>1062</v>
      </c>
      <c r="D1031" s="8" t="s">
        <v>29</v>
      </c>
      <c r="E1031" s="8" t="str">
        <f>"1095.90"</f>
        <v>1095.90</v>
      </c>
      <c r="F1031" s="8"/>
      <c r="G1031" s="3">
        <v>1123.9000000000001</v>
      </c>
      <c r="H1031" s="10" t="s">
        <v>18</v>
      </c>
      <c r="I1031" s="8">
        <v>1</v>
      </c>
      <c r="J1031" s="10">
        <v>2017</v>
      </c>
      <c r="K1031" s="5" t="str">
        <f>"1095.90"</f>
        <v>1095.90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</row>
    <row r="1032" spans="1:30" ht="13.5" customHeight="1">
      <c r="A1032" s="8">
        <v>1030</v>
      </c>
      <c r="B1032" s="8">
        <v>11171</v>
      </c>
      <c r="C1032" s="9" t="s">
        <v>1118</v>
      </c>
      <c r="D1032" s="8" t="s">
        <v>29</v>
      </c>
      <c r="E1032" s="8" t="str">
        <f>"1133.05"</f>
        <v>1133.05</v>
      </c>
      <c r="F1032" s="8"/>
      <c r="G1032" s="3">
        <v>1133.05</v>
      </c>
      <c r="H1032" s="10"/>
      <c r="I1032" s="8">
        <v>5</v>
      </c>
      <c r="J1032" s="10">
        <v>2017</v>
      </c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 t="str">
        <f>"1537.84"</f>
        <v>1537.84</v>
      </c>
      <c r="V1032" s="5"/>
      <c r="W1032" s="5"/>
      <c r="X1032" s="5"/>
      <c r="Y1032" s="5" t="str">
        <f>"728.25"</f>
        <v>728.25</v>
      </c>
      <c r="Z1032" s="5"/>
      <c r="AA1032" s="5"/>
      <c r="AB1032" s="5"/>
      <c r="AC1032" s="5"/>
      <c r="AD1032" s="5"/>
    </row>
    <row r="1033" spans="1:30" ht="13.5" customHeight="1">
      <c r="A1033" s="8">
        <v>1031</v>
      </c>
      <c r="B1033" s="8">
        <v>10788</v>
      </c>
      <c r="C1033" s="9" t="s">
        <v>1046</v>
      </c>
      <c r="D1033" s="8" t="s">
        <v>29</v>
      </c>
      <c r="E1033" s="8" t="str">
        <f>"1164.61"</f>
        <v>1164.61</v>
      </c>
      <c r="F1033" s="8"/>
      <c r="G1033" s="3">
        <v>1142.3800000000001</v>
      </c>
      <c r="H1033" s="10" t="s">
        <v>12</v>
      </c>
      <c r="I1033" s="8">
        <v>2</v>
      </c>
      <c r="J1033" s="10">
        <v>2017</v>
      </c>
      <c r="K1033" s="5" t="str">
        <f>"1214.84"</f>
        <v>1214.84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 t="str">
        <f>"1114.38"</f>
        <v>1114.38</v>
      </c>
      <c r="V1033" s="5"/>
      <c r="W1033" s="5"/>
      <c r="X1033" s="5"/>
      <c r="Y1033" s="5"/>
      <c r="Z1033" s="5"/>
      <c r="AA1033" s="5"/>
      <c r="AB1033" s="5"/>
      <c r="AC1033" s="5"/>
      <c r="AD1033" s="5"/>
    </row>
    <row r="1034" spans="1:30" ht="13.5" customHeight="1">
      <c r="A1034" s="8">
        <v>1032</v>
      </c>
      <c r="B1034" s="8">
        <v>11183</v>
      </c>
      <c r="C1034" s="9" t="s">
        <v>1117</v>
      </c>
      <c r="D1034" s="8" t="s">
        <v>29</v>
      </c>
      <c r="E1034" s="8" t="str">
        <f>"1149.54"</f>
        <v>1149.54</v>
      </c>
      <c r="F1034" s="8"/>
      <c r="G1034" s="3">
        <v>1149.54</v>
      </c>
      <c r="H1034" s="10"/>
      <c r="I1034" s="8">
        <v>5</v>
      </c>
      <c r="J1034" s="10">
        <v>2017</v>
      </c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 t="str">
        <f>"1875.52"</f>
        <v>1875.52</v>
      </c>
      <c r="V1034" s="5"/>
      <c r="W1034" s="5"/>
      <c r="X1034" s="5"/>
      <c r="Y1034" s="5"/>
      <c r="Z1034" s="5"/>
      <c r="AA1034" s="5"/>
      <c r="AB1034" s="5" t="str">
        <f>"423.56"</f>
        <v>423.56</v>
      </c>
      <c r="AC1034" s="5"/>
      <c r="AD1034" s="5"/>
    </row>
    <row r="1035" spans="1:30" ht="13.5" customHeight="1">
      <c r="A1035" s="8">
        <v>1033</v>
      </c>
      <c r="B1035" s="8">
        <v>11166</v>
      </c>
      <c r="C1035" s="9" t="s">
        <v>1080</v>
      </c>
      <c r="D1035" s="8" t="s">
        <v>29</v>
      </c>
      <c r="E1035" s="8" t="str">
        <f>"1155.78"</f>
        <v>1155.78</v>
      </c>
      <c r="F1035" s="8"/>
      <c r="G1035" s="3">
        <v>1155.78</v>
      </c>
      <c r="H1035" s="10" t="s">
        <v>12</v>
      </c>
      <c r="I1035" s="8">
        <v>4</v>
      </c>
      <c r="J1035" s="10">
        <v>2017</v>
      </c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 t="str">
        <f>"1127.78"</f>
        <v>1127.78</v>
      </c>
      <c r="V1035" s="5"/>
      <c r="W1035" s="5"/>
      <c r="X1035" s="5"/>
      <c r="Y1035" s="5"/>
      <c r="Z1035" s="5"/>
      <c r="AA1035" s="5"/>
      <c r="AB1035" s="5"/>
      <c r="AC1035" s="5"/>
      <c r="AD1035" s="5"/>
    </row>
    <row r="1036" spans="1:30" ht="13.5" customHeight="1">
      <c r="A1036" s="8">
        <v>1034</v>
      </c>
      <c r="B1036" s="8">
        <v>10731</v>
      </c>
      <c r="C1036" s="9" t="s">
        <v>1037</v>
      </c>
      <c r="D1036" s="8" t="s">
        <v>29</v>
      </c>
      <c r="E1036" s="8" t="str">
        <f>"1279.27"</f>
        <v>1279.27</v>
      </c>
      <c r="F1036" s="8"/>
      <c r="G1036" s="3">
        <v>1182.8800000000001</v>
      </c>
      <c r="H1036" s="10" t="s">
        <v>12</v>
      </c>
      <c r="I1036" s="8">
        <v>2</v>
      </c>
      <c r="J1036" s="10">
        <v>2017</v>
      </c>
      <c r="K1036" s="5" t="str">
        <f>"1403.66"</f>
        <v>1403.66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 t="str">
        <f>"1154.88"</f>
        <v>1154.88</v>
      </c>
      <c r="V1036" s="5"/>
      <c r="W1036" s="5"/>
      <c r="X1036" s="5"/>
      <c r="Y1036" s="5"/>
      <c r="Z1036" s="5"/>
      <c r="AA1036" s="5"/>
      <c r="AB1036" s="5"/>
      <c r="AC1036" s="5"/>
      <c r="AD1036" s="5"/>
    </row>
    <row r="1037" spans="1:30" ht="13.5" customHeight="1">
      <c r="A1037" s="8">
        <v>1035</v>
      </c>
      <c r="B1037" s="8">
        <v>10789</v>
      </c>
      <c r="C1037" s="9" t="s">
        <v>1107</v>
      </c>
      <c r="D1037" s="8" t="s">
        <v>29</v>
      </c>
      <c r="E1037" s="8" t="str">
        <f>"1514.38"</f>
        <v>1514.38</v>
      </c>
      <c r="F1037" s="8"/>
      <c r="G1037" s="3">
        <v>1192.1199999999999</v>
      </c>
      <c r="H1037" s="10" t="s">
        <v>12</v>
      </c>
      <c r="I1037" s="8">
        <v>2</v>
      </c>
      <c r="J1037" s="10">
        <v>2017</v>
      </c>
      <c r="K1037" s="5" t="str">
        <f>"1864.64"</f>
        <v>1864.64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 t="str">
        <f>"1164.12"</f>
        <v>1164.12</v>
      </c>
      <c r="V1037" s="5"/>
      <c r="W1037" s="5"/>
      <c r="X1037" s="5"/>
      <c r="Y1037" s="5"/>
      <c r="Z1037" s="5"/>
      <c r="AA1037" s="5"/>
      <c r="AB1037" s="5"/>
      <c r="AC1037" s="5"/>
      <c r="AD1037" s="5"/>
    </row>
    <row r="1038" spans="1:30" ht="13.5" customHeight="1">
      <c r="A1038" s="8">
        <v>1036</v>
      </c>
      <c r="B1038" s="8">
        <v>11161</v>
      </c>
      <c r="C1038" s="9" t="s">
        <v>1044</v>
      </c>
      <c r="D1038" s="8" t="s">
        <v>29</v>
      </c>
      <c r="E1038" s="8" t="str">
        <f>"1201.70"</f>
        <v>1201.70</v>
      </c>
      <c r="F1038" s="8"/>
      <c r="G1038" s="3">
        <v>1201.7</v>
      </c>
      <c r="H1038" s="10" t="s">
        <v>12</v>
      </c>
      <c r="I1038" s="8">
        <v>4</v>
      </c>
      <c r="J1038" s="10">
        <v>2017</v>
      </c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 t="str">
        <f>"1173.70"</f>
        <v>1173.70</v>
      </c>
      <c r="V1038" s="5"/>
      <c r="W1038" s="5"/>
      <c r="X1038" s="5"/>
      <c r="Y1038" s="5"/>
      <c r="Z1038" s="5"/>
      <c r="AA1038" s="5"/>
      <c r="AB1038" s="5"/>
      <c r="AC1038" s="5"/>
      <c r="AD1038" s="5"/>
    </row>
    <row r="1039" spans="1:30" ht="13.5" customHeight="1">
      <c r="A1039" s="8">
        <v>1037</v>
      </c>
      <c r="B1039" s="8">
        <v>10381</v>
      </c>
      <c r="C1039" s="9" t="s">
        <v>1057</v>
      </c>
      <c r="D1039" s="8" t="s">
        <v>16</v>
      </c>
      <c r="E1039" s="8" t="str">
        <f>"1174.64"</f>
        <v>1174.64</v>
      </c>
      <c r="F1039" s="8"/>
      <c r="G1039" s="3">
        <v>1202.6400000000001</v>
      </c>
      <c r="H1039" s="10" t="s">
        <v>18</v>
      </c>
      <c r="I1039" s="8">
        <v>1</v>
      </c>
      <c r="J1039" s="10">
        <v>2017</v>
      </c>
      <c r="K1039" s="5" t="str">
        <f>"1174.64"</f>
        <v>1174.64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</row>
    <row r="1040" spans="1:30" ht="13.5" customHeight="1">
      <c r="A1040" s="8">
        <v>1038</v>
      </c>
      <c r="B1040" s="8">
        <v>3991</v>
      </c>
      <c r="C1040" s="9" t="s">
        <v>1247</v>
      </c>
      <c r="D1040" s="8" t="s">
        <v>318</v>
      </c>
      <c r="E1040" s="8"/>
      <c r="F1040" s="8"/>
      <c r="G1040" s="3">
        <v>1202.6500000000001</v>
      </c>
      <c r="H1040" s="10" t="s">
        <v>18</v>
      </c>
      <c r="I1040" s="8">
        <v>1</v>
      </c>
      <c r="J1040" s="10">
        <v>2017</v>
      </c>
      <c r="K1040" s="5">
        <v>1174.6500000000001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</row>
    <row r="1041" spans="1:30" ht="13.5" customHeight="1">
      <c r="A1041" s="8">
        <v>1039</v>
      </c>
      <c r="B1041" s="8">
        <v>11205</v>
      </c>
      <c r="C1041" s="9" t="s">
        <v>919</v>
      </c>
      <c r="D1041" s="8" t="s">
        <v>29</v>
      </c>
      <c r="E1041" s="8" t="str">
        <f>"1209.02"</f>
        <v>1209.02</v>
      </c>
      <c r="F1041" s="8"/>
      <c r="G1041" s="3">
        <v>1209.02</v>
      </c>
      <c r="H1041" s="10" t="s">
        <v>12</v>
      </c>
      <c r="I1041" s="8">
        <v>4</v>
      </c>
      <c r="J1041" s="10">
        <v>2017</v>
      </c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 t="str">
        <f>"1181.02"</f>
        <v>1181.02</v>
      </c>
      <c r="V1041" s="5"/>
      <c r="W1041" s="5"/>
      <c r="X1041" s="5"/>
      <c r="Y1041" s="5"/>
      <c r="Z1041" s="5"/>
      <c r="AA1041" s="5"/>
      <c r="AB1041" s="5"/>
      <c r="AC1041" s="5"/>
      <c r="AD1041" s="5"/>
    </row>
    <row r="1042" spans="1:30" ht="13.5" customHeight="1">
      <c r="A1042" s="8">
        <v>1040</v>
      </c>
      <c r="B1042" s="8">
        <v>11136</v>
      </c>
      <c r="C1042" s="9" t="s">
        <v>1108</v>
      </c>
      <c r="D1042" s="8" t="s">
        <v>29</v>
      </c>
      <c r="E1042" s="8" t="str">
        <f>"1216.96"</f>
        <v>1216.96</v>
      </c>
      <c r="F1042" s="8"/>
      <c r="G1042" s="3">
        <v>1216.96</v>
      </c>
      <c r="H1042" s="10"/>
      <c r="I1042" s="8">
        <v>5</v>
      </c>
      <c r="J1042" s="10">
        <v>2017</v>
      </c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 t="str">
        <f>"1846.18"</f>
        <v>1846.18</v>
      </c>
      <c r="V1042" s="5"/>
      <c r="W1042" s="5"/>
      <c r="X1042" s="5"/>
      <c r="Y1042" s="5"/>
      <c r="Z1042" s="5"/>
      <c r="AA1042" s="5"/>
      <c r="AB1042" s="5" t="str">
        <f>"587.74"</f>
        <v>587.74</v>
      </c>
      <c r="AC1042" s="5"/>
      <c r="AD1042" s="5"/>
    </row>
    <row r="1043" spans="1:30" ht="13.5" customHeight="1">
      <c r="A1043" s="8">
        <v>1041</v>
      </c>
      <c r="B1043" s="8">
        <v>10794</v>
      </c>
      <c r="C1043" s="9" t="s">
        <v>1082</v>
      </c>
      <c r="D1043" s="8" t="s">
        <v>29</v>
      </c>
      <c r="E1043" s="8" t="str">
        <f>"1318.68"</f>
        <v>1318.68</v>
      </c>
      <c r="F1043" s="8"/>
      <c r="G1043" s="3">
        <v>1237.4000000000001</v>
      </c>
      <c r="H1043" s="10" t="s">
        <v>12</v>
      </c>
      <c r="I1043" s="8">
        <v>2</v>
      </c>
      <c r="J1043" s="10">
        <v>2017</v>
      </c>
      <c r="K1043" s="5" t="str">
        <f>"1427.96"</f>
        <v>1427.96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 t="str">
        <f>"1209.40"</f>
        <v>1209.40</v>
      </c>
      <c r="V1043" s="5"/>
      <c r="W1043" s="5"/>
      <c r="X1043" s="5"/>
      <c r="Y1043" s="5"/>
      <c r="Z1043" s="5"/>
      <c r="AA1043" s="5"/>
      <c r="AB1043" s="5"/>
      <c r="AC1043" s="5"/>
      <c r="AD1043" s="5"/>
    </row>
    <row r="1044" spans="1:30" ht="13.5" customHeight="1">
      <c r="A1044" s="8">
        <v>1042</v>
      </c>
      <c r="B1044" s="8">
        <v>10485</v>
      </c>
      <c r="C1044" s="9" t="s">
        <v>785</v>
      </c>
      <c r="D1044" s="8" t="s">
        <v>29</v>
      </c>
      <c r="E1044" s="8" t="str">
        <f>"1254.30"</f>
        <v>1254.30</v>
      </c>
      <c r="F1044" s="8"/>
      <c r="G1044" s="3">
        <v>1254.3</v>
      </c>
      <c r="H1044" s="10" t="s">
        <v>12</v>
      </c>
      <c r="I1044" s="8">
        <v>4</v>
      </c>
      <c r="J1044" s="10">
        <v>2017</v>
      </c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 t="str">
        <f>"1226.30"</f>
        <v>1226.30</v>
      </c>
      <c r="V1044" s="5"/>
      <c r="W1044" s="5"/>
      <c r="X1044" s="5"/>
      <c r="Y1044" s="5"/>
      <c r="Z1044" s="5"/>
      <c r="AA1044" s="5"/>
      <c r="AB1044" s="5"/>
      <c r="AC1044" s="5"/>
      <c r="AD1044" s="5"/>
    </row>
    <row r="1045" spans="1:30" ht="13.5" customHeight="1">
      <c r="A1045" s="8">
        <v>1043</v>
      </c>
      <c r="B1045" s="8">
        <v>10469</v>
      </c>
      <c r="C1045" s="9" t="s">
        <v>1035</v>
      </c>
      <c r="D1045" s="8" t="s">
        <v>29</v>
      </c>
      <c r="E1045" s="8" t="str">
        <f>"1256.92"</f>
        <v>1256.92</v>
      </c>
      <c r="F1045" s="8"/>
      <c r="G1045" s="3">
        <v>1254.3</v>
      </c>
      <c r="H1045" s="10" t="s">
        <v>12</v>
      </c>
      <c r="I1045" s="8">
        <v>2</v>
      </c>
      <c r="J1045" s="10">
        <v>2017</v>
      </c>
      <c r="K1045" s="5" t="str">
        <f>"1287.54"</f>
        <v>1287.54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 t="str">
        <f>"1226.30"</f>
        <v>1226.30</v>
      </c>
      <c r="V1045" s="5"/>
      <c r="W1045" s="5"/>
      <c r="X1045" s="5"/>
      <c r="Y1045" s="5"/>
      <c r="Z1045" s="5"/>
      <c r="AA1045" s="5"/>
      <c r="AB1045" s="5"/>
      <c r="AC1045" s="5"/>
      <c r="AD1045" s="5"/>
    </row>
    <row r="1046" spans="1:30" ht="13.5" customHeight="1">
      <c r="A1046" s="8">
        <v>1044</v>
      </c>
      <c r="B1046" s="8">
        <v>10468</v>
      </c>
      <c r="C1046" s="9" t="s">
        <v>1086</v>
      </c>
      <c r="D1046" s="8" t="s">
        <v>29</v>
      </c>
      <c r="E1046" s="8" t="str">
        <f>"1413.98"</f>
        <v>1413.98</v>
      </c>
      <c r="F1046" s="8"/>
      <c r="G1046" s="3">
        <v>1266.0999999999999</v>
      </c>
      <c r="H1046" s="10" t="s">
        <v>12</v>
      </c>
      <c r="I1046" s="8">
        <v>2</v>
      </c>
      <c r="J1046" s="10">
        <v>2017</v>
      </c>
      <c r="K1046" s="5" t="str">
        <f>"1589.86"</f>
        <v>1589.86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 t="str">
        <f>"1238.10"</f>
        <v>1238.10</v>
      </c>
      <c r="V1046" s="5"/>
      <c r="W1046" s="5"/>
      <c r="X1046" s="5"/>
      <c r="Y1046" s="5"/>
      <c r="Z1046" s="5"/>
      <c r="AA1046" s="5"/>
      <c r="AB1046" s="5"/>
      <c r="AC1046" s="5"/>
      <c r="AD1046" s="5"/>
    </row>
    <row r="1047" spans="1:30" ht="13.5" customHeight="1">
      <c r="A1047" s="8">
        <v>1045</v>
      </c>
      <c r="B1047" s="8">
        <v>11167</v>
      </c>
      <c r="C1047" s="9" t="s">
        <v>1100</v>
      </c>
      <c r="D1047" s="8" t="s">
        <v>29</v>
      </c>
      <c r="E1047" s="8" t="str">
        <f>"1269.92"</f>
        <v>1269.92</v>
      </c>
      <c r="F1047" s="8"/>
      <c r="G1047" s="3">
        <v>1269.92</v>
      </c>
      <c r="H1047" s="10" t="s">
        <v>12</v>
      </c>
      <c r="I1047" s="8">
        <v>4</v>
      </c>
      <c r="J1047" s="10">
        <v>2017</v>
      </c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 t="str">
        <f>"1241.92"</f>
        <v>1241.92</v>
      </c>
      <c r="V1047" s="5"/>
      <c r="W1047" s="5"/>
      <c r="X1047" s="5"/>
      <c r="Y1047" s="5"/>
      <c r="Z1047" s="5"/>
      <c r="AA1047" s="5"/>
      <c r="AB1047" s="5"/>
      <c r="AC1047" s="5"/>
      <c r="AD1047" s="5"/>
    </row>
    <row r="1048" spans="1:30" ht="13.5" customHeight="1">
      <c r="A1048" s="8">
        <v>1046</v>
      </c>
      <c r="B1048" s="8">
        <v>11201</v>
      </c>
      <c r="C1048" s="9" t="s">
        <v>1055</v>
      </c>
      <c r="D1048" s="8" t="s">
        <v>29</v>
      </c>
      <c r="E1048" s="8" t="str">
        <f>"1292.24"</f>
        <v>1292.24</v>
      </c>
      <c r="F1048" s="8"/>
      <c r="G1048" s="3">
        <v>1292.24</v>
      </c>
      <c r="H1048" s="10" t="s">
        <v>12</v>
      </c>
      <c r="I1048" s="8">
        <v>4</v>
      </c>
      <c r="J1048" s="10">
        <v>2017</v>
      </c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 t="str">
        <f>"1264.24"</f>
        <v>1264.24</v>
      </c>
      <c r="V1048" s="5"/>
      <c r="W1048" s="5"/>
      <c r="X1048" s="5"/>
      <c r="Y1048" s="5"/>
      <c r="Z1048" s="5"/>
      <c r="AA1048" s="5"/>
      <c r="AB1048" s="5"/>
      <c r="AC1048" s="5"/>
      <c r="AD1048" s="5"/>
    </row>
    <row r="1049" spans="1:30" ht="13.5" customHeight="1">
      <c r="A1049" s="8">
        <v>1047</v>
      </c>
      <c r="B1049" s="8">
        <v>11138</v>
      </c>
      <c r="C1049" s="9" t="s">
        <v>1000</v>
      </c>
      <c r="D1049" s="8" t="s">
        <v>29</v>
      </c>
      <c r="E1049" s="8" t="str">
        <f>"1297.34"</f>
        <v>1297.34</v>
      </c>
      <c r="F1049" s="8"/>
      <c r="G1049" s="3">
        <v>1297.3399999999999</v>
      </c>
      <c r="H1049" s="10" t="s">
        <v>12</v>
      </c>
      <c r="I1049" s="8">
        <v>4</v>
      </c>
      <c r="J1049" s="10">
        <v>2017</v>
      </c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 t="str">
        <f>"1269.34"</f>
        <v>1269.34</v>
      </c>
      <c r="V1049" s="5"/>
      <c r="W1049" s="5"/>
      <c r="X1049" s="5"/>
      <c r="Y1049" s="5"/>
      <c r="Z1049" s="5"/>
      <c r="AA1049" s="5"/>
      <c r="AB1049" s="5"/>
      <c r="AC1049" s="5"/>
      <c r="AD1049" s="5"/>
    </row>
    <row r="1050" spans="1:30" ht="13.5" customHeight="1">
      <c r="A1050" s="8">
        <v>1048</v>
      </c>
      <c r="B1050" s="8">
        <v>10795</v>
      </c>
      <c r="C1050" s="9" t="s">
        <v>1021</v>
      </c>
      <c r="D1050" s="8" t="s">
        <v>29</v>
      </c>
      <c r="E1050" s="8" t="str">
        <f>"1498.07"</f>
        <v>1498.07</v>
      </c>
      <c r="F1050" s="8"/>
      <c r="G1050" s="3">
        <v>1332.42</v>
      </c>
      <c r="H1050" s="10" t="s">
        <v>12</v>
      </c>
      <c r="I1050" s="8">
        <v>2</v>
      </c>
      <c r="J1050" s="10">
        <v>2017</v>
      </c>
      <c r="K1050" s="5" t="str">
        <f>"1691.72"</f>
        <v>1691.72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 t="str">
        <f>"1304.42"</f>
        <v>1304.42</v>
      </c>
      <c r="V1050" s="5"/>
      <c r="W1050" s="5"/>
      <c r="X1050" s="5"/>
      <c r="Y1050" s="5"/>
      <c r="Z1050" s="5"/>
      <c r="AA1050" s="5"/>
      <c r="AB1050" s="5"/>
      <c r="AC1050" s="5"/>
      <c r="AD1050" s="5"/>
    </row>
    <row r="1051" spans="1:30" ht="13.5" customHeight="1">
      <c r="A1051" s="8">
        <v>1049</v>
      </c>
      <c r="B1051" s="8">
        <v>11190</v>
      </c>
      <c r="C1051" s="9" t="s">
        <v>1114</v>
      </c>
      <c r="D1051" s="8" t="s">
        <v>29</v>
      </c>
      <c r="E1051" s="8" t="str">
        <f>"1364.32"</f>
        <v>1364.32</v>
      </c>
      <c r="F1051" s="8"/>
      <c r="G1051" s="3">
        <v>1364.32</v>
      </c>
      <c r="H1051" s="10" t="s">
        <v>12</v>
      </c>
      <c r="I1051" s="8">
        <v>4</v>
      </c>
      <c r="J1051" s="10">
        <v>2017</v>
      </c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 t="str">
        <f>"1336.32"</f>
        <v>1336.32</v>
      </c>
      <c r="V1051" s="5"/>
      <c r="W1051" s="5"/>
      <c r="X1051" s="5"/>
      <c r="Y1051" s="5"/>
      <c r="Z1051" s="5"/>
      <c r="AA1051" s="5"/>
      <c r="AB1051" s="5"/>
      <c r="AC1051" s="5"/>
      <c r="AD1051" s="5"/>
    </row>
    <row r="1052" spans="1:30" ht="13.5" customHeight="1">
      <c r="A1052" s="8">
        <v>1050</v>
      </c>
      <c r="B1052" s="8">
        <v>11168</v>
      </c>
      <c r="C1052" s="9" t="s">
        <v>1091</v>
      </c>
      <c r="D1052" s="8" t="s">
        <v>29</v>
      </c>
      <c r="E1052" s="8" t="str">
        <f>"1387.58"</f>
        <v>1387.58</v>
      </c>
      <c r="F1052" s="8"/>
      <c r="G1052" s="3">
        <v>1387.58</v>
      </c>
      <c r="H1052" s="10" t="s">
        <v>12</v>
      </c>
      <c r="I1052" s="8">
        <v>4</v>
      </c>
      <c r="J1052" s="10">
        <v>2017</v>
      </c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 t="str">
        <f>"1359.58"</f>
        <v>1359.58</v>
      </c>
      <c r="V1052" s="5"/>
      <c r="W1052" s="5"/>
      <c r="X1052" s="5"/>
      <c r="Y1052" s="5"/>
      <c r="Z1052" s="5"/>
      <c r="AA1052" s="5"/>
      <c r="AB1052" s="5"/>
      <c r="AC1052" s="5"/>
      <c r="AD1052" s="5"/>
    </row>
    <row r="1053" spans="1:30" ht="13.5" customHeight="1">
      <c r="A1053" s="8">
        <v>1051</v>
      </c>
      <c r="B1053" s="8">
        <v>11169</v>
      </c>
      <c r="C1053" s="9" t="s">
        <v>1122</v>
      </c>
      <c r="D1053" s="8" t="s">
        <v>29</v>
      </c>
      <c r="E1053" s="8" t="str">
        <f>"1388.54"</f>
        <v>1388.54</v>
      </c>
      <c r="F1053" s="8"/>
      <c r="G1053" s="3">
        <v>1388.54</v>
      </c>
      <c r="H1053" s="10" t="s">
        <v>12</v>
      </c>
      <c r="I1053" s="8">
        <v>4</v>
      </c>
      <c r="J1053" s="10">
        <v>2017</v>
      </c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 t="str">
        <f>"1360.54"</f>
        <v>1360.54</v>
      </c>
      <c r="V1053" s="5"/>
      <c r="W1053" s="5"/>
      <c r="X1053" s="5"/>
      <c r="Y1053" s="5"/>
      <c r="Z1053" s="5"/>
      <c r="AA1053" s="5"/>
      <c r="AB1053" s="5"/>
      <c r="AC1053" s="5"/>
      <c r="AD1053" s="5"/>
    </row>
    <row r="1054" spans="1:30" ht="13.5" customHeight="1">
      <c r="A1054" s="8">
        <v>1052</v>
      </c>
      <c r="B1054" s="8">
        <v>10796</v>
      </c>
      <c r="C1054" s="9" t="s">
        <v>1212</v>
      </c>
      <c r="D1054" s="8" t="s">
        <v>29</v>
      </c>
      <c r="E1054" s="8" t="str">
        <f>"1385.56"</f>
        <v>1385.56</v>
      </c>
      <c r="F1054" s="8"/>
      <c r="G1054" s="3">
        <v>1413.56</v>
      </c>
      <c r="H1054" s="10" t="s">
        <v>18</v>
      </c>
      <c r="I1054" s="8">
        <v>1</v>
      </c>
      <c r="J1054" s="10">
        <v>2017</v>
      </c>
      <c r="K1054" s="5" t="str">
        <f>"1385.56"</f>
        <v>1385.56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</row>
    <row r="1055" spans="1:30" ht="13.5" customHeight="1">
      <c r="A1055" s="8">
        <v>1053</v>
      </c>
      <c r="B1055" s="8">
        <v>11184</v>
      </c>
      <c r="C1055" s="9" t="s">
        <v>1125</v>
      </c>
      <c r="D1055" s="8" t="s">
        <v>29</v>
      </c>
      <c r="E1055" s="8" t="str">
        <f>"1435.16"</f>
        <v>1435.16</v>
      </c>
      <c r="F1055" s="8"/>
      <c r="G1055" s="3">
        <v>1435.16</v>
      </c>
      <c r="H1055" s="10"/>
      <c r="I1055" s="8">
        <v>5</v>
      </c>
      <c r="J1055" s="10">
        <v>2017</v>
      </c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 t="str">
        <f>"1983.92"</f>
        <v>1983.92</v>
      </c>
      <c r="V1055" s="5"/>
      <c r="W1055" s="5"/>
      <c r="X1055" s="5"/>
      <c r="Y1055" s="5"/>
      <c r="Z1055" s="5"/>
      <c r="AA1055" s="5"/>
      <c r="AB1055" s="5" t="str">
        <f>"886.40"</f>
        <v>886.40</v>
      </c>
      <c r="AC1055" s="5"/>
      <c r="AD1055" s="5"/>
    </row>
    <row r="1056" spans="1:30" ht="13.5" customHeight="1">
      <c r="A1056" s="8">
        <v>1054</v>
      </c>
      <c r="B1056" s="8">
        <v>11134</v>
      </c>
      <c r="C1056" s="9" t="s">
        <v>1087</v>
      </c>
      <c r="D1056" s="8" t="s">
        <v>29</v>
      </c>
      <c r="E1056" s="8" t="str">
        <f>"1472.08"</f>
        <v>1472.08</v>
      </c>
      <c r="F1056" s="8"/>
      <c r="G1056" s="3">
        <v>1472.08</v>
      </c>
      <c r="H1056" s="10" t="s">
        <v>12</v>
      </c>
      <c r="I1056" s="8">
        <v>4</v>
      </c>
      <c r="J1056" s="10">
        <v>2017</v>
      </c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 t="str">
        <f>"1444.08"</f>
        <v>1444.08</v>
      </c>
      <c r="V1056" s="5"/>
      <c r="W1056" s="5"/>
      <c r="X1056" s="5"/>
      <c r="Y1056" s="5"/>
      <c r="Z1056" s="5"/>
      <c r="AA1056" s="5"/>
      <c r="AB1056" s="5"/>
      <c r="AC1056" s="5"/>
      <c r="AD1056" s="5"/>
    </row>
    <row r="1057" spans="1:30" ht="13.5" customHeight="1">
      <c r="A1057" s="8">
        <v>1055</v>
      </c>
      <c r="B1057" s="8">
        <v>10734</v>
      </c>
      <c r="C1057" s="9" t="s">
        <v>1131</v>
      </c>
      <c r="D1057" s="8" t="s">
        <v>29</v>
      </c>
      <c r="E1057" s="8" t="str">
        <f>"1452.74"</f>
        <v>1452.74</v>
      </c>
      <c r="F1057" s="8"/>
      <c r="G1057" s="3">
        <v>1480.74</v>
      </c>
      <c r="H1057" s="10" t="s">
        <v>18</v>
      </c>
      <c r="I1057" s="8">
        <v>1</v>
      </c>
      <c r="J1057" s="10">
        <v>2017</v>
      </c>
      <c r="K1057" s="5" t="str">
        <f>"1452.74"</f>
        <v>1452.74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</row>
    <row r="1058" spans="1:30" ht="13.5" customHeight="1">
      <c r="A1058" s="8">
        <v>1056</v>
      </c>
      <c r="B1058" s="8">
        <v>11208</v>
      </c>
      <c r="C1058" s="9" t="s">
        <v>1116</v>
      </c>
      <c r="D1058" s="8" t="s">
        <v>29</v>
      </c>
      <c r="E1058" s="8" t="str">
        <f>"1485.48"</f>
        <v>1485.48</v>
      </c>
      <c r="F1058" s="8"/>
      <c r="G1058" s="3">
        <v>1485.48</v>
      </c>
      <c r="H1058" s="10" t="s">
        <v>12</v>
      </c>
      <c r="I1058" s="8">
        <v>4</v>
      </c>
      <c r="J1058" s="10">
        <v>2017</v>
      </c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 t="str">
        <f>"1457.48"</f>
        <v>1457.48</v>
      </c>
      <c r="V1058" s="5"/>
      <c r="W1058" s="5"/>
      <c r="X1058" s="5"/>
      <c r="Y1058" s="5"/>
      <c r="Z1058" s="5"/>
      <c r="AA1058" s="5"/>
      <c r="AB1058" s="5"/>
      <c r="AC1058" s="5"/>
      <c r="AD1058" s="5"/>
    </row>
    <row r="1059" spans="1:30" ht="13.5" customHeight="1">
      <c r="A1059" s="8">
        <v>1057</v>
      </c>
      <c r="B1059" s="8">
        <v>10200</v>
      </c>
      <c r="C1059" s="9" t="s">
        <v>1156</v>
      </c>
      <c r="D1059" s="8" t="s">
        <v>16</v>
      </c>
      <c r="E1059" s="8" t="str">
        <f>"1473.66"</f>
        <v>1473.66</v>
      </c>
      <c r="F1059" s="8"/>
      <c r="G1059" s="3">
        <v>1501.66</v>
      </c>
      <c r="H1059" s="10" t="s">
        <v>18</v>
      </c>
      <c r="I1059" s="8">
        <v>1</v>
      </c>
      <c r="J1059" s="10">
        <v>2017</v>
      </c>
      <c r="K1059" s="5" t="str">
        <f>"1473.66"</f>
        <v>1473.66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</row>
    <row r="1060" spans="1:30" ht="13.5" customHeight="1">
      <c r="A1060" s="8">
        <v>1058</v>
      </c>
      <c r="B1060" s="8">
        <v>11176</v>
      </c>
      <c r="C1060" s="9" t="s">
        <v>1074</v>
      </c>
      <c r="D1060" s="8" t="s">
        <v>29</v>
      </c>
      <c r="E1060" s="8" t="str">
        <f>"1512.90"</f>
        <v>1512.90</v>
      </c>
      <c r="F1060" s="8"/>
      <c r="G1060" s="3">
        <v>1512.9</v>
      </c>
      <c r="H1060" s="10" t="s">
        <v>12</v>
      </c>
      <c r="I1060" s="8">
        <v>4</v>
      </c>
      <c r="J1060" s="10">
        <v>2017</v>
      </c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 t="str">
        <f>"1484.90"</f>
        <v>1484.90</v>
      </c>
      <c r="V1060" s="5"/>
      <c r="W1060" s="5"/>
      <c r="X1060" s="5"/>
      <c r="Y1060" s="5"/>
      <c r="Z1060" s="5"/>
      <c r="AA1060" s="5"/>
      <c r="AB1060" s="5"/>
      <c r="AC1060" s="5"/>
      <c r="AD1060" s="5"/>
    </row>
    <row r="1061" spans="1:30" ht="13.5" customHeight="1">
      <c r="A1061" s="8">
        <v>1059</v>
      </c>
      <c r="B1061" s="8">
        <v>11137</v>
      </c>
      <c r="C1061" s="9" t="s">
        <v>1097</v>
      </c>
      <c r="D1061" s="8" t="s">
        <v>29</v>
      </c>
      <c r="E1061" s="8" t="str">
        <f>"1559.78"</f>
        <v>1559.78</v>
      </c>
      <c r="F1061" s="8"/>
      <c r="G1061" s="3">
        <v>1559.78</v>
      </c>
      <c r="H1061" s="10" t="s">
        <v>12</v>
      </c>
      <c r="I1061" s="8">
        <v>4</v>
      </c>
      <c r="J1061" s="10">
        <v>2017</v>
      </c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 t="str">
        <f>"1531.78"</f>
        <v>1531.78</v>
      </c>
      <c r="V1061" s="5"/>
      <c r="W1061" s="5"/>
      <c r="X1061" s="5"/>
      <c r="Y1061" s="5"/>
      <c r="Z1061" s="5"/>
      <c r="AA1061" s="5"/>
      <c r="AB1061" s="5"/>
      <c r="AC1061" s="5"/>
      <c r="AD1061" s="5"/>
    </row>
    <row r="1062" spans="1:30" ht="13.5" customHeight="1">
      <c r="A1062" s="8">
        <v>1060</v>
      </c>
      <c r="B1062" s="8">
        <v>11202</v>
      </c>
      <c r="C1062" s="9" t="s">
        <v>1110</v>
      </c>
      <c r="D1062" s="8" t="s">
        <v>29</v>
      </c>
      <c r="E1062" s="8" t="str">
        <f>"1567.42"</f>
        <v>1567.42</v>
      </c>
      <c r="F1062" s="8"/>
      <c r="G1062" s="3">
        <v>1567.42</v>
      </c>
      <c r="H1062" s="10" t="s">
        <v>12</v>
      </c>
      <c r="I1062" s="8">
        <v>4</v>
      </c>
      <c r="J1062" s="10">
        <v>2017</v>
      </c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 t="str">
        <f>"1539.42"</f>
        <v>1539.42</v>
      </c>
      <c r="V1062" s="5"/>
      <c r="W1062" s="5"/>
      <c r="X1062" s="5"/>
      <c r="Y1062" s="5"/>
      <c r="Z1062" s="5"/>
      <c r="AA1062" s="5"/>
      <c r="AB1062" s="5"/>
      <c r="AC1062" s="5"/>
      <c r="AD1062" s="5"/>
    </row>
    <row r="1063" spans="1:30" ht="13.5" customHeight="1">
      <c r="A1063" s="8">
        <v>1061</v>
      </c>
      <c r="B1063" s="8">
        <v>10820</v>
      </c>
      <c r="C1063" s="9" t="s">
        <v>1151</v>
      </c>
      <c r="D1063" s="8" t="s">
        <v>16</v>
      </c>
      <c r="E1063" s="8" t="str">
        <f>"1582.70"</f>
        <v>1582.70</v>
      </c>
      <c r="F1063" s="8"/>
      <c r="G1063" s="3">
        <v>1610.7</v>
      </c>
      <c r="H1063" s="10" t="s">
        <v>18</v>
      </c>
      <c r="I1063" s="8">
        <v>1</v>
      </c>
      <c r="J1063" s="10">
        <v>2017</v>
      </c>
      <c r="K1063" s="5" t="str">
        <f>"1582.70"</f>
        <v>1582.70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</row>
    <row r="1064" spans="1:30" ht="13.5" customHeight="1">
      <c r="A1064" s="8">
        <v>1062</v>
      </c>
      <c r="B1064" s="8">
        <v>11173</v>
      </c>
      <c r="C1064" s="9" t="s">
        <v>1128</v>
      </c>
      <c r="D1064" s="8" t="s">
        <v>29</v>
      </c>
      <c r="E1064" s="8" t="str">
        <f>"1625.77"</f>
        <v>1625.77</v>
      </c>
      <c r="F1064" s="8"/>
      <c r="G1064" s="3">
        <v>1625.77</v>
      </c>
      <c r="H1064" s="10"/>
      <c r="I1064" s="8">
        <v>5</v>
      </c>
      <c r="J1064" s="10">
        <v>2017</v>
      </c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 t="str">
        <f>"2394.00"</f>
        <v>2394.00</v>
      </c>
      <c r="V1064" s="5"/>
      <c r="W1064" s="5"/>
      <c r="X1064" s="5"/>
      <c r="Y1064" s="5" t="str">
        <f>"857.54"</f>
        <v>857.54</v>
      </c>
      <c r="Z1064" s="5"/>
      <c r="AA1064" s="5"/>
      <c r="AB1064" s="5"/>
      <c r="AC1064" s="5"/>
      <c r="AD1064" s="5"/>
    </row>
    <row r="1065" spans="1:30" ht="13.5" customHeight="1">
      <c r="A1065" s="8">
        <v>1063</v>
      </c>
      <c r="B1065" s="8">
        <v>11157</v>
      </c>
      <c r="C1065" s="9" t="s">
        <v>1120</v>
      </c>
      <c r="D1065" s="8" t="s">
        <v>29</v>
      </c>
      <c r="E1065" s="8" t="str">
        <f>"1633.44"</f>
        <v>1633.44</v>
      </c>
      <c r="F1065" s="8"/>
      <c r="G1065" s="3">
        <v>1633.44</v>
      </c>
      <c r="H1065" s="10" t="s">
        <v>12</v>
      </c>
      <c r="I1065" s="8">
        <v>4</v>
      </c>
      <c r="J1065" s="10">
        <v>2017</v>
      </c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 t="str">
        <f>"1605.44"</f>
        <v>1605.44</v>
      </c>
      <c r="V1065" s="5"/>
      <c r="W1065" s="5"/>
      <c r="X1065" s="5"/>
      <c r="Y1065" s="5"/>
      <c r="Z1065" s="5"/>
      <c r="AA1065" s="5"/>
      <c r="AB1065" s="5"/>
      <c r="AC1065" s="5"/>
      <c r="AD1065" s="5"/>
    </row>
    <row r="1066" spans="1:30" ht="13.5" customHeight="1">
      <c r="A1066" s="8">
        <v>1064</v>
      </c>
      <c r="B1066" s="8">
        <v>11142</v>
      </c>
      <c r="C1066" s="9" t="s">
        <v>1079</v>
      </c>
      <c r="D1066" s="8" t="s">
        <v>29</v>
      </c>
      <c r="E1066" s="8" t="str">
        <f>"1705.98"</f>
        <v>1705.98</v>
      </c>
      <c r="F1066" s="8"/>
      <c r="G1066" s="3">
        <v>1705.98</v>
      </c>
      <c r="H1066" s="10"/>
      <c r="I1066" s="8">
        <v>5</v>
      </c>
      <c r="J1066" s="10">
        <v>2017</v>
      </c>
      <c r="K1066" s="5"/>
      <c r="L1066" s="5"/>
      <c r="M1066" s="5"/>
      <c r="N1066" s="5"/>
      <c r="O1066" s="5"/>
      <c r="P1066" s="5"/>
      <c r="Q1066" s="5"/>
      <c r="R1066" s="5" t="str">
        <f>"763.84"</f>
        <v>763.84</v>
      </c>
      <c r="S1066" s="5"/>
      <c r="T1066" s="5"/>
      <c r="U1066" s="5" t="str">
        <f>"2648.12"</f>
        <v>2648.12</v>
      </c>
      <c r="V1066" s="5"/>
      <c r="W1066" s="5"/>
      <c r="X1066" s="5"/>
      <c r="Y1066" s="5"/>
      <c r="Z1066" s="5"/>
      <c r="AA1066" s="5"/>
      <c r="AB1066" s="5"/>
      <c r="AC1066" s="5"/>
      <c r="AD1066" s="5"/>
    </row>
    <row r="1067" spans="1:30" ht="13.5" customHeight="1">
      <c r="A1067" s="8">
        <v>1065</v>
      </c>
      <c r="B1067" s="8">
        <v>11175</v>
      </c>
      <c r="C1067" s="9" t="s">
        <v>969</v>
      </c>
      <c r="D1067" s="8" t="s">
        <v>29</v>
      </c>
      <c r="E1067" s="8" t="str">
        <f>"1716.34"</f>
        <v>1716.34</v>
      </c>
      <c r="F1067" s="8"/>
      <c r="G1067" s="3">
        <v>1716.34</v>
      </c>
      <c r="H1067" s="10" t="s">
        <v>12</v>
      </c>
      <c r="I1067" s="8">
        <v>4</v>
      </c>
      <c r="J1067" s="10">
        <v>2017</v>
      </c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 t="str">
        <f>"1688.34"</f>
        <v>1688.34</v>
      </c>
      <c r="V1067" s="5"/>
      <c r="W1067" s="5"/>
      <c r="X1067" s="5"/>
      <c r="Y1067" s="5"/>
      <c r="Z1067" s="5"/>
      <c r="AA1067" s="5"/>
      <c r="AB1067" s="5"/>
      <c r="AC1067" s="5"/>
      <c r="AD1067" s="5"/>
    </row>
    <row r="1068" spans="1:30" ht="13.5" customHeight="1">
      <c r="A1068" s="8">
        <v>1066</v>
      </c>
      <c r="B1068" s="8">
        <v>11189</v>
      </c>
      <c r="C1068" s="9" t="s">
        <v>1129</v>
      </c>
      <c r="D1068" s="8" t="s">
        <v>29</v>
      </c>
      <c r="E1068" s="8" t="str">
        <f>"1746.64"</f>
        <v>1746.64</v>
      </c>
      <c r="F1068" s="8"/>
      <c r="G1068" s="3">
        <v>1746.64</v>
      </c>
      <c r="H1068" s="10" t="s">
        <v>12</v>
      </c>
      <c r="I1068" s="8">
        <v>4</v>
      </c>
      <c r="J1068" s="10">
        <v>2017</v>
      </c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 t="str">
        <f>"1718.64"</f>
        <v>1718.64</v>
      </c>
      <c r="V1068" s="5"/>
      <c r="W1068" s="5"/>
      <c r="X1068" s="5"/>
      <c r="Y1068" s="5"/>
      <c r="Z1068" s="5"/>
      <c r="AA1068" s="5"/>
      <c r="AB1068" s="5"/>
      <c r="AC1068" s="5"/>
      <c r="AD1068" s="5"/>
    </row>
    <row r="1069" spans="1:30" ht="13.5" customHeight="1">
      <c r="A1069" s="8">
        <v>1067</v>
      </c>
      <c r="B1069" s="8">
        <v>11180</v>
      </c>
      <c r="C1069" s="9" t="s">
        <v>1132</v>
      </c>
      <c r="D1069" s="8" t="s">
        <v>29</v>
      </c>
      <c r="E1069" s="8" t="str">
        <f>"1784.26"</f>
        <v>1784.26</v>
      </c>
      <c r="F1069" s="8"/>
      <c r="G1069" s="3">
        <v>1784.26</v>
      </c>
      <c r="H1069" s="10" t="s">
        <v>12</v>
      </c>
      <c r="I1069" s="8">
        <v>4</v>
      </c>
      <c r="J1069" s="10">
        <v>2017</v>
      </c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 t="str">
        <f>"1756.26"</f>
        <v>1756.26</v>
      </c>
      <c r="V1069" s="5"/>
      <c r="W1069" s="5"/>
      <c r="X1069" s="5"/>
      <c r="Y1069" s="5"/>
      <c r="Z1069" s="5"/>
      <c r="AA1069" s="5"/>
      <c r="AB1069" s="5"/>
      <c r="AC1069" s="5"/>
      <c r="AD1069" s="5"/>
    </row>
    <row r="1070" spans="1:30" ht="13.5" customHeight="1">
      <c r="A1070" s="8">
        <v>1068</v>
      </c>
      <c r="B1070" s="8">
        <v>11139</v>
      </c>
      <c r="C1070" s="9" t="s">
        <v>1059</v>
      </c>
      <c r="D1070" s="8" t="s">
        <v>29</v>
      </c>
      <c r="E1070" s="8" t="str">
        <f>"1853.14"</f>
        <v>1853.14</v>
      </c>
      <c r="F1070" s="8"/>
      <c r="G1070" s="3">
        <v>1853.14</v>
      </c>
      <c r="H1070" s="10" t="s">
        <v>12</v>
      </c>
      <c r="I1070" s="8">
        <v>4</v>
      </c>
      <c r="J1070" s="10">
        <v>2017</v>
      </c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 t="str">
        <f>"1825.14"</f>
        <v>1825.14</v>
      </c>
      <c r="V1070" s="5"/>
      <c r="W1070" s="5"/>
      <c r="X1070" s="5"/>
      <c r="Y1070" s="5"/>
      <c r="Z1070" s="5"/>
      <c r="AA1070" s="5"/>
      <c r="AB1070" s="5"/>
      <c r="AC1070" s="5"/>
      <c r="AD1070" s="5"/>
    </row>
    <row r="1071" spans="1:30" ht="13.5" customHeight="1">
      <c r="A1071" s="8">
        <v>1069</v>
      </c>
      <c r="B1071" s="8">
        <v>11160</v>
      </c>
      <c r="C1071" s="9" t="s">
        <v>1109</v>
      </c>
      <c r="D1071" s="8" t="s">
        <v>29</v>
      </c>
      <c r="E1071" s="8" t="str">
        <f>"1856.00"</f>
        <v>1856.00</v>
      </c>
      <c r="F1071" s="8"/>
      <c r="G1071" s="3">
        <v>1856</v>
      </c>
      <c r="H1071" s="10" t="s">
        <v>12</v>
      </c>
      <c r="I1071" s="8">
        <v>4</v>
      </c>
      <c r="J1071" s="10">
        <v>2017</v>
      </c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 t="str">
        <f>"1828.00"</f>
        <v>1828.00</v>
      </c>
      <c r="V1071" s="5"/>
      <c r="W1071" s="5"/>
      <c r="X1071" s="5"/>
      <c r="Y1071" s="5"/>
      <c r="Z1071" s="5"/>
      <c r="AA1071" s="5"/>
      <c r="AB1071" s="5"/>
      <c r="AC1071" s="5"/>
      <c r="AD1071" s="5"/>
    </row>
    <row r="1072" spans="1:30" ht="13.5" customHeight="1">
      <c r="A1072" s="8">
        <v>1070</v>
      </c>
      <c r="B1072" s="8">
        <v>10762</v>
      </c>
      <c r="C1072" s="9" t="s">
        <v>1130</v>
      </c>
      <c r="D1072" s="8" t="s">
        <v>29</v>
      </c>
      <c r="E1072" s="8" t="str">
        <f>"3365.52"</f>
        <v>3365.52</v>
      </c>
      <c r="F1072" s="8"/>
      <c r="G1072" s="3">
        <v>1925.2</v>
      </c>
      <c r="H1072" s="10" t="s">
        <v>12</v>
      </c>
      <c r="I1072" s="8">
        <v>2</v>
      </c>
      <c r="J1072" s="10">
        <v>2017</v>
      </c>
      <c r="K1072" s="5" t="str">
        <f>"4833.84"</f>
        <v>4833.84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 t="str">
        <f>"1897.20"</f>
        <v>1897.20</v>
      </c>
      <c r="V1072" s="5"/>
      <c r="W1072" s="5"/>
      <c r="X1072" s="5"/>
      <c r="Y1072" s="5"/>
      <c r="Z1072" s="5"/>
      <c r="AA1072" s="5"/>
      <c r="AB1072" s="5"/>
      <c r="AC1072" s="5"/>
      <c r="AD1072" s="5"/>
    </row>
    <row r="1073" spans="1:30" ht="13.5" customHeight="1">
      <c r="A1073" s="8">
        <v>1071</v>
      </c>
      <c r="B1073" s="8">
        <v>11192</v>
      </c>
      <c r="C1073" s="9" t="s">
        <v>1211</v>
      </c>
      <c r="D1073" s="8" t="s">
        <v>29</v>
      </c>
      <c r="E1073" s="8" t="str">
        <f>"1948.48"</f>
        <v>1948.48</v>
      </c>
      <c r="F1073" s="8"/>
      <c r="G1073" s="3">
        <v>1948.48</v>
      </c>
      <c r="H1073" s="10" t="s">
        <v>12</v>
      </c>
      <c r="I1073" s="8">
        <v>4</v>
      </c>
      <c r="J1073" s="10">
        <v>2017</v>
      </c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 t="str">
        <f>"1920.48"</f>
        <v>1920.48</v>
      </c>
      <c r="V1073" s="5"/>
      <c r="W1073" s="5"/>
      <c r="X1073" s="5"/>
      <c r="Y1073" s="5"/>
      <c r="Z1073" s="5"/>
      <c r="AA1073" s="5"/>
      <c r="AB1073" s="5"/>
      <c r="AC1073" s="5"/>
      <c r="AD1073" s="5"/>
    </row>
    <row r="1074" spans="1:30" ht="13.5" customHeight="1">
      <c r="A1074" s="8">
        <v>1072</v>
      </c>
      <c r="B1074" s="8">
        <v>11222</v>
      </c>
      <c r="C1074" s="9" t="s">
        <v>809</v>
      </c>
      <c r="D1074" s="8" t="s">
        <v>29</v>
      </c>
      <c r="E1074" s="8" t="str">
        <f>"1962.18"</f>
        <v>1962.18</v>
      </c>
      <c r="F1074" s="8"/>
      <c r="G1074" s="3">
        <v>1962.18</v>
      </c>
      <c r="H1074" s="10" t="s">
        <v>12</v>
      </c>
      <c r="I1074" s="8">
        <v>4</v>
      </c>
      <c r="J1074" s="10">
        <v>2017</v>
      </c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 t="str">
        <f>"1934.18"</f>
        <v>1934.18</v>
      </c>
      <c r="V1074" s="5"/>
      <c r="W1074" s="5"/>
      <c r="X1074" s="5"/>
      <c r="Y1074" s="5"/>
      <c r="Z1074" s="5"/>
      <c r="AA1074" s="5"/>
      <c r="AB1074" s="5"/>
      <c r="AC1074" s="5"/>
      <c r="AD1074" s="5"/>
    </row>
    <row r="1075" spans="1:30" ht="13.5" customHeight="1">
      <c r="A1075" s="8">
        <v>1073</v>
      </c>
      <c r="B1075" s="8">
        <v>10681</v>
      </c>
      <c r="C1075" s="9" t="s">
        <v>860</v>
      </c>
      <c r="D1075" s="8" t="s">
        <v>29</v>
      </c>
      <c r="E1075" s="8" t="str">
        <f>"1027.06"</f>
        <v>1027.06</v>
      </c>
      <c r="F1075" s="8"/>
      <c r="G1075" s="3">
        <v>1966.02</v>
      </c>
      <c r="H1075" s="10" t="s">
        <v>12</v>
      </c>
      <c r="I1075" s="8">
        <v>2</v>
      </c>
      <c r="J1075" s="10">
        <v>2017</v>
      </c>
      <c r="K1075" s="5" t="str">
        <f>"1027.06"</f>
        <v>1027.06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 t="str">
        <f>"1938.02"</f>
        <v>1938.02</v>
      </c>
      <c r="V1075" s="5"/>
      <c r="W1075" s="5"/>
      <c r="X1075" s="5"/>
      <c r="Y1075" s="5"/>
      <c r="Z1075" s="5"/>
      <c r="AA1075" s="5"/>
      <c r="AB1075" s="5"/>
      <c r="AC1075" s="5"/>
      <c r="AD1075" s="5"/>
    </row>
    <row r="1076" spans="1:30" ht="13.5" customHeight="1">
      <c r="A1076" s="8">
        <v>1074</v>
      </c>
      <c r="B1076" s="8">
        <v>11186</v>
      </c>
      <c r="C1076" s="9" t="s">
        <v>1135</v>
      </c>
      <c r="D1076" s="8" t="s">
        <v>29</v>
      </c>
      <c r="E1076" s="8" t="str">
        <f>"2004.46"</f>
        <v>2004.46</v>
      </c>
      <c r="F1076" s="8"/>
      <c r="G1076" s="3">
        <v>2004.46</v>
      </c>
      <c r="H1076" s="10"/>
      <c r="I1076" s="8">
        <v>5</v>
      </c>
      <c r="J1076" s="10">
        <v>2017</v>
      </c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 t="str">
        <f>"3153.84"</f>
        <v>3153.84</v>
      </c>
      <c r="V1076" s="5"/>
      <c r="W1076" s="5"/>
      <c r="X1076" s="5"/>
      <c r="Y1076" s="5"/>
      <c r="Z1076" s="5"/>
      <c r="AA1076" s="5"/>
      <c r="AB1076" s="5" t="str">
        <f>"855.07"</f>
        <v>855.07</v>
      </c>
      <c r="AC1076" s="5"/>
      <c r="AD1076" s="5"/>
    </row>
    <row r="1077" spans="1:30" ht="13.5" customHeight="1">
      <c r="A1077" s="8">
        <v>1075</v>
      </c>
      <c r="B1077" s="8">
        <v>11177</v>
      </c>
      <c r="C1077" s="9" t="s">
        <v>1103</v>
      </c>
      <c r="D1077" s="8" t="s">
        <v>29</v>
      </c>
      <c r="E1077" s="8" t="str">
        <f>"2031.06"</f>
        <v>2031.06</v>
      </c>
      <c r="F1077" s="8"/>
      <c r="G1077" s="3">
        <v>2031.06</v>
      </c>
      <c r="H1077" s="10" t="s">
        <v>12</v>
      </c>
      <c r="I1077" s="8">
        <v>4</v>
      </c>
      <c r="J1077" s="10">
        <v>2017</v>
      </c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 t="str">
        <f>"2003.06"</f>
        <v>2003.06</v>
      </c>
      <c r="V1077" s="5"/>
      <c r="W1077" s="5"/>
      <c r="X1077" s="5"/>
      <c r="Y1077" s="5"/>
      <c r="Z1077" s="5"/>
      <c r="AA1077" s="5"/>
      <c r="AB1077" s="5"/>
      <c r="AC1077" s="5"/>
      <c r="AD1077" s="5"/>
    </row>
    <row r="1078" spans="1:30" ht="13.5" customHeight="1">
      <c r="A1078" s="8">
        <v>1076</v>
      </c>
      <c r="B1078" s="8">
        <v>11144</v>
      </c>
      <c r="C1078" s="9" t="s">
        <v>1134</v>
      </c>
      <c r="D1078" s="8" t="s">
        <v>29</v>
      </c>
      <c r="E1078" s="8" t="str">
        <f>"2176.99"</f>
        <v>2176.99</v>
      </c>
      <c r="F1078" s="8"/>
      <c r="G1078" s="3">
        <v>2176.9899999999998</v>
      </c>
      <c r="H1078" s="10"/>
      <c r="I1078" s="8">
        <v>5</v>
      </c>
      <c r="J1078" s="10">
        <v>2017</v>
      </c>
      <c r="K1078" s="5"/>
      <c r="L1078" s="5"/>
      <c r="M1078" s="5"/>
      <c r="N1078" s="5"/>
      <c r="O1078" s="5"/>
      <c r="P1078" s="5"/>
      <c r="Q1078" s="5"/>
      <c r="R1078" s="5" t="str">
        <f>"1282.40"</f>
        <v>1282.40</v>
      </c>
      <c r="S1078" s="5"/>
      <c r="T1078" s="5"/>
      <c r="U1078" s="5" t="str">
        <f>"3071.58"</f>
        <v>3071.58</v>
      </c>
      <c r="V1078" s="5"/>
      <c r="W1078" s="5"/>
      <c r="X1078" s="5"/>
      <c r="Y1078" s="5"/>
      <c r="Z1078" s="5"/>
      <c r="AA1078" s="5"/>
      <c r="AB1078" s="5"/>
      <c r="AC1078" s="5"/>
      <c r="AD1078" s="5"/>
    </row>
    <row r="1079" spans="1:30" ht="13.5" customHeight="1">
      <c r="A1079" s="8">
        <v>1077</v>
      </c>
      <c r="B1079" s="8">
        <v>11188</v>
      </c>
      <c r="C1079" s="9" t="s">
        <v>1124</v>
      </c>
      <c r="D1079" s="8" t="s">
        <v>29</v>
      </c>
      <c r="E1079" s="8" t="str">
        <f>"2185.08"</f>
        <v>2185.08</v>
      </c>
      <c r="F1079" s="8"/>
      <c r="G1079" s="3">
        <v>2185.08</v>
      </c>
      <c r="H1079" s="10" t="s">
        <v>12</v>
      </c>
      <c r="I1079" s="8">
        <v>4</v>
      </c>
      <c r="J1079" s="10">
        <v>2017</v>
      </c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 t="str">
        <f>"2157.08"</f>
        <v>2157.08</v>
      </c>
      <c r="V1079" s="5"/>
      <c r="W1079" s="5"/>
      <c r="X1079" s="5"/>
      <c r="Y1079" s="5"/>
      <c r="Z1079" s="5"/>
      <c r="AA1079" s="5"/>
      <c r="AB1079" s="5"/>
      <c r="AC1079" s="5"/>
      <c r="AD1079" s="5"/>
    </row>
    <row r="1080" spans="1:30" ht="13.5" customHeight="1">
      <c r="A1080" s="8">
        <v>1078</v>
      </c>
      <c r="B1080" s="8">
        <v>11179</v>
      </c>
      <c r="C1080" s="9" t="s">
        <v>1133</v>
      </c>
      <c r="D1080" s="8" t="s">
        <v>29</v>
      </c>
      <c r="E1080" s="8" t="str">
        <f>"2263.52"</f>
        <v>2263.52</v>
      </c>
      <c r="F1080" s="8"/>
      <c r="G1080" s="3">
        <v>2263.52</v>
      </c>
      <c r="H1080" s="10" t="s">
        <v>12</v>
      </c>
      <c r="I1080" s="8">
        <v>4</v>
      </c>
      <c r="J1080" s="10">
        <v>2017</v>
      </c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 t="str">
        <f>"2235.52"</f>
        <v>2235.52</v>
      </c>
      <c r="V1080" s="5"/>
      <c r="W1080" s="5"/>
      <c r="X1080" s="5"/>
      <c r="Y1080" s="5"/>
      <c r="Z1080" s="5"/>
      <c r="AA1080" s="5"/>
      <c r="AB1080" s="5"/>
      <c r="AC1080" s="5"/>
      <c r="AD1080" s="5"/>
    </row>
    <row r="1081" spans="1:30" ht="13.5" customHeight="1">
      <c r="A1081" s="8">
        <v>1079</v>
      </c>
      <c r="B1081" s="8">
        <v>10457</v>
      </c>
      <c r="C1081" s="9" t="s">
        <v>1123</v>
      </c>
      <c r="D1081" s="8" t="s">
        <v>29</v>
      </c>
      <c r="E1081" s="8" t="str">
        <f>"2272.12"</f>
        <v>2272.12</v>
      </c>
      <c r="F1081" s="8"/>
      <c r="G1081" s="3">
        <v>2272.12</v>
      </c>
      <c r="H1081" s="10" t="s">
        <v>12</v>
      </c>
      <c r="I1081" s="8">
        <v>4</v>
      </c>
      <c r="J1081" s="10">
        <v>2017</v>
      </c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 t="str">
        <f>"2244.12"</f>
        <v>2244.12</v>
      </c>
      <c r="V1081" s="5"/>
      <c r="W1081" s="5"/>
      <c r="X1081" s="5"/>
      <c r="Y1081" s="5"/>
      <c r="Z1081" s="5"/>
      <c r="AA1081" s="5"/>
      <c r="AB1081" s="5"/>
      <c r="AC1081" s="5"/>
      <c r="AD1081" s="5"/>
    </row>
    <row r="1082" spans="1:30" ht="13.5" customHeight="1">
      <c r="A1082" s="8">
        <v>1080</v>
      </c>
      <c r="B1082" s="8">
        <v>10798</v>
      </c>
      <c r="C1082" s="9" t="s">
        <v>1113</v>
      </c>
      <c r="D1082" s="8" t="s">
        <v>29</v>
      </c>
      <c r="E1082" s="8" t="str">
        <f>"2328.86"</f>
        <v>2328.86</v>
      </c>
      <c r="F1082" s="8"/>
      <c r="G1082" s="3">
        <v>2356.86</v>
      </c>
      <c r="H1082" s="10" t="s">
        <v>18</v>
      </c>
      <c r="I1082" s="8">
        <v>1</v>
      </c>
      <c r="J1082" s="10">
        <v>2017</v>
      </c>
      <c r="K1082" s="5" t="str">
        <f>"2328.86"</f>
        <v>2328.86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</row>
    <row r="1083" spans="1:30" ht="13.5" customHeight="1">
      <c r="A1083" s="8">
        <v>1081</v>
      </c>
      <c r="B1083" s="8">
        <v>11135</v>
      </c>
      <c r="C1083" s="9" t="s">
        <v>1121</v>
      </c>
      <c r="D1083" s="8" t="s">
        <v>29</v>
      </c>
      <c r="E1083" s="8" t="str">
        <f>"2531.68"</f>
        <v>2531.68</v>
      </c>
      <c r="F1083" s="8"/>
      <c r="G1083" s="3">
        <v>2531.6799999999998</v>
      </c>
      <c r="H1083" s="10" t="s">
        <v>12</v>
      </c>
      <c r="I1083" s="8">
        <v>4</v>
      </c>
      <c r="J1083" s="10">
        <v>2017</v>
      </c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 t="str">
        <f>"2503.68"</f>
        <v>2503.68</v>
      </c>
      <c r="V1083" s="5"/>
      <c r="W1083" s="5"/>
      <c r="X1083" s="5"/>
      <c r="Y1083" s="5"/>
      <c r="Z1083" s="5"/>
      <c r="AA1083" s="5"/>
      <c r="AB1083" s="5"/>
      <c r="AC1083" s="5"/>
      <c r="AD1083" s="5"/>
    </row>
    <row r="1084" spans="1:30" ht="13.5" customHeight="1">
      <c r="A1084" s="8">
        <v>1082</v>
      </c>
      <c r="B1084" s="8">
        <v>11130</v>
      </c>
      <c r="C1084" s="9" t="s">
        <v>718</v>
      </c>
      <c r="D1084" s="8" t="s">
        <v>29</v>
      </c>
      <c r="E1084" s="8" t="str">
        <f>"2685.38"</f>
        <v>2685.38</v>
      </c>
      <c r="F1084" s="8"/>
      <c r="G1084" s="3">
        <v>2685.38</v>
      </c>
      <c r="H1084" s="10" t="s">
        <v>12</v>
      </c>
      <c r="I1084" s="8">
        <v>4</v>
      </c>
      <c r="J1084" s="10">
        <v>2017</v>
      </c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 t="str">
        <f>"2657.38"</f>
        <v>2657.38</v>
      </c>
      <c r="V1084" s="5"/>
      <c r="W1084" s="5"/>
      <c r="X1084" s="5"/>
      <c r="Y1084" s="5"/>
      <c r="Z1084" s="5"/>
      <c r="AA1084" s="5"/>
      <c r="AB1084" s="5"/>
      <c r="AC1084" s="5"/>
      <c r="AD1084" s="5"/>
    </row>
    <row r="1085" spans="1:30" ht="13.5" customHeight="1">
      <c r="A1085" s="8">
        <v>1083</v>
      </c>
      <c r="B1085" s="8">
        <v>10797</v>
      </c>
      <c r="C1085" s="9" t="s">
        <v>1126</v>
      </c>
      <c r="D1085" s="8" t="s">
        <v>29</v>
      </c>
      <c r="E1085" s="8" t="str">
        <f>"3151.56"</f>
        <v>3151.56</v>
      </c>
      <c r="F1085" s="8"/>
      <c r="G1085" s="3">
        <v>3179.56</v>
      </c>
      <c r="H1085" s="10" t="s">
        <v>18</v>
      </c>
      <c r="I1085" s="8">
        <v>1</v>
      </c>
      <c r="J1085" s="10">
        <v>2017</v>
      </c>
      <c r="K1085" s="5" t="str">
        <f>"3151.56"</f>
        <v>3151.56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</row>
    <row r="1086" spans="1:30" ht="13.5" customHeight="1">
      <c r="A1086" s="8">
        <v>1084</v>
      </c>
      <c r="B1086" s="8">
        <v>11198</v>
      </c>
      <c r="C1086" s="9" t="s">
        <v>1136</v>
      </c>
      <c r="D1086" s="8" t="s">
        <v>29</v>
      </c>
      <c r="E1086" s="8" t="str">
        <f>"3281.66"</f>
        <v>3281.66</v>
      </c>
      <c r="F1086" s="8"/>
      <c r="G1086" s="3">
        <v>3281.66</v>
      </c>
      <c r="H1086" s="10" t="s">
        <v>12</v>
      </c>
      <c r="I1086" s="8">
        <v>4</v>
      </c>
      <c r="J1086" s="10">
        <v>2017</v>
      </c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 t="str">
        <f>"3253.66"</f>
        <v>3253.66</v>
      </c>
      <c r="V1086" s="5"/>
      <c r="W1086" s="5"/>
      <c r="X1086" s="5"/>
      <c r="Y1086" s="5"/>
      <c r="Z1086" s="5"/>
      <c r="AA1086" s="5"/>
      <c r="AB1086" s="5"/>
      <c r="AC1086" s="5"/>
      <c r="AD1086" s="5"/>
    </row>
    <row r="1087" spans="1:30" ht="13.5" customHeight="1">
      <c r="A1087" s="8">
        <v>1085</v>
      </c>
      <c r="B1087" s="8">
        <v>11147</v>
      </c>
      <c r="C1087" s="9" t="s">
        <v>1127</v>
      </c>
      <c r="D1087" s="8" t="s">
        <v>29</v>
      </c>
      <c r="E1087" s="8" t="str">
        <f>"5094.72"</f>
        <v>5094.72</v>
      </c>
      <c r="F1087" s="8"/>
      <c r="G1087" s="3">
        <v>5094.72</v>
      </c>
      <c r="H1087" s="10" t="s">
        <v>12</v>
      </c>
      <c r="I1087" s="8">
        <v>4</v>
      </c>
      <c r="J1087" s="10">
        <v>2017</v>
      </c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 t="str">
        <f>"5066.72"</f>
        <v>5066.72</v>
      </c>
      <c r="V1087" s="5"/>
      <c r="W1087" s="5"/>
      <c r="X1087" s="5"/>
      <c r="Y1087" s="5"/>
      <c r="Z1087" s="5"/>
      <c r="AA1087" s="5"/>
      <c r="AB1087" s="5"/>
      <c r="AC1087" s="5"/>
      <c r="AD1087" s="5"/>
    </row>
  </sheetData>
  <sheetProtection password="8FA1" sheet="1" objects="1" scenarios="1" sort="0" autoFilter="0"/>
  <autoFilter ref="A2:AD1087" xr:uid="{00000000-0009-0000-0000-000003000000}"/>
  <phoneticPr fontId="18"/>
  <pageMargins left="0.7" right="0.7" top="0.75" bottom="0.75" header="0.3" footer="0.3"/>
  <pageSetup paperSize="9" orientation="portrait" horizontalDpi="4294967293" r:id="rId1"/>
  <ignoredErrors>
    <ignoredError sqref="K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男子ＳＬ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2017-09-09T07:37:49Z</cp:lastPrinted>
  <dcterms:created xsi:type="dcterms:W3CDTF">2017-09-09T01:32:56Z</dcterms:created>
  <dcterms:modified xsi:type="dcterms:W3CDTF">2017-09-12T06:55:37Z</dcterms:modified>
</cp:coreProperties>
</file>