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17ー\2016-17アルペンポイントリストNO.3修正版\"/>
    </mc:Choice>
  </mc:AlternateContent>
  <bookViews>
    <workbookView xWindow="600" yWindow="90" windowWidth="19395" windowHeight="7365" xr2:uid="{00000000-000D-0000-FFFF-FFFF00000000}"/>
  </bookViews>
  <sheets>
    <sheet name="女子ＳＬ" sheetId="4" r:id="rId1"/>
  </sheets>
  <definedNames>
    <definedName name="_xlnm._FilterDatabase" localSheetId="0" hidden="1">女子ＳＬ!$A$2:$AA$310</definedName>
  </definedNames>
  <calcPr calcId="171027"/>
</workbook>
</file>

<file path=xl/calcChain.xml><?xml version="1.0" encoding="utf-8"?>
<calcChain xmlns="http://schemas.openxmlformats.org/spreadsheetml/2006/main">
  <c r="E52" i="4" l="1"/>
  <c r="K310" i="4" l="1"/>
  <c r="E310" i="4"/>
  <c r="T309" i="4"/>
  <c r="K309" i="4"/>
  <c r="E309" i="4"/>
  <c r="T308" i="4"/>
  <c r="K308" i="4"/>
  <c r="E308" i="4"/>
  <c r="T307" i="4"/>
  <c r="E307" i="4"/>
  <c r="K306" i="4"/>
  <c r="E306" i="4"/>
  <c r="T305" i="4"/>
  <c r="K305" i="4"/>
  <c r="E305" i="4"/>
  <c r="T304" i="4"/>
  <c r="K304" i="4"/>
  <c r="E304" i="4"/>
  <c r="T303" i="4"/>
  <c r="K303" i="4"/>
  <c r="E303" i="4"/>
  <c r="T302" i="4"/>
  <c r="K302" i="4"/>
  <c r="E302" i="4"/>
  <c r="Y301" i="4"/>
  <c r="T301" i="4"/>
  <c r="E301" i="4"/>
  <c r="T300" i="4"/>
  <c r="E300" i="4"/>
  <c r="X299" i="4"/>
  <c r="E299" i="4"/>
  <c r="K298" i="4"/>
  <c r="E298" i="4"/>
  <c r="Y297" i="4"/>
  <c r="T297" i="4"/>
  <c r="K297" i="4"/>
  <c r="E297" i="4"/>
  <c r="Y296" i="4"/>
  <c r="X296" i="4"/>
  <c r="T296" i="4"/>
  <c r="E296" i="4"/>
  <c r="T295" i="4"/>
  <c r="K295" i="4"/>
  <c r="E295" i="4"/>
  <c r="T294" i="4"/>
  <c r="K294" i="4"/>
  <c r="E294" i="4"/>
  <c r="K293" i="4"/>
  <c r="E293" i="4"/>
  <c r="Z292" i="4"/>
  <c r="U292" i="4"/>
  <c r="L292" i="4"/>
  <c r="E292" i="4"/>
  <c r="Y291" i="4"/>
  <c r="T291" i="4"/>
  <c r="K291" i="4"/>
  <c r="E291" i="4"/>
  <c r="T290" i="4"/>
  <c r="K290" i="4"/>
  <c r="E290" i="4"/>
  <c r="K289" i="4"/>
  <c r="E289" i="4"/>
  <c r="U288" i="4"/>
  <c r="K288" i="4"/>
  <c r="E288" i="4"/>
  <c r="T287" i="4"/>
  <c r="E287" i="4"/>
  <c r="T286" i="4"/>
  <c r="R286" i="4"/>
  <c r="K286" i="4"/>
  <c r="E286" i="4"/>
  <c r="T285" i="4"/>
  <c r="K285" i="4"/>
  <c r="E285" i="4"/>
  <c r="Z284" i="4"/>
  <c r="U284" i="4"/>
  <c r="E284" i="4"/>
  <c r="U283" i="4"/>
  <c r="L283" i="4"/>
  <c r="E283" i="4"/>
  <c r="Y282" i="4"/>
  <c r="E282" i="4"/>
  <c r="U281" i="4"/>
  <c r="E281" i="4"/>
  <c r="T280" i="4"/>
  <c r="E280" i="4"/>
  <c r="W279" i="4"/>
  <c r="T279" i="4"/>
  <c r="K279" i="4"/>
  <c r="E279" i="4"/>
  <c r="K278" i="4"/>
  <c r="E278" i="4"/>
  <c r="P277" i="4"/>
  <c r="E277" i="4"/>
  <c r="Z276" i="4"/>
  <c r="U276" i="4"/>
  <c r="E276" i="4"/>
  <c r="P275" i="4"/>
  <c r="E275" i="4"/>
  <c r="K274" i="4"/>
  <c r="E274" i="4"/>
  <c r="Y273" i="4"/>
  <c r="T273" i="4"/>
  <c r="K273" i="4"/>
  <c r="E273" i="4"/>
  <c r="K272" i="4"/>
  <c r="E272" i="4"/>
  <c r="P271" i="4"/>
  <c r="E271" i="4"/>
  <c r="P270" i="4"/>
  <c r="E270" i="4"/>
  <c r="K269" i="4"/>
  <c r="E269" i="4"/>
  <c r="P268" i="4"/>
  <c r="E268" i="4"/>
  <c r="K267" i="4"/>
  <c r="E267" i="4"/>
  <c r="K266" i="4"/>
  <c r="E266" i="4"/>
  <c r="Z265" i="4"/>
  <c r="U265" i="4"/>
  <c r="K265" i="4"/>
  <c r="E265" i="4"/>
  <c r="Z264" i="4"/>
  <c r="U264" i="4"/>
  <c r="K264" i="4"/>
  <c r="E264" i="4"/>
  <c r="P263" i="4"/>
  <c r="E263" i="4"/>
  <c r="K262" i="4"/>
  <c r="E262" i="4"/>
  <c r="T261" i="4"/>
  <c r="K261" i="4"/>
  <c r="E261" i="4"/>
  <c r="T260" i="4"/>
  <c r="Q260" i="4"/>
  <c r="E260" i="4"/>
  <c r="P259" i="4"/>
  <c r="E259" i="4"/>
  <c r="Z258" i="4"/>
  <c r="E258" i="4"/>
  <c r="K257" i="4"/>
  <c r="E257" i="4"/>
  <c r="K256" i="4"/>
  <c r="E256" i="4"/>
  <c r="K255" i="4"/>
  <c r="E255" i="4"/>
  <c r="U254" i="4"/>
  <c r="E254" i="4"/>
  <c r="P253" i="4"/>
  <c r="E253" i="4"/>
  <c r="P252" i="4"/>
  <c r="K252" i="4"/>
  <c r="E252" i="4"/>
  <c r="K251" i="4"/>
  <c r="E251" i="4"/>
  <c r="K250" i="4"/>
  <c r="E250" i="4"/>
  <c r="Y249" i="4"/>
  <c r="T249" i="4"/>
  <c r="K249" i="4"/>
  <c r="E249" i="4"/>
  <c r="U248" i="4"/>
  <c r="L248" i="4"/>
  <c r="K248" i="4"/>
  <c r="E248" i="4"/>
  <c r="T247" i="4"/>
  <c r="K247" i="4"/>
  <c r="E247" i="4"/>
  <c r="Z246" i="4"/>
  <c r="U246" i="4"/>
  <c r="L246" i="4"/>
  <c r="E246" i="4"/>
  <c r="Y245" i="4"/>
  <c r="W245" i="4"/>
  <c r="N245" i="4"/>
  <c r="K245" i="4"/>
  <c r="E245" i="4"/>
  <c r="P244" i="4"/>
  <c r="K244" i="4"/>
  <c r="E244" i="4"/>
  <c r="P243" i="4"/>
  <c r="E243" i="4"/>
  <c r="K242" i="4"/>
  <c r="E242" i="4"/>
  <c r="Z241" i="4"/>
  <c r="V241" i="4"/>
  <c r="U241" i="4"/>
  <c r="L241" i="4"/>
  <c r="E241" i="4"/>
  <c r="K240" i="4"/>
  <c r="E240" i="4"/>
  <c r="K239" i="4"/>
  <c r="E239" i="4"/>
  <c r="V238" i="4"/>
  <c r="U238" i="4"/>
  <c r="R238" i="4"/>
  <c r="L238" i="4"/>
  <c r="E238" i="4"/>
  <c r="S237" i="4"/>
  <c r="E237" i="4"/>
  <c r="X236" i="4"/>
  <c r="K236" i="4"/>
  <c r="E236" i="4"/>
  <c r="K235" i="4"/>
  <c r="E235" i="4"/>
  <c r="T234" i="4"/>
  <c r="R234" i="4"/>
  <c r="K234" i="4"/>
  <c r="E234" i="4"/>
  <c r="K233" i="4"/>
  <c r="E233" i="4"/>
  <c r="O232" i="4"/>
  <c r="K232" i="4"/>
  <c r="E232" i="4"/>
  <c r="K231" i="4"/>
  <c r="E231" i="4"/>
  <c r="AA230" i="4"/>
  <c r="Z230" i="4"/>
  <c r="K230" i="4"/>
  <c r="E230" i="4"/>
  <c r="P229" i="4"/>
  <c r="K229" i="4"/>
  <c r="E229" i="4"/>
  <c r="K228" i="4"/>
  <c r="E228" i="4"/>
  <c r="P227" i="4"/>
  <c r="K227" i="4"/>
  <c r="E227" i="4"/>
  <c r="K226" i="4"/>
  <c r="E226" i="4"/>
  <c r="P225" i="4"/>
  <c r="K225" i="4"/>
  <c r="E225" i="4"/>
  <c r="P224" i="4"/>
  <c r="K224" i="4"/>
  <c r="E224" i="4"/>
  <c r="W223" i="4"/>
  <c r="S223" i="4"/>
  <c r="K223" i="4"/>
  <c r="E223" i="4"/>
  <c r="S222" i="4"/>
  <c r="K222" i="4"/>
  <c r="E222" i="4"/>
  <c r="K221" i="4"/>
  <c r="E221" i="4"/>
  <c r="S220" i="4"/>
  <c r="O220" i="4"/>
  <c r="K220" i="4"/>
  <c r="E220" i="4"/>
  <c r="Z219" i="4"/>
  <c r="E219" i="4"/>
  <c r="Y218" i="4"/>
  <c r="K218" i="4"/>
  <c r="E218" i="4"/>
  <c r="P217" i="4"/>
  <c r="K217" i="4"/>
  <c r="E217" i="4"/>
  <c r="Y216" i="4"/>
  <c r="W216" i="4"/>
  <c r="T216" i="4"/>
  <c r="R216" i="4"/>
  <c r="E216" i="4"/>
  <c r="S215" i="4"/>
  <c r="K215" i="4"/>
  <c r="E215" i="4"/>
  <c r="Z214" i="4"/>
  <c r="U214" i="4"/>
  <c r="M214" i="4"/>
  <c r="L214" i="4"/>
  <c r="K214" i="4"/>
  <c r="E214" i="4"/>
  <c r="K213" i="4"/>
  <c r="E213" i="4"/>
  <c r="K212" i="4"/>
  <c r="E212" i="4"/>
  <c r="S211" i="4"/>
  <c r="N211" i="4"/>
  <c r="K211" i="4"/>
  <c r="E211" i="4"/>
  <c r="Y210" i="4"/>
  <c r="K210" i="4"/>
  <c r="E210" i="4"/>
  <c r="P209" i="4"/>
  <c r="E209" i="4"/>
  <c r="K208" i="4"/>
  <c r="E208" i="4"/>
  <c r="AA207" i="4"/>
  <c r="Z207" i="4"/>
  <c r="V207" i="4"/>
  <c r="U207" i="4"/>
  <c r="L207" i="4"/>
  <c r="K207" i="4"/>
  <c r="E207" i="4"/>
  <c r="K206" i="4"/>
  <c r="E206" i="4"/>
  <c r="Y205" i="4"/>
  <c r="K205" i="4"/>
  <c r="E205" i="4"/>
  <c r="R204" i="4"/>
  <c r="E204" i="4"/>
  <c r="W203" i="4"/>
  <c r="N203" i="4"/>
  <c r="K203" i="4"/>
  <c r="E203" i="4"/>
  <c r="Y202" i="4"/>
  <c r="T202" i="4"/>
  <c r="Q202" i="4"/>
  <c r="K202" i="4"/>
  <c r="E202" i="4"/>
  <c r="K201" i="4"/>
  <c r="E201" i="4"/>
  <c r="K200" i="4"/>
  <c r="E200" i="4"/>
  <c r="W199" i="4"/>
  <c r="E199" i="4"/>
  <c r="K198" i="4"/>
  <c r="E198" i="4"/>
  <c r="X197" i="4"/>
  <c r="O197" i="4"/>
  <c r="K197" i="4"/>
  <c r="E197" i="4"/>
  <c r="K196" i="4"/>
  <c r="E196" i="4"/>
  <c r="Z195" i="4"/>
  <c r="V195" i="4"/>
  <c r="U195" i="4"/>
  <c r="M195" i="4"/>
  <c r="L195" i="4"/>
  <c r="K195" i="4"/>
  <c r="E195" i="4"/>
  <c r="AA194" i="4"/>
  <c r="Z194" i="4"/>
  <c r="V194" i="4"/>
  <c r="U194" i="4"/>
  <c r="M194" i="4"/>
  <c r="L194" i="4"/>
  <c r="K194" i="4"/>
  <c r="E194" i="4"/>
  <c r="M193" i="4"/>
  <c r="L193" i="4"/>
  <c r="K193" i="4"/>
  <c r="E193" i="4"/>
  <c r="K192" i="4"/>
  <c r="E192" i="4"/>
  <c r="K191" i="4"/>
  <c r="E191" i="4"/>
  <c r="K190" i="4"/>
  <c r="E190" i="4"/>
  <c r="K189" i="4"/>
  <c r="E189" i="4"/>
  <c r="W188" i="4"/>
  <c r="E188" i="4"/>
  <c r="K187" i="4"/>
  <c r="E187" i="4"/>
  <c r="X186" i="4"/>
  <c r="K186" i="4"/>
  <c r="E186" i="4"/>
  <c r="Y185" i="4"/>
  <c r="E185" i="4"/>
  <c r="R184" i="4"/>
  <c r="K184" i="4"/>
  <c r="E184" i="4"/>
  <c r="W183" i="4"/>
  <c r="N183" i="4"/>
  <c r="K183" i="4"/>
  <c r="E183" i="4"/>
  <c r="AA182" i="4"/>
  <c r="Z182" i="4"/>
  <c r="U182" i="4"/>
  <c r="L182" i="4"/>
  <c r="E182" i="4"/>
  <c r="M181" i="4"/>
  <c r="K181" i="4"/>
  <c r="E181" i="4"/>
  <c r="K180" i="4"/>
  <c r="E180" i="4"/>
  <c r="V179" i="4"/>
  <c r="M179" i="4"/>
  <c r="K179" i="4"/>
  <c r="E179" i="4"/>
  <c r="K178" i="4"/>
  <c r="E178" i="4"/>
  <c r="K177" i="4"/>
  <c r="E177" i="4"/>
  <c r="K176" i="4"/>
  <c r="E176" i="4"/>
  <c r="W175" i="4"/>
  <c r="R175" i="4"/>
  <c r="K175" i="4"/>
  <c r="E175" i="4"/>
  <c r="P174" i="4"/>
  <c r="K174" i="4"/>
  <c r="E174" i="4"/>
  <c r="S173" i="4"/>
  <c r="E173" i="4"/>
  <c r="Y172" i="4"/>
  <c r="W172" i="4"/>
  <c r="T172" i="4"/>
  <c r="R172" i="4"/>
  <c r="K172" i="4"/>
  <c r="E172" i="4"/>
  <c r="V171" i="4"/>
  <c r="U171" i="4"/>
  <c r="M171" i="4"/>
  <c r="L171" i="4"/>
  <c r="K171" i="4"/>
  <c r="E171" i="4"/>
  <c r="V170" i="4"/>
  <c r="U170" i="4"/>
  <c r="L170" i="4"/>
  <c r="K170" i="4"/>
  <c r="E170" i="4"/>
  <c r="AA169" i="4"/>
  <c r="Z169" i="4"/>
  <c r="Y169" i="4"/>
  <c r="U169" i="4"/>
  <c r="M169" i="4"/>
  <c r="L169" i="4"/>
  <c r="K169" i="4"/>
  <c r="E169" i="4"/>
  <c r="K168" i="4"/>
  <c r="E168" i="4"/>
  <c r="K167" i="4"/>
  <c r="E167" i="4"/>
  <c r="W166" i="4"/>
  <c r="T166" i="4"/>
  <c r="Q166" i="4"/>
  <c r="E166" i="4"/>
  <c r="K165" i="4"/>
  <c r="E165" i="4"/>
  <c r="R164" i="4"/>
  <c r="Q164" i="4"/>
  <c r="K164" i="4"/>
  <c r="E164" i="4"/>
  <c r="T30" i="4"/>
  <c r="K30" i="4"/>
  <c r="E30" i="4"/>
  <c r="K163" i="4"/>
  <c r="E163" i="4"/>
  <c r="AA162" i="4"/>
  <c r="Z162" i="4"/>
  <c r="U162" i="4"/>
  <c r="M162" i="4"/>
  <c r="L162" i="4"/>
  <c r="K162" i="4"/>
  <c r="E162" i="4"/>
  <c r="P161" i="4"/>
  <c r="K161" i="4"/>
  <c r="E161" i="4"/>
  <c r="T160" i="4"/>
  <c r="R160" i="4"/>
  <c r="Q160" i="4"/>
  <c r="K160" i="4"/>
  <c r="E160" i="4"/>
  <c r="AA159" i="4"/>
  <c r="Z159" i="4"/>
  <c r="U159" i="4"/>
  <c r="M159" i="4"/>
  <c r="L159" i="4"/>
  <c r="K159" i="4"/>
  <c r="E159" i="4"/>
  <c r="O158" i="4"/>
  <c r="K158" i="4"/>
  <c r="E158" i="4"/>
  <c r="N157" i="4"/>
  <c r="K157" i="4"/>
  <c r="E157" i="4"/>
  <c r="K156" i="4"/>
  <c r="E156" i="4"/>
  <c r="X155" i="4"/>
  <c r="K155" i="4"/>
  <c r="E155" i="4"/>
  <c r="R154" i="4"/>
  <c r="E154" i="4"/>
  <c r="K153" i="4"/>
  <c r="E153" i="4"/>
  <c r="P152" i="4"/>
  <c r="E152" i="4"/>
  <c r="K151" i="4"/>
  <c r="E151" i="4"/>
  <c r="P150" i="4"/>
  <c r="K150" i="4"/>
  <c r="E150" i="4"/>
  <c r="K149" i="4"/>
  <c r="E149" i="4"/>
  <c r="K148" i="4"/>
  <c r="E148" i="4"/>
  <c r="T147" i="4"/>
  <c r="R147" i="4"/>
  <c r="Q147" i="4"/>
  <c r="N147" i="4"/>
  <c r="K147" i="4"/>
  <c r="E147" i="4"/>
  <c r="Q146" i="4"/>
  <c r="K146" i="4"/>
  <c r="E146" i="4"/>
  <c r="K145" i="4"/>
  <c r="E145" i="4"/>
  <c r="K144" i="4"/>
  <c r="E144" i="4"/>
  <c r="O143" i="4"/>
  <c r="K143" i="4"/>
  <c r="E143" i="4"/>
  <c r="N142" i="4"/>
  <c r="K142" i="4"/>
  <c r="E142" i="4"/>
  <c r="W141" i="4"/>
  <c r="N141" i="4"/>
  <c r="K141" i="4"/>
  <c r="E141" i="4"/>
  <c r="W140" i="4"/>
  <c r="K140" i="4"/>
  <c r="E140" i="4"/>
  <c r="K139" i="4"/>
  <c r="E139" i="4"/>
  <c r="T138" i="4"/>
  <c r="Q138" i="4"/>
  <c r="K138" i="4"/>
  <c r="E138" i="4"/>
  <c r="T137" i="4"/>
  <c r="R137" i="4"/>
  <c r="Q137" i="4"/>
  <c r="K137" i="4"/>
  <c r="E137" i="4"/>
  <c r="Y136" i="4"/>
  <c r="W136" i="4"/>
  <c r="T136" i="4"/>
  <c r="R136" i="4"/>
  <c r="K136" i="4"/>
  <c r="E136" i="4"/>
  <c r="T135" i="4"/>
  <c r="R135" i="4"/>
  <c r="Q135" i="4"/>
  <c r="E135" i="4"/>
  <c r="K134" i="4"/>
  <c r="E134" i="4"/>
  <c r="O133" i="4"/>
  <c r="K133" i="4"/>
  <c r="E133" i="4"/>
  <c r="K132" i="4"/>
  <c r="E132" i="4"/>
  <c r="K131" i="4"/>
  <c r="E131" i="4"/>
  <c r="X130" i="4"/>
  <c r="K130" i="4"/>
  <c r="E130" i="4"/>
  <c r="T129" i="4"/>
  <c r="R129" i="4"/>
  <c r="Q129" i="4"/>
  <c r="K129" i="4"/>
  <c r="E129" i="4"/>
  <c r="K128" i="4"/>
  <c r="E128" i="4"/>
  <c r="AA38" i="4"/>
  <c r="K38" i="4"/>
  <c r="E38" i="4"/>
  <c r="K127" i="4"/>
  <c r="E127" i="4"/>
  <c r="K126" i="4"/>
  <c r="E126" i="4"/>
  <c r="K125" i="4"/>
  <c r="E125" i="4"/>
  <c r="K124" i="4"/>
  <c r="E124" i="4"/>
  <c r="V123" i="4"/>
  <c r="M123" i="4"/>
  <c r="K123" i="4"/>
  <c r="E123" i="4"/>
  <c r="K122" i="4"/>
  <c r="E122" i="4"/>
  <c r="P121" i="4"/>
  <c r="K121" i="4"/>
  <c r="E121" i="4"/>
  <c r="K120" i="4"/>
  <c r="E120" i="4"/>
  <c r="K119" i="4"/>
  <c r="E119" i="4"/>
  <c r="Q118" i="4"/>
  <c r="K118" i="4"/>
  <c r="E118" i="4"/>
  <c r="K117" i="4"/>
  <c r="E117" i="4"/>
  <c r="S116" i="4"/>
  <c r="N116" i="4"/>
  <c r="K116" i="4"/>
  <c r="E116" i="4"/>
  <c r="Y115" i="4"/>
  <c r="N115" i="4"/>
  <c r="K115" i="4"/>
  <c r="E115" i="4"/>
  <c r="S114" i="4"/>
  <c r="K114" i="4"/>
  <c r="E114" i="4"/>
  <c r="Y113" i="4"/>
  <c r="W113" i="4"/>
  <c r="N113" i="4"/>
  <c r="K113" i="4"/>
  <c r="E113" i="4"/>
  <c r="AA112" i="4"/>
  <c r="V112" i="4"/>
  <c r="M112" i="4"/>
  <c r="K112" i="4"/>
  <c r="E112" i="4"/>
  <c r="Y111" i="4"/>
  <c r="X111" i="4"/>
  <c r="K111" i="4"/>
  <c r="E111" i="4"/>
  <c r="AA110" i="4"/>
  <c r="Z110" i="4"/>
  <c r="V110" i="4"/>
  <c r="U110" i="4"/>
  <c r="M110" i="4"/>
  <c r="L110" i="4"/>
  <c r="K110" i="4"/>
  <c r="E110" i="4"/>
  <c r="K109" i="4"/>
  <c r="E109" i="4"/>
  <c r="K108" i="4"/>
  <c r="E108" i="4"/>
  <c r="W107" i="4"/>
  <c r="T107" i="4"/>
  <c r="R107" i="4"/>
  <c r="Q107" i="4"/>
  <c r="K107" i="4"/>
  <c r="E107" i="4"/>
  <c r="M106" i="4"/>
  <c r="K106" i="4"/>
  <c r="E106" i="4"/>
  <c r="AA105" i="4"/>
  <c r="V105" i="4"/>
  <c r="U105" i="4"/>
  <c r="M105" i="4"/>
  <c r="L105" i="4"/>
  <c r="E105" i="4"/>
  <c r="Y104" i="4"/>
  <c r="T104" i="4"/>
  <c r="R104" i="4"/>
  <c r="K104" i="4"/>
  <c r="E104" i="4"/>
  <c r="K103" i="4"/>
  <c r="E103" i="4"/>
  <c r="K102" i="4"/>
  <c r="E102" i="4"/>
  <c r="P101" i="4"/>
  <c r="K101" i="4"/>
  <c r="E101" i="4"/>
  <c r="AA100" i="4"/>
  <c r="M100" i="4"/>
  <c r="K100" i="4"/>
  <c r="E100" i="4"/>
  <c r="W99" i="4"/>
  <c r="T99" i="4"/>
  <c r="R99" i="4"/>
  <c r="Q99" i="4"/>
  <c r="K99" i="4"/>
  <c r="E99" i="4"/>
  <c r="Y98" i="4"/>
  <c r="X98" i="4"/>
  <c r="T98" i="4"/>
  <c r="E98" i="4"/>
  <c r="K97" i="4"/>
  <c r="E97" i="4"/>
  <c r="K96" i="4"/>
  <c r="E96" i="4"/>
  <c r="AA95" i="4"/>
  <c r="W95" i="4"/>
  <c r="V95" i="4"/>
  <c r="M95" i="4"/>
  <c r="K95" i="4"/>
  <c r="E95" i="4"/>
  <c r="X94" i="4"/>
  <c r="K94" i="4"/>
  <c r="E94" i="4"/>
  <c r="Y93" i="4"/>
  <c r="W93" i="4"/>
  <c r="T93" i="4"/>
  <c r="K93" i="4"/>
  <c r="E93" i="4"/>
  <c r="W92" i="4"/>
  <c r="K92" i="4"/>
  <c r="E92" i="4"/>
  <c r="Z91" i="4"/>
  <c r="T91" i="4"/>
  <c r="Q91" i="4"/>
  <c r="K91" i="4"/>
  <c r="E91" i="4"/>
  <c r="W90" i="4"/>
  <c r="E90" i="4"/>
  <c r="W89" i="4"/>
  <c r="K89" i="4"/>
  <c r="E89" i="4"/>
  <c r="K87" i="4"/>
  <c r="E87" i="4"/>
  <c r="W86" i="4"/>
  <c r="S86" i="4"/>
  <c r="O86" i="4"/>
  <c r="K86" i="4"/>
  <c r="E86" i="4"/>
  <c r="K85" i="4"/>
  <c r="E85" i="4"/>
  <c r="AA84" i="4"/>
  <c r="V84" i="4"/>
  <c r="M84" i="4"/>
  <c r="K84" i="4"/>
  <c r="E84" i="4"/>
  <c r="X83" i="4"/>
  <c r="S83" i="4"/>
  <c r="K83" i="4"/>
  <c r="E83" i="4"/>
  <c r="AA82" i="4"/>
  <c r="V82" i="4"/>
  <c r="K82" i="4"/>
  <c r="E82" i="4"/>
  <c r="M81" i="4"/>
  <c r="K81" i="4"/>
  <c r="E81" i="4"/>
  <c r="K80" i="4"/>
  <c r="E80" i="4"/>
  <c r="K69" i="4"/>
  <c r="E69" i="4"/>
  <c r="K79" i="4"/>
  <c r="E79" i="4"/>
  <c r="O78" i="4"/>
  <c r="E78" i="4"/>
  <c r="S77" i="4"/>
  <c r="K77" i="4"/>
  <c r="E77" i="4"/>
  <c r="P76" i="4"/>
  <c r="K76" i="4"/>
  <c r="E76" i="4"/>
  <c r="K75" i="4"/>
  <c r="E75" i="4"/>
  <c r="X74" i="4"/>
  <c r="W74" i="4"/>
  <c r="K74" i="4"/>
  <c r="E74" i="4"/>
  <c r="P73" i="4"/>
  <c r="K73" i="4"/>
  <c r="E73" i="4"/>
  <c r="K72" i="4"/>
  <c r="E72" i="4"/>
  <c r="K71" i="4"/>
  <c r="E71" i="4"/>
  <c r="K70" i="4"/>
  <c r="E70" i="4"/>
  <c r="S68" i="4"/>
  <c r="O68" i="4"/>
  <c r="K68" i="4"/>
  <c r="E68" i="4"/>
  <c r="K67" i="4"/>
  <c r="E67" i="4"/>
  <c r="X66" i="4"/>
  <c r="S66" i="4"/>
  <c r="K66" i="4"/>
  <c r="E66" i="4"/>
  <c r="K65" i="4"/>
  <c r="E65" i="4"/>
  <c r="K64" i="4"/>
  <c r="E64" i="4"/>
  <c r="W63" i="4"/>
  <c r="N63" i="4"/>
  <c r="K63" i="4"/>
  <c r="E63" i="4"/>
  <c r="K62" i="4"/>
  <c r="E62" i="4"/>
  <c r="T61" i="4"/>
  <c r="R61" i="4"/>
  <c r="Q61" i="4"/>
  <c r="E61" i="4"/>
  <c r="N60" i="4"/>
  <c r="K60" i="4"/>
  <c r="E60" i="4"/>
  <c r="T59" i="4"/>
  <c r="R59" i="4"/>
  <c r="Q59" i="4"/>
  <c r="K59" i="4"/>
  <c r="E59" i="4"/>
  <c r="AA58" i="4"/>
  <c r="Y58" i="4"/>
  <c r="V58" i="4"/>
  <c r="M58" i="4"/>
  <c r="K58" i="4"/>
  <c r="E58" i="4"/>
  <c r="W57" i="4"/>
  <c r="K57" i="4"/>
  <c r="E57" i="4"/>
  <c r="K56" i="4"/>
  <c r="E56" i="4"/>
  <c r="T55" i="4"/>
  <c r="R55" i="4"/>
  <c r="Q55" i="4"/>
  <c r="K55" i="4"/>
  <c r="E55" i="4"/>
  <c r="V54" i="4"/>
  <c r="M54" i="4"/>
  <c r="K54" i="4"/>
  <c r="E54" i="4"/>
  <c r="P53" i="4"/>
  <c r="E53" i="4"/>
  <c r="K51" i="4"/>
  <c r="E51" i="4"/>
  <c r="AA50" i="4"/>
  <c r="Y50" i="4"/>
  <c r="V50" i="4"/>
  <c r="U50" i="4"/>
  <c r="M50" i="4"/>
  <c r="L50" i="4"/>
  <c r="K50" i="4"/>
  <c r="E50" i="4"/>
  <c r="K49" i="4"/>
  <c r="E49" i="4"/>
  <c r="W48" i="4"/>
  <c r="K48" i="4"/>
  <c r="E48" i="4"/>
  <c r="Y47" i="4"/>
  <c r="S47" i="4"/>
  <c r="O47" i="4"/>
  <c r="K47" i="4"/>
  <c r="E47" i="4"/>
  <c r="N46" i="4"/>
  <c r="K46" i="4"/>
  <c r="E46" i="4"/>
  <c r="K45" i="4"/>
  <c r="E45" i="4"/>
  <c r="K44" i="4"/>
  <c r="E44" i="4"/>
  <c r="K43" i="4"/>
  <c r="E43" i="4"/>
  <c r="W42" i="4"/>
  <c r="S42" i="4"/>
  <c r="N42" i="4"/>
  <c r="K42" i="4"/>
  <c r="E42" i="4"/>
  <c r="N41" i="4"/>
  <c r="M41" i="4"/>
  <c r="K41" i="4"/>
  <c r="E41" i="4"/>
  <c r="AA40" i="4"/>
  <c r="V40" i="4"/>
  <c r="M40" i="4"/>
  <c r="K40" i="4"/>
  <c r="E40" i="4"/>
  <c r="AA39" i="4"/>
  <c r="V39" i="4"/>
  <c r="M39" i="4"/>
  <c r="K39" i="4"/>
  <c r="E39" i="4"/>
  <c r="AA37" i="4"/>
  <c r="T37" i="4"/>
  <c r="R37" i="4"/>
  <c r="Q37" i="4"/>
  <c r="N37" i="4"/>
  <c r="K37" i="4"/>
  <c r="E37" i="4"/>
  <c r="AA36" i="4"/>
  <c r="T36" i="4"/>
  <c r="R36" i="4"/>
  <c r="Q36" i="4"/>
  <c r="K36" i="4"/>
  <c r="E36" i="4"/>
  <c r="T35" i="4"/>
  <c r="Q35" i="4"/>
  <c r="K35" i="4"/>
  <c r="E35" i="4"/>
  <c r="N34" i="4"/>
  <c r="K34" i="4"/>
  <c r="E34" i="4"/>
  <c r="AA33" i="4"/>
  <c r="T33" i="4"/>
  <c r="Q33" i="4"/>
  <c r="K33" i="4"/>
  <c r="E33" i="4"/>
  <c r="Q32" i="4"/>
  <c r="K32" i="4"/>
  <c r="E32" i="4"/>
  <c r="T31" i="4"/>
  <c r="R31" i="4"/>
  <c r="Q31" i="4"/>
  <c r="K31" i="4"/>
  <c r="E31" i="4"/>
  <c r="W29" i="4"/>
  <c r="N29" i="4"/>
  <c r="K29" i="4"/>
  <c r="E29" i="4"/>
  <c r="AA28" i="4"/>
  <c r="Y28" i="4"/>
  <c r="X28" i="4"/>
  <c r="V28" i="4"/>
  <c r="U28" i="4"/>
  <c r="M28" i="4"/>
  <c r="L28" i="4"/>
  <c r="K28" i="4"/>
  <c r="E28" i="4"/>
  <c r="AA27" i="4"/>
  <c r="V27" i="4"/>
  <c r="U27" i="4"/>
  <c r="M27" i="4"/>
  <c r="K27" i="4"/>
  <c r="E27" i="4"/>
  <c r="V26" i="4"/>
  <c r="M26" i="4"/>
  <c r="K26" i="4"/>
  <c r="E26" i="4"/>
  <c r="T25" i="4"/>
  <c r="Q25" i="4"/>
  <c r="K25" i="4"/>
  <c r="E25" i="4"/>
  <c r="N24" i="4"/>
  <c r="K24" i="4"/>
  <c r="E24" i="4"/>
  <c r="AA23" i="4"/>
  <c r="Z23" i="4"/>
  <c r="S23" i="4"/>
  <c r="N23" i="4"/>
  <c r="M23" i="4"/>
  <c r="K23" i="4"/>
  <c r="E23" i="4"/>
  <c r="AA22" i="4"/>
  <c r="Z22" i="4"/>
  <c r="W22" i="4"/>
  <c r="V22" i="4"/>
  <c r="R22" i="4"/>
  <c r="N22" i="4"/>
  <c r="M22" i="4"/>
  <c r="K22" i="4"/>
  <c r="E22" i="4"/>
  <c r="M17" i="4"/>
  <c r="K17" i="4"/>
  <c r="E17" i="4"/>
  <c r="AA21" i="4"/>
  <c r="Y21" i="4"/>
  <c r="W21" i="4"/>
  <c r="V21" i="4"/>
  <c r="M21" i="4"/>
  <c r="K21" i="4"/>
  <c r="E21" i="4"/>
  <c r="K20" i="4"/>
  <c r="E20" i="4"/>
  <c r="K19" i="4"/>
  <c r="E19" i="4"/>
  <c r="N18" i="4"/>
  <c r="K18" i="4"/>
  <c r="E18" i="4"/>
  <c r="Y16" i="4"/>
  <c r="X16" i="4"/>
  <c r="S16" i="4"/>
  <c r="N16" i="4"/>
  <c r="K16" i="4"/>
  <c r="E16" i="4"/>
  <c r="M15" i="4"/>
  <c r="K15" i="4"/>
  <c r="E15" i="4"/>
  <c r="Y14" i="4"/>
  <c r="V14" i="4"/>
  <c r="U14" i="4"/>
  <c r="M14" i="4"/>
  <c r="K14" i="4"/>
  <c r="E14" i="4"/>
  <c r="Y13" i="4"/>
  <c r="X13" i="4"/>
  <c r="N13" i="4"/>
  <c r="K13" i="4"/>
  <c r="E13" i="4"/>
  <c r="M12" i="4"/>
  <c r="K12" i="4"/>
  <c r="E12" i="4"/>
  <c r="AA11" i="4"/>
  <c r="Z11" i="4"/>
  <c r="V11" i="4"/>
  <c r="U11" i="4"/>
  <c r="M11" i="4"/>
  <c r="L11" i="4"/>
  <c r="K11" i="4"/>
  <c r="E11" i="4"/>
  <c r="S10" i="4"/>
  <c r="N10" i="4"/>
  <c r="K10" i="4"/>
  <c r="E10" i="4"/>
  <c r="K9" i="4"/>
  <c r="E9" i="4"/>
  <c r="AA8" i="4"/>
  <c r="Z8" i="4"/>
  <c r="M8" i="4"/>
  <c r="K8" i="4"/>
  <c r="E8" i="4"/>
  <c r="AA7" i="4"/>
  <c r="Z7" i="4"/>
  <c r="V7" i="4"/>
  <c r="U7" i="4"/>
  <c r="M7" i="4"/>
  <c r="L7" i="4"/>
  <c r="K7" i="4"/>
  <c r="E7" i="4"/>
  <c r="K6" i="4"/>
  <c r="E6" i="4"/>
  <c r="K5" i="4"/>
  <c r="E5" i="4"/>
  <c r="K4" i="4"/>
  <c r="E4" i="4"/>
  <c r="N3" i="4"/>
  <c r="K3" i="4"/>
  <c r="E3" i="4"/>
</calcChain>
</file>

<file path=xl/sharedStrings.xml><?xml version="1.0" encoding="utf-8"?>
<sst xmlns="http://schemas.openxmlformats.org/spreadsheetml/2006/main" count="845" uniqueCount="422">
  <si>
    <t>順位</t>
  </si>
  <si>
    <t>SAT競技者番号</t>
  </si>
  <si>
    <t>選手氏名</t>
  </si>
  <si>
    <t>団体名</t>
  </si>
  <si>
    <t>期中ポイント</t>
  </si>
  <si>
    <t>期中Fig</t>
  </si>
  <si>
    <t>期末ポイント</t>
  </si>
  <si>
    <t>期末Fig</t>
  </si>
  <si>
    <t>適用パターン</t>
  </si>
  <si>
    <t>最終登録年度</t>
  </si>
  <si>
    <t>東京スポーツマンクラブ</t>
  </si>
  <si>
    <t>①</t>
  </si>
  <si>
    <t>ラッチ（RACH)</t>
  </si>
  <si>
    <t>東京都高等学校体育連盟スキー部</t>
  </si>
  <si>
    <t>八王子スキー連盟</t>
  </si>
  <si>
    <t>*</t>
  </si>
  <si>
    <t>ＩＣＩ石井スポーツスキークラブ</t>
  </si>
  <si>
    <t>練馬区スキー協会</t>
  </si>
  <si>
    <t>東京都中学校体育連盟スキー部</t>
  </si>
  <si>
    <t>ユーエスエムアール</t>
  </si>
  <si>
    <t>チームディーエルベーハースキークラブ</t>
  </si>
  <si>
    <t>若葉スキークラブ</t>
  </si>
  <si>
    <t>ベラーク</t>
  </si>
  <si>
    <t>チーム・ビートゥー・ゼット</t>
  </si>
  <si>
    <t>三鷹市スキー連盟</t>
  </si>
  <si>
    <t>武蔵野市スキー連盟</t>
  </si>
  <si>
    <t>野辺山スキークラブ</t>
  </si>
  <si>
    <t>カンダハートライブ レーシング</t>
  </si>
  <si>
    <t>ＭＡＸＩＭＵＭスキーチーム</t>
  </si>
  <si>
    <t>日本アルペンスキークラブ</t>
  </si>
  <si>
    <t>雪桜会</t>
  </si>
  <si>
    <t>アートスポーツスキークラブ</t>
  </si>
  <si>
    <t>世田谷区スキー協会</t>
  </si>
  <si>
    <t>スラロームスキークラブ</t>
  </si>
  <si>
    <t>グランバン・レーシング</t>
  </si>
  <si>
    <t>チーム　ラッシュ</t>
  </si>
  <si>
    <t>成城スキークラブ</t>
  </si>
  <si>
    <t>エーデル・スキー・クラブ</t>
  </si>
  <si>
    <t>三田ディモンズクラブ</t>
  </si>
  <si>
    <t>ゲインレーシングチーム</t>
  </si>
  <si>
    <t>ツィールトウキョウ（Ｚieｌ Tokyo)</t>
  </si>
  <si>
    <t>スキーチームアスリート</t>
  </si>
  <si>
    <t>アスペンスキークラブ</t>
  </si>
  <si>
    <t>ホリディスキークラブ</t>
  </si>
  <si>
    <t>エスプーマスキーチーム</t>
  </si>
  <si>
    <t>アールビー　トウキョウ</t>
  </si>
  <si>
    <t>新宿スキークラブ</t>
  </si>
  <si>
    <t>シュアスキークラブ</t>
  </si>
  <si>
    <t>ジャスク</t>
  </si>
  <si>
    <t>ディップス スキークラブ</t>
  </si>
  <si>
    <t>トラームスキークラブ</t>
  </si>
  <si>
    <t>清瀬スキー倶楽部</t>
  </si>
  <si>
    <t>特別区職員文化体育会スキー部</t>
  </si>
  <si>
    <t>スポーツファンクション</t>
  </si>
  <si>
    <t>浅貝スキークラブ</t>
  </si>
  <si>
    <t>アロースキークラブ</t>
  </si>
  <si>
    <t>日立製作所本社スキー部</t>
  </si>
  <si>
    <t>スノースケープ</t>
  </si>
  <si>
    <t>ヌプリスキー同人</t>
  </si>
  <si>
    <t>ＮＥＣ府中スキー部</t>
  </si>
  <si>
    <t>二十日石アルペンスキークラブ</t>
  </si>
  <si>
    <t>東京アマチュア・スキー・クラブ</t>
  </si>
  <si>
    <t>ブランシェリースキー クローブ</t>
  </si>
  <si>
    <t>東京デフスキークラブ</t>
  </si>
  <si>
    <t>白馬スキークラブ</t>
  </si>
  <si>
    <t>ＵＮＯスキークラブ</t>
  </si>
  <si>
    <t>バディスポーツクラブ</t>
  </si>
  <si>
    <t>杉並区スキー連盟</t>
  </si>
  <si>
    <t>チロルスキークラブ</t>
  </si>
  <si>
    <t>北区スキー連盟</t>
  </si>
  <si>
    <t>東京ベーレンスキークラブ</t>
  </si>
  <si>
    <t>エスプリレーシング</t>
  </si>
  <si>
    <t>ヴァイス・ホルン</t>
  </si>
  <si>
    <t>大田区役所スキー部</t>
  </si>
  <si>
    <t>トルベ・コムラード</t>
  </si>
  <si>
    <t>渋谷区スキー連盟</t>
  </si>
  <si>
    <t>仲山スキークラブ</t>
  </si>
  <si>
    <t>フロイデ・シー・グルッペ</t>
  </si>
  <si>
    <t>東京スキー研究会</t>
  </si>
  <si>
    <t>サンダーグスキークラブ</t>
  </si>
  <si>
    <t>クラシックスキークラブ</t>
  </si>
  <si>
    <t>ＫＤＤＩスキークラブ</t>
  </si>
  <si>
    <t>Ｓ．Ｃ．コロポックル</t>
  </si>
  <si>
    <t>東京カモシカスキークラブ</t>
  </si>
  <si>
    <t>東京燕スキー倶楽部</t>
  </si>
  <si>
    <t>やまなみスキークラブ</t>
  </si>
  <si>
    <t>山口 ゆい</t>
  </si>
  <si>
    <t>齋藤 夏実</t>
  </si>
  <si>
    <t>中渡 智香</t>
  </si>
  <si>
    <t>足立区スキー協会</t>
  </si>
  <si>
    <t>鈴木 奈渚</t>
  </si>
  <si>
    <t>小俣 優香</t>
  </si>
  <si>
    <t>石渡 実香</t>
  </si>
  <si>
    <t>萩野 真由子</t>
  </si>
  <si>
    <t>西川 桜子</t>
  </si>
  <si>
    <t>市川 紗理奈</t>
  </si>
  <si>
    <t>栗山 夏美</t>
  </si>
  <si>
    <t>中谷 順子</t>
  </si>
  <si>
    <t>鈴木 さくら</t>
  </si>
  <si>
    <t>立野 里佳</t>
  </si>
  <si>
    <t>寺﨑 涼香</t>
  </si>
  <si>
    <t>西沢 優佳里</t>
  </si>
  <si>
    <t>堤 愛理</t>
  </si>
  <si>
    <t>渡辺 ひかる</t>
  </si>
  <si>
    <t>森川 順子</t>
  </si>
  <si>
    <t>加藤 めぐみ</t>
  </si>
  <si>
    <t>ティンバーライン</t>
  </si>
  <si>
    <t>穴井 まきこ</t>
  </si>
  <si>
    <t>佐々木 茜</t>
  </si>
  <si>
    <t>渡邊 倭</t>
  </si>
  <si>
    <t>佐藤 舞祐</t>
  </si>
  <si>
    <t>福山 駒千</t>
  </si>
  <si>
    <t>平野 沙織</t>
  </si>
  <si>
    <t>鎌田 優衣</t>
  </si>
  <si>
    <t>小林 由</t>
  </si>
  <si>
    <t>吉澤 恭子</t>
  </si>
  <si>
    <t>大金 昭子</t>
  </si>
  <si>
    <t>南久松 奈々</t>
  </si>
  <si>
    <t>福岡 真子</t>
  </si>
  <si>
    <t>中田 萌</t>
  </si>
  <si>
    <t>中桐 悠夏</t>
  </si>
  <si>
    <t>山田 かれん</t>
  </si>
  <si>
    <t>柳 志恵</t>
  </si>
  <si>
    <t>高原 里歩</t>
  </si>
  <si>
    <t>嶋崎 愛文</t>
  </si>
  <si>
    <t>吉田 絢音</t>
  </si>
  <si>
    <t>荻野 咲子</t>
  </si>
  <si>
    <t>山下 真衣亜</t>
  </si>
  <si>
    <t>寶田 奈緒</t>
  </si>
  <si>
    <t>岩崎 愛</t>
  </si>
  <si>
    <t>齋藤 きらり</t>
  </si>
  <si>
    <t>原田 朱莉</t>
  </si>
  <si>
    <t>齊藤 友風</t>
  </si>
  <si>
    <t>谷合 海南</t>
  </si>
  <si>
    <t>小倉 悠穂</t>
  </si>
  <si>
    <t>大川 瑚夏</t>
  </si>
  <si>
    <t>伊藤 康代</t>
  </si>
  <si>
    <t>鈴木 眞乃</t>
  </si>
  <si>
    <t>中島 圭子</t>
  </si>
  <si>
    <t>楠本 夏花</t>
  </si>
  <si>
    <t>深澤 かおり</t>
  </si>
  <si>
    <t>齊藤 瑚子</t>
  </si>
  <si>
    <t>ジューディッチ マリアキアラ</t>
  </si>
  <si>
    <t>樋田 葵</t>
  </si>
  <si>
    <t>増田 真実子</t>
  </si>
  <si>
    <t>松本 亜希子</t>
  </si>
  <si>
    <t>北森 渚砂</t>
  </si>
  <si>
    <t>船田 美咲</t>
  </si>
  <si>
    <t>山下 栄海由</t>
  </si>
  <si>
    <t>室田 陽子</t>
  </si>
  <si>
    <t>小野崎 萌</t>
  </si>
  <si>
    <t>市川 美枝子</t>
  </si>
  <si>
    <t>田中 菜々恵</t>
  </si>
  <si>
    <t>永瀬 姫菜</t>
  </si>
  <si>
    <t>大髙 千絵</t>
  </si>
  <si>
    <t>西沢 菜央</t>
  </si>
  <si>
    <t>鳴島 沙紀</t>
  </si>
  <si>
    <t>小林 香乃子</t>
  </si>
  <si>
    <t>上條 蓮奈</t>
  </si>
  <si>
    <t>猪野 愛梨亜</t>
  </si>
  <si>
    <t>谷 紀子</t>
  </si>
  <si>
    <t>金綱 志保</t>
  </si>
  <si>
    <t>松山 暁</t>
  </si>
  <si>
    <t>園部 水優</t>
  </si>
  <si>
    <t>鈴木 美冬</t>
  </si>
  <si>
    <t>梅園 紗也夏</t>
  </si>
  <si>
    <t>酒井 あすか</t>
  </si>
  <si>
    <t>荻野 奈々子</t>
  </si>
  <si>
    <t>斉藤 絵美子</t>
  </si>
  <si>
    <t>中俣 美咲</t>
  </si>
  <si>
    <t>高橋 里絵子</t>
  </si>
  <si>
    <t>岡村 彩加</t>
  </si>
  <si>
    <t>鈴木 彩香</t>
  </si>
  <si>
    <t>篠塚 しのぶ</t>
  </si>
  <si>
    <t>木下 奈々</t>
  </si>
  <si>
    <t>峯岸 茜</t>
  </si>
  <si>
    <t>德重 舞</t>
  </si>
  <si>
    <t>福原 眞澄</t>
  </si>
  <si>
    <t>藤田 稀美</t>
  </si>
  <si>
    <t>山口 彩希</t>
  </si>
  <si>
    <t>吉岡 栞</t>
  </si>
  <si>
    <t>細田 光希</t>
  </si>
  <si>
    <t>渕脇 達代</t>
  </si>
  <si>
    <t>笠間 敏江</t>
  </si>
  <si>
    <t>坂井 真由美</t>
  </si>
  <si>
    <t>澤田 陽子</t>
  </si>
  <si>
    <t>柳島 理佐子</t>
  </si>
  <si>
    <t>太田 ゆかり</t>
  </si>
  <si>
    <t>宇田川 藍</t>
  </si>
  <si>
    <t>行田 ゆう</t>
  </si>
  <si>
    <t>小澤 知華子</t>
  </si>
  <si>
    <t>難波 さくら</t>
  </si>
  <si>
    <t>干場 智子</t>
  </si>
  <si>
    <t>宮本 香苗</t>
  </si>
  <si>
    <t>村上 明日香</t>
  </si>
  <si>
    <t>阿部 莉沙子</t>
  </si>
  <si>
    <t>安藤 巴菜</t>
  </si>
  <si>
    <t>大橋 史華</t>
  </si>
  <si>
    <t>大門 由真</t>
  </si>
  <si>
    <t>中川 碧恵</t>
  </si>
  <si>
    <t>室橋 美早紀</t>
  </si>
  <si>
    <t>渡辺 紗矢</t>
  </si>
  <si>
    <t>金原 珠恵</t>
  </si>
  <si>
    <t>中冨 結衣</t>
  </si>
  <si>
    <t>大越 春佳</t>
  </si>
  <si>
    <t>後藤 優里</t>
  </si>
  <si>
    <t>武富 零央</t>
  </si>
  <si>
    <t>島田 ティナ</t>
  </si>
  <si>
    <t>石井 雅萌</t>
  </si>
  <si>
    <t>狩野 ゆりえ</t>
  </si>
  <si>
    <t>岩朝 恵美</t>
  </si>
  <si>
    <t>竹内 尚美</t>
  </si>
  <si>
    <t>鈴木 優里</t>
  </si>
  <si>
    <t>制野 千賀子</t>
  </si>
  <si>
    <t>鈴木 菜々子</t>
  </si>
  <si>
    <t>磯﨑 貴奈</t>
  </si>
  <si>
    <t>中村 晶子</t>
  </si>
  <si>
    <t>前田 千広</t>
  </si>
  <si>
    <t>染谷 雪恵</t>
  </si>
  <si>
    <t>吉岡 ゆかり</t>
  </si>
  <si>
    <t>小川 愛</t>
  </si>
  <si>
    <t>澤村 クレタ</t>
  </si>
  <si>
    <t>上平 梢</t>
  </si>
  <si>
    <t>川上 真佐子</t>
  </si>
  <si>
    <t>荒川区スキー連盟</t>
  </si>
  <si>
    <t>髙橋 麻佑</t>
  </si>
  <si>
    <t>遠藤 美紗希</t>
  </si>
  <si>
    <t>大屋 佳子</t>
  </si>
  <si>
    <t>眞鍋 栞梨</t>
  </si>
  <si>
    <t>坂 沙希子</t>
  </si>
  <si>
    <t>青木 愛</t>
  </si>
  <si>
    <t>上村 貴代子</t>
  </si>
  <si>
    <t>山本 椋子</t>
  </si>
  <si>
    <t>城ヶ崎 小都</t>
  </si>
  <si>
    <t>森谷 瑠花</t>
  </si>
  <si>
    <t>藤原 明香</t>
  </si>
  <si>
    <t>宮澤 莉子</t>
  </si>
  <si>
    <t>高橋 佑佳</t>
  </si>
  <si>
    <t>中島 翠生</t>
  </si>
  <si>
    <t>鎌田 理緒</t>
  </si>
  <si>
    <t>城田 千晶</t>
  </si>
  <si>
    <t>松本 キヨ子</t>
  </si>
  <si>
    <t>栗本 ゆう子</t>
  </si>
  <si>
    <t>石井 裕子</t>
  </si>
  <si>
    <t>工藤 莉里</t>
  </si>
  <si>
    <t>小松 晴美</t>
  </si>
  <si>
    <t>メティースキークラブ</t>
  </si>
  <si>
    <t>中島 聖生</t>
  </si>
  <si>
    <t>松田 瑞稀</t>
  </si>
  <si>
    <t>小原 万理恵</t>
  </si>
  <si>
    <t>稲垣 由奈</t>
  </si>
  <si>
    <t>田島 南海</t>
  </si>
  <si>
    <t>井上 彩衣</t>
  </si>
  <si>
    <t>喜地 真鈴</t>
  </si>
  <si>
    <t>伊東 佑奈</t>
  </si>
  <si>
    <t>深澤 睦子</t>
  </si>
  <si>
    <t>児玉 千尋</t>
  </si>
  <si>
    <t>奥田 淑乃</t>
  </si>
  <si>
    <t>佃 瞳子</t>
  </si>
  <si>
    <t>長野 蒼生</t>
  </si>
  <si>
    <t>矢頭 千夏</t>
  </si>
  <si>
    <t>小川 慶都</t>
  </si>
  <si>
    <t>小山 かやの</t>
  </si>
  <si>
    <t>藤田 美怜</t>
  </si>
  <si>
    <t>清田 華</t>
  </si>
  <si>
    <t>武井 久子</t>
  </si>
  <si>
    <t>日高 絵梨香</t>
  </si>
  <si>
    <t>緑川 慶子</t>
  </si>
  <si>
    <t>鈴木 陽菜子</t>
  </si>
  <si>
    <t>島田 リリア</t>
  </si>
  <si>
    <t>村岡 美紀</t>
  </si>
  <si>
    <t>安蔵 素乃</t>
  </si>
  <si>
    <t>石野 ちはる</t>
  </si>
  <si>
    <t>渋谷 咲綺</t>
  </si>
  <si>
    <t>埼玉県スキー連盟</t>
  </si>
  <si>
    <t>佃 柊子</t>
  </si>
  <si>
    <t>松尾 有紗</t>
  </si>
  <si>
    <t>森 理葉</t>
  </si>
  <si>
    <t>髙井 奏乃</t>
  </si>
  <si>
    <t>三橋 恵</t>
  </si>
  <si>
    <t>野上 千尋</t>
  </si>
  <si>
    <t>西本 有希</t>
  </si>
  <si>
    <t>太田 美子</t>
  </si>
  <si>
    <t>峯岸 舞</t>
  </si>
  <si>
    <t>楫野 美穂</t>
  </si>
  <si>
    <t>木村 美玖</t>
  </si>
  <si>
    <t>森岡 真希奈</t>
  </si>
  <si>
    <t>小田桐 茉柚</t>
  </si>
  <si>
    <t>谷 寿子</t>
  </si>
  <si>
    <t>杉山 未彩</t>
  </si>
  <si>
    <t>東 伊織</t>
  </si>
  <si>
    <t>野尻 幸子</t>
  </si>
  <si>
    <t>石川 彩音</t>
  </si>
  <si>
    <t>小沼 有見佳</t>
  </si>
  <si>
    <t>蟹澤 初美</t>
  </si>
  <si>
    <t>細谷 くるみ</t>
  </si>
  <si>
    <t>西村 三咲</t>
  </si>
  <si>
    <t>田中 葵</t>
  </si>
  <si>
    <t>（公財）神奈川県スキー連盟</t>
  </si>
  <si>
    <t>才野木 緑</t>
  </si>
  <si>
    <t>渡邉 幸菜</t>
  </si>
  <si>
    <t>辻口 由奈</t>
  </si>
  <si>
    <t>天野 美奈</t>
  </si>
  <si>
    <t>谷合 海紅</t>
  </si>
  <si>
    <t>濱田 悠嘉</t>
  </si>
  <si>
    <t>星田 慶子</t>
  </si>
  <si>
    <t>山田 道子</t>
  </si>
  <si>
    <t>石川 優</t>
  </si>
  <si>
    <t>岡田 加苗</t>
  </si>
  <si>
    <t>白濱 里織</t>
  </si>
  <si>
    <t>加藤 遥</t>
  </si>
  <si>
    <t>早河 心夢</t>
  </si>
  <si>
    <t>後藤 美裕</t>
  </si>
  <si>
    <t>松原 由依</t>
  </si>
  <si>
    <t>磯崎 小菜美</t>
  </si>
  <si>
    <t>菊池 優菜</t>
  </si>
  <si>
    <t>辻 あき江</t>
  </si>
  <si>
    <t>野邊 あかり</t>
  </si>
  <si>
    <t>笹口 果乃</t>
  </si>
  <si>
    <t>石井 咲亜耶</t>
  </si>
  <si>
    <t>藤本 紗希</t>
  </si>
  <si>
    <t>河内 香織</t>
  </si>
  <si>
    <t>足立 莉菜</t>
  </si>
  <si>
    <t>横溝 女莉</t>
  </si>
  <si>
    <t>石井 輝織</t>
  </si>
  <si>
    <t>原 露子</t>
  </si>
  <si>
    <t>小原 遙佳</t>
  </si>
  <si>
    <t>齋藤 恭子</t>
  </si>
  <si>
    <t>野木 瑞恵</t>
  </si>
  <si>
    <t>森井 華</t>
  </si>
  <si>
    <t>柴田 小斗</t>
  </si>
  <si>
    <t>吉川 ちとせ</t>
  </si>
  <si>
    <t>林 麻衣子</t>
  </si>
  <si>
    <t>加藤 高子</t>
  </si>
  <si>
    <t>落合 麻理子</t>
  </si>
  <si>
    <t>土志田 理佐</t>
  </si>
  <si>
    <t>酒井 ますみ</t>
  </si>
  <si>
    <t>桜井 圭子</t>
  </si>
  <si>
    <t>箕輪 怜奈</t>
  </si>
  <si>
    <t>三井 睦貴</t>
  </si>
  <si>
    <t>本田 睦子</t>
  </si>
  <si>
    <t>舩川 みのり</t>
  </si>
  <si>
    <t>姉崎 洋子</t>
  </si>
  <si>
    <t>森井 愛</t>
  </si>
  <si>
    <t>來田 百合香</t>
  </si>
  <si>
    <t>大矢 優樹</t>
  </si>
  <si>
    <t>桂 唯夏</t>
  </si>
  <si>
    <t>鈴木 早苗</t>
  </si>
  <si>
    <t>花岡 奈那子</t>
  </si>
  <si>
    <t>山口 玲奈</t>
  </si>
  <si>
    <t>羽月 詩織</t>
  </si>
  <si>
    <t>原 怜音</t>
  </si>
  <si>
    <t>田口 美咲</t>
  </si>
  <si>
    <t>村田 祐子</t>
  </si>
  <si>
    <t>山下 菜央</t>
  </si>
  <si>
    <t>久保 夏海</t>
  </si>
  <si>
    <t>相沢 優里</t>
  </si>
  <si>
    <t>渡辺 渚</t>
  </si>
  <si>
    <t>本間 日奈子</t>
  </si>
  <si>
    <t>岡山 風花</t>
  </si>
  <si>
    <t>河口 千春</t>
  </si>
  <si>
    <t>佐藤 優真</t>
  </si>
  <si>
    <t>阿部 昌子</t>
  </si>
  <si>
    <t>栗本 朝香</t>
  </si>
  <si>
    <t>荻原 ミウ</t>
  </si>
  <si>
    <t>佐藤 瑠奈</t>
  </si>
  <si>
    <t>秋葉 晴香</t>
  </si>
  <si>
    <t>倉持 綾</t>
  </si>
  <si>
    <t>根木 はるな</t>
  </si>
  <si>
    <t>石崎 清子</t>
  </si>
  <si>
    <t>宗 春奈</t>
  </si>
  <si>
    <t>細谷 かりん</t>
  </si>
  <si>
    <t>北村 明日香</t>
  </si>
  <si>
    <t>松木 遙香</t>
  </si>
  <si>
    <t>鎌形 麻里</t>
  </si>
  <si>
    <t>三浦 和子</t>
  </si>
  <si>
    <t>本間 かほる</t>
  </si>
  <si>
    <t>高木 彩希</t>
  </si>
  <si>
    <t>斉藤 彩乃</t>
  </si>
  <si>
    <t>尾崎 榛名</t>
  </si>
  <si>
    <t>狩集 未来</t>
  </si>
  <si>
    <t>長谷川 敬子</t>
  </si>
  <si>
    <t>仮屋崎 楓</t>
  </si>
  <si>
    <t>阿部 真弓</t>
  </si>
  <si>
    <t>坂内 恭子</t>
  </si>
  <si>
    <t>松山 麻理</t>
  </si>
  <si>
    <t>山口 史子</t>
  </si>
  <si>
    <t>小林 由紀子</t>
  </si>
  <si>
    <t>岩本 彩起子</t>
  </si>
  <si>
    <t>信田 かな子</t>
  </si>
  <si>
    <t>立石 佳帆</t>
  </si>
  <si>
    <t>岩本 のぞみ</t>
  </si>
  <si>
    <t>鹿島 幸枝</t>
  </si>
  <si>
    <t>井田 詩織</t>
  </si>
  <si>
    <t>杉浦 智恵</t>
  </si>
  <si>
    <t>高木 敦子</t>
  </si>
  <si>
    <t>稲田 京香</t>
  </si>
  <si>
    <t>花岡 嘉奈子</t>
  </si>
  <si>
    <t>花岡 由依子</t>
  </si>
  <si>
    <t>女子(SL)</t>
  </si>
  <si>
    <t>⑳全国高校予選（選考会） 女子</t>
  </si>
  <si>
    <t>⑳全国高校予選（本大会） 女子</t>
  </si>
  <si>
    <t>⑦関東ユース２ ＡＢ・Ｋ１女子</t>
  </si>
  <si>
    <t>⑦関東ユース２ Ｋ２女子</t>
  </si>
  <si>
    <t>⑧南関ユース 女子</t>
  </si>
  <si>
    <t>⑨野沢マスターズ 女子Ｃ</t>
  </si>
  <si>
    <t>大会ＰＰ</t>
    <rPh sb="0" eb="2">
      <t>タイカイ</t>
    </rPh>
    <phoneticPr fontId="18"/>
  </si>
  <si>
    <t>前年度　ポイント</t>
    <phoneticPr fontId="18"/>
  </si>
  <si>
    <t>㉑全中予選 女子</t>
    <phoneticPr fontId="18"/>
  </si>
  <si>
    <t>㉓都高校　選考会 女子</t>
    <phoneticPr fontId="18"/>
  </si>
  <si>
    <t>㉒ＷＳＣ選手権 女子</t>
    <phoneticPr fontId="18"/>
  </si>
  <si>
    <t>㉒ＷＳＣ選手権 女子Ｍ</t>
    <phoneticPr fontId="18"/>
  </si>
  <si>
    <t>㉓都高校　本大会 女子</t>
    <phoneticPr fontId="18"/>
  </si>
  <si>
    <t>㉔野辺山カップ 女子</t>
    <phoneticPr fontId="18"/>
  </si>
  <si>
    <t>㉕ふそうカップ 女子</t>
    <phoneticPr fontId="18"/>
  </si>
  <si>
    <t>㉖アルペン複合 女子</t>
    <phoneticPr fontId="18"/>
  </si>
  <si>
    <t>㉗春高校　選考会 女子</t>
    <phoneticPr fontId="18"/>
  </si>
  <si>
    <t>㉗春高校　本大会 女子</t>
    <phoneticPr fontId="18"/>
  </si>
  <si>
    <t>〇</t>
    <phoneticPr fontId="18"/>
  </si>
  <si>
    <t>〇</t>
    <phoneticPr fontId="18"/>
  </si>
  <si>
    <t>〇</t>
    <phoneticPr fontId="18"/>
  </si>
  <si>
    <t>宮嶋 有紀子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</si>
</sst>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21" fillId="0" borderId="10" xfId="0" applyNumberFormat="1" applyFont="1" applyFill="1" applyBorder="1" applyAlignment="1">
      <alignment vertical="center" shrinkToFit="1"/>
    </xf>
    <xf numFmtId="176" fontId="20" fillId="0" borderId="10" xfId="0" applyNumberFormat="1" applyFont="1" applyFill="1" applyBorder="1">
      <alignment vertical="center"/>
    </xf>
    <xf numFmtId="176" fontId="21" fillId="0" borderId="10" xfId="0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>
      <alignment vertical="center"/>
    </xf>
    <xf numFmtId="0" fontId="21" fillId="0" borderId="10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center" shrinkToFit="1"/>
    </xf>
    <xf numFmtId="176" fontId="20" fillId="0" borderId="0" xfId="0" applyNumberFormat="1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176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right" vertical="center"/>
    </xf>
    <xf numFmtId="176" fontId="19" fillId="0" borderId="10" xfId="0" applyNumberFormat="1" applyFont="1" applyFill="1" applyBorder="1" applyAlignment="1">
      <alignment vertical="center" wrapText="1"/>
    </xf>
    <xf numFmtId="176" fontId="21" fillId="0" borderId="10" xfId="0" applyNumberFormat="1" applyFont="1" applyFill="1" applyBorder="1" applyAlignment="1">
      <alignment horizontal="right" vertical="center" wrapText="1"/>
    </xf>
    <xf numFmtId="176" fontId="21" fillId="0" borderId="0" xfId="0" applyNumberFormat="1" applyFont="1" applyFill="1" applyAlignment="1">
      <alignment vertical="center" wrapText="1"/>
    </xf>
    <xf numFmtId="0" fontId="21" fillId="0" borderId="10" xfId="0" applyFont="1" applyFill="1" applyBorder="1" applyAlignment="1">
      <alignment horizontal="center" vertical="center" wrapText="1" shrinkToFi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0" fillId="0" borderId="10" xfId="0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A310"/>
  <sheetViews>
    <sheetView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D14" sqref="D14"/>
    </sheetView>
  </sheetViews>
  <sheetFormatPr defaultRowHeight="13.5"/>
  <cols>
    <col min="1" max="2" width="9" style="9"/>
    <col min="3" max="3" width="15.625" style="10" customWidth="1"/>
    <col min="4" max="4" width="31.375" style="9" customWidth="1"/>
    <col min="5" max="6" width="0" style="9" hidden="1" customWidth="1"/>
    <col min="7" max="7" width="9.625" style="11" customWidth="1"/>
    <col min="8" max="8" width="7.625" style="12" customWidth="1"/>
    <col min="9" max="9" width="8.625" style="9" hidden="1" customWidth="1"/>
    <col min="10" max="10" width="8.625" style="12" customWidth="1"/>
    <col min="11" max="27" width="8.625" style="13" customWidth="1"/>
    <col min="28" max="68" width="8.625" style="9" customWidth="1"/>
    <col min="69" max="16384" width="9" style="9"/>
  </cols>
  <sheetData>
    <row r="1" spans="1:27" s="18" customFormat="1">
      <c r="A1" s="16" t="s">
        <v>399</v>
      </c>
      <c r="B1" s="16"/>
      <c r="C1" s="1"/>
      <c r="D1" s="16"/>
      <c r="E1" s="16"/>
      <c r="F1" s="16"/>
      <c r="G1" s="4"/>
      <c r="H1" s="14"/>
      <c r="I1" s="16"/>
      <c r="J1" s="14"/>
      <c r="K1" s="3" t="s">
        <v>406</v>
      </c>
      <c r="L1" s="17">
        <v>29.51</v>
      </c>
      <c r="M1" s="17">
        <v>34.39</v>
      </c>
      <c r="N1" s="17">
        <v>0</v>
      </c>
      <c r="O1" s="17">
        <v>116.36</v>
      </c>
      <c r="P1" s="17">
        <v>107.12</v>
      </c>
      <c r="Q1" s="17">
        <v>75.52</v>
      </c>
      <c r="R1" s="17">
        <v>96.4</v>
      </c>
      <c r="S1" s="17">
        <v>64.66</v>
      </c>
      <c r="T1" s="17">
        <v>75.72</v>
      </c>
      <c r="U1" s="17">
        <v>44.38</v>
      </c>
      <c r="V1" s="17">
        <v>47.65</v>
      </c>
      <c r="W1" s="17">
        <v>81.180000000000007</v>
      </c>
      <c r="X1" s="17">
        <v>76.8</v>
      </c>
      <c r="Y1" s="17">
        <v>75.53</v>
      </c>
      <c r="Z1" s="17">
        <v>26.38</v>
      </c>
      <c r="AA1" s="17">
        <v>44.06</v>
      </c>
    </row>
    <row r="2" spans="1:27" s="21" customFormat="1" ht="54">
      <c r="A2" s="5" t="s">
        <v>0</v>
      </c>
      <c r="B2" s="5" t="s">
        <v>1</v>
      </c>
      <c r="C2" s="19" t="s">
        <v>2</v>
      </c>
      <c r="D2" s="5" t="s">
        <v>3</v>
      </c>
      <c r="E2" s="5" t="s">
        <v>4</v>
      </c>
      <c r="F2" s="5" t="s">
        <v>5</v>
      </c>
      <c r="G2" s="20" t="s">
        <v>6</v>
      </c>
      <c r="H2" s="5" t="s">
        <v>7</v>
      </c>
      <c r="I2" s="5" t="s">
        <v>8</v>
      </c>
      <c r="J2" s="5" t="s">
        <v>9</v>
      </c>
      <c r="K2" s="5" t="s">
        <v>407</v>
      </c>
      <c r="L2" s="5" t="s">
        <v>400</v>
      </c>
      <c r="M2" s="5" t="s">
        <v>401</v>
      </c>
      <c r="N2" s="5" t="s">
        <v>410</v>
      </c>
      <c r="O2" s="5" t="s">
        <v>411</v>
      </c>
      <c r="P2" s="5" t="s">
        <v>402</v>
      </c>
      <c r="Q2" s="5" t="s">
        <v>403</v>
      </c>
      <c r="R2" s="5" t="s">
        <v>404</v>
      </c>
      <c r="S2" s="5" t="s">
        <v>405</v>
      </c>
      <c r="T2" s="5" t="s">
        <v>408</v>
      </c>
      <c r="U2" s="5" t="s">
        <v>409</v>
      </c>
      <c r="V2" s="5" t="s">
        <v>412</v>
      </c>
      <c r="W2" s="5" t="s">
        <v>413</v>
      </c>
      <c r="X2" s="5" t="s">
        <v>414</v>
      </c>
      <c r="Y2" s="5" t="s">
        <v>415</v>
      </c>
      <c r="Z2" s="5" t="s">
        <v>416</v>
      </c>
      <c r="AA2" s="5" t="s">
        <v>417</v>
      </c>
    </row>
    <row r="3" spans="1:27">
      <c r="A3" s="6">
        <v>1</v>
      </c>
      <c r="B3" s="6">
        <v>3957</v>
      </c>
      <c r="C3" s="7" t="s">
        <v>88</v>
      </c>
      <c r="D3" s="6" t="s">
        <v>89</v>
      </c>
      <c r="E3" s="6" t="str">
        <f>"18.74"</f>
        <v>18.74</v>
      </c>
      <c r="F3" s="6"/>
      <c r="G3" s="2">
        <v>8</v>
      </c>
      <c r="H3" s="8" t="s">
        <v>11</v>
      </c>
      <c r="I3" s="6">
        <v>2</v>
      </c>
      <c r="J3" s="8">
        <v>2017</v>
      </c>
      <c r="K3" s="15" t="str">
        <f>"37.48"</f>
        <v>37.48</v>
      </c>
      <c r="L3" s="15"/>
      <c r="M3" s="15"/>
      <c r="N3" s="15" t="str">
        <f>"0.00"</f>
        <v>0.00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>
      <c r="A4" s="6">
        <v>1</v>
      </c>
      <c r="B4" s="6">
        <v>3431</v>
      </c>
      <c r="C4" s="7" t="s">
        <v>91</v>
      </c>
      <c r="D4" s="6" t="s">
        <v>12</v>
      </c>
      <c r="E4" s="6" t="str">
        <f>"0.00"</f>
        <v>0.00</v>
      </c>
      <c r="F4" s="6"/>
      <c r="G4" s="2">
        <v>8</v>
      </c>
      <c r="H4" s="8" t="s">
        <v>15</v>
      </c>
      <c r="I4" s="6">
        <v>1</v>
      </c>
      <c r="J4" s="8">
        <v>2017</v>
      </c>
      <c r="K4" s="15" t="str">
        <f>"0.00"</f>
        <v>0.00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>
      <c r="A5" s="6">
        <v>1</v>
      </c>
      <c r="B5" s="6">
        <v>3081</v>
      </c>
      <c r="C5" s="7" t="s">
        <v>87</v>
      </c>
      <c r="D5" s="6" t="s">
        <v>12</v>
      </c>
      <c r="E5" s="6" t="str">
        <f>"0.00"</f>
        <v>0.00</v>
      </c>
      <c r="F5" s="6"/>
      <c r="G5" s="2">
        <v>8</v>
      </c>
      <c r="H5" s="8" t="s">
        <v>15</v>
      </c>
      <c r="I5" s="6">
        <v>1</v>
      </c>
      <c r="J5" s="8">
        <v>2017</v>
      </c>
      <c r="K5" s="15" t="str">
        <f>"0.00"</f>
        <v>0.00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>
      <c r="A6" s="6">
        <v>4</v>
      </c>
      <c r="B6" s="6">
        <v>5175</v>
      </c>
      <c r="C6" s="7" t="s">
        <v>86</v>
      </c>
      <c r="D6" s="6" t="s">
        <v>13</v>
      </c>
      <c r="E6" s="6" t="str">
        <f>"9.01"</f>
        <v>9.01</v>
      </c>
      <c r="F6" s="6"/>
      <c r="G6" s="2">
        <v>12.97</v>
      </c>
      <c r="H6" s="8" t="s">
        <v>15</v>
      </c>
      <c r="I6" s="6">
        <v>1</v>
      </c>
      <c r="J6" s="8">
        <v>2017</v>
      </c>
      <c r="K6" s="15" t="str">
        <f>"9.01"</f>
        <v>9.01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>
      <c r="A7" s="6">
        <v>5</v>
      </c>
      <c r="B7" s="6">
        <v>3700</v>
      </c>
      <c r="C7" s="7" t="s">
        <v>95</v>
      </c>
      <c r="D7" s="6" t="s">
        <v>13</v>
      </c>
      <c r="E7" s="6" t="str">
        <f>"36.13"</f>
        <v>36.13</v>
      </c>
      <c r="F7" s="6"/>
      <c r="G7" s="2">
        <v>36.130000000000003</v>
      </c>
      <c r="H7" s="8"/>
      <c r="I7" s="6">
        <v>3</v>
      </c>
      <c r="J7" s="8">
        <v>2017</v>
      </c>
      <c r="K7" s="15" t="str">
        <f>"61.49"</f>
        <v>61.49</v>
      </c>
      <c r="L7" s="15" t="str">
        <f>"45.87"</f>
        <v>45.87</v>
      </c>
      <c r="M7" s="15" t="str">
        <f>"59.17"</f>
        <v>59.17</v>
      </c>
      <c r="N7" s="15"/>
      <c r="O7" s="15"/>
      <c r="P7" s="15"/>
      <c r="Q7" s="15"/>
      <c r="R7" s="15"/>
      <c r="S7" s="15"/>
      <c r="T7" s="15"/>
      <c r="U7" s="15" t="str">
        <f>"50.31"</f>
        <v>50.31</v>
      </c>
      <c r="V7" s="15" t="str">
        <f>"47.65"</f>
        <v>47.65</v>
      </c>
      <c r="W7" s="15"/>
      <c r="X7" s="15"/>
      <c r="Y7" s="15"/>
      <c r="Z7" s="15" t="str">
        <f>"26.38"</f>
        <v>26.38</v>
      </c>
      <c r="AA7" s="15" t="str">
        <f>"56.30"</f>
        <v>56.30</v>
      </c>
    </row>
    <row r="8" spans="1:27">
      <c r="A8" s="6">
        <v>6</v>
      </c>
      <c r="B8" s="6">
        <v>5230</v>
      </c>
      <c r="C8" s="7" t="s">
        <v>92</v>
      </c>
      <c r="D8" s="6" t="s">
        <v>13</v>
      </c>
      <c r="E8" s="6" t="str">
        <f>"7.94"</f>
        <v>7.94</v>
      </c>
      <c r="F8" s="6"/>
      <c r="G8" s="2">
        <v>39.229999999999997</v>
      </c>
      <c r="H8" s="8"/>
      <c r="I8" s="6">
        <v>3</v>
      </c>
      <c r="J8" s="8">
        <v>2017</v>
      </c>
      <c r="K8" s="15" t="str">
        <f>"7.94"</f>
        <v>7.94</v>
      </c>
      <c r="L8" s="15"/>
      <c r="M8" s="15" t="str">
        <f>"34.39"</f>
        <v>34.39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 t="str">
        <f>"146.84"</f>
        <v>146.84</v>
      </c>
      <c r="AA8" s="15" t="str">
        <f>"44.06"</f>
        <v>44.06</v>
      </c>
    </row>
    <row r="9" spans="1:27">
      <c r="A9" s="6">
        <v>7</v>
      </c>
      <c r="B9" s="6">
        <v>2634</v>
      </c>
      <c r="C9" s="7" t="s">
        <v>96</v>
      </c>
      <c r="D9" s="6" t="s">
        <v>14</v>
      </c>
      <c r="E9" s="6" t="str">
        <f>"29.86"</f>
        <v>29.86</v>
      </c>
      <c r="F9" s="6"/>
      <c r="G9" s="2">
        <v>43</v>
      </c>
      <c r="H9" s="8" t="s">
        <v>15</v>
      </c>
      <c r="I9" s="6">
        <v>1</v>
      </c>
      <c r="J9" s="8">
        <v>2017</v>
      </c>
      <c r="K9" s="15" t="str">
        <f>"29.86"</f>
        <v>29.86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>
      <c r="A10" s="6">
        <v>8</v>
      </c>
      <c r="B10" s="6">
        <v>4322</v>
      </c>
      <c r="C10" s="7" t="s">
        <v>93</v>
      </c>
      <c r="D10" s="6" t="s">
        <v>79</v>
      </c>
      <c r="E10" s="6" t="str">
        <f>"49.16"</f>
        <v>49.16</v>
      </c>
      <c r="F10" s="6"/>
      <c r="G10" s="2">
        <v>49.16</v>
      </c>
      <c r="H10" s="8"/>
      <c r="I10" s="6">
        <v>3</v>
      </c>
      <c r="J10" s="8">
        <v>2018</v>
      </c>
      <c r="K10" s="15" t="str">
        <f>"74.19"</f>
        <v>74.19</v>
      </c>
      <c r="L10" s="15"/>
      <c r="M10" s="15"/>
      <c r="N10" s="15" t="str">
        <f>"33.65"</f>
        <v>33.65</v>
      </c>
      <c r="O10" s="15"/>
      <c r="P10" s="15"/>
      <c r="Q10" s="15"/>
      <c r="R10" s="15"/>
      <c r="S10" s="15" t="str">
        <f>"64.66"</f>
        <v>64.66</v>
      </c>
      <c r="T10" s="15"/>
      <c r="U10" s="15"/>
      <c r="V10" s="15"/>
      <c r="W10" s="15"/>
      <c r="X10" s="15"/>
      <c r="Y10" s="15"/>
      <c r="Z10" s="15"/>
      <c r="AA10" s="15"/>
    </row>
    <row r="11" spans="1:27">
      <c r="A11" s="6">
        <v>9</v>
      </c>
      <c r="B11" s="6">
        <v>9962</v>
      </c>
      <c r="C11" s="7" t="s">
        <v>112</v>
      </c>
      <c r="D11" s="6" t="s">
        <v>13</v>
      </c>
      <c r="E11" s="6" t="str">
        <f>"51.46"</f>
        <v>51.46</v>
      </c>
      <c r="F11" s="6"/>
      <c r="G11" s="2">
        <v>51.46</v>
      </c>
      <c r="H11" s="8"/>
      <c r="I11" s="6">
        <v>3</v>
      </c>
      <c r="J11" s="8">
        <v>2017</v>
      </c>
      <c r="K11" s="15" t="str">
        <f>"63.17"</f>
        <v>63.17</v>
      </c>
      <c r="L11" s="15" t="str">
        <f>"57.17"</f>
        <v>57.17</v>
      </c>
      <c r="M11" s="15" t="str">
        <f>"66.33"</f>
        <v>66.33</v>
      </c>
      <c r="N11" s="15"/>
      <c r="O11" s="15"/>
      <c r="P11" s="15"/>
      <c r="Q11" s="15"/>
      <c r="R11" s="15"/>
      <c r="S11" s="15"/>
      <c r="T11" s="15"/>
      <c r="U11" s="15" t="str">
        <f>"47.71"</f>
        <v>47.71</v>
      </c>
      <c r="V11" s="15" t="str">
        <f>"66.82"</f>
        <v>66.82</v>
      </c>
      <c r="W11" s="15"/>
      <c r="X11" s="15"/>
      <c r="Y11" s="15"/>
      <c r="Z11" s="15" t="str">
        <f>"55.21"</f>
        <v>55.21</v>
      </c>
      <c r="AA11" s="15" t="str">
        <f>"74.91"</f>
        <v>74.91</v>
      </c>
    </row>
    <row r="12" spans="1:27">
      <c r="A12" s="6">
        <v>10</v>
      </c>
      <c r="B12" s="6">
        <v>4165</v>
      </c>
      <c r="C12" s="7" t="s">
        <v>98</v>
      </c>
      <c r="D12" s="6" t="s">
        <v>13</v>
      </c>
      <c r="E12" s="6" t="str">
        <f>"40.00"</f>
        <v>40.00</v>
      </c>
      <c r="F12" s="6"/>
      <c r="G12" s="2">
        <v>52.24</v>
      </c>
      <c r="H12" s="8" t="s">
        <v>11</v>
      </c>
      <c r="I12" s="6">
        <v>2</v>
      </c>
      <c r="J12" s="8">
        <v>2017</v>
      </c>
      <c r="K12" s="15" t="str">
        <f>"43.72"</f>
        <v>43.72</v>
      </c>
      <c r="L12" s="15"/>
      <c r="M12" s="15" t="str">
        <f>"36.28"</f>
        <v>36.28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>
      <c r="A13" s="6">
        <v>11</v>
      </c>
      <c r="B13" s="6">
        <v>3043</v>
      </c>
      <c r="C13" s="7" t="s">
        <v>99</v>
      </c>
      <c r="D13" s="6" t="s">
        <v>49</v>
      </c>
      <c r="E13" s="6" t="str">
        <f>"50.17"</f>
        <v>50.17</v>
      </c>
      <c r="F13" s="6"/>
      <c r="G13" s="2">
        <v>53.64</v>
      </c>
      <c r="H13" s="8"/>
      <c r="I13" s="6">
        <v>3</v>
      </c>
      <c r="J13" s="8">
        <v>2018</v>
      </c>
      <c r="K13" s="15" t="str">
        <f>"69.86"</f>
        <v>69.86</v>
      </c>
      <c r="L13" s="15"/>
      <c r="M13" s="15"/>
      <c r="N13" s="15" t="str">
        <f>"30.48"</f>
        <v>30.48</v>
      </c>
      <c r="O13" s="15"/>
      <c r="P13" s="15"/>
      <c r="Q13" s="15"/>
      <c r="R13" s="15"/>
      <c r="S13" s="15"/>
      <c r="T13" s="15"/>
      <c r="U13" s="15"/>
      <c r="V13" s="15"/>
      <c r="W13" s="15"/>
      <c r="X13" s="15" t="str">
        <f>"76.80"</f>
        <v>76.80</v>
      </c>
      <c r="Y13" s="15" t="str">
        <f>"116.01"</f>
        <v>116.01</v>
      </c>
      <c r="Z13" s="15"/>
      <c r="AA13" s="15"/>
    </row>
    <row r="14" spans="1:27">
      <c r="A14" s="6">
        <v>12</v>
      </c>
      <c r="B14" s="6">
        <v>8642</v>
      </c>
      <c r="C14" s="7" t="s">
        <v>129</v>
      </c>
      <c r="D14" s="6" t="s">
        <v>13</v>
      </c>
      <c r="E14" s="6" t="str">
        <f>"57.18"</f>
        <v>57.18</v>
      </c>
      <c r="F14" s="6"/>
      <c r="G14" s="2">
        <v>59.96</v>
      </c>
      <c r="H14" s="8"/>
      <c r="I14" s="6">
        <v>3</v>
      </c>
      <c r="J14" s="8">
        <v>2017</v>
      </c>
      <c r="K14" s="15" t="str">
        <f>"69.97"</f>
        <v>69.97</v>
      </c>
      <c r="L14" s="15"/>
      <c r="M14" s="15" t="str">
        <f>"90.43"</f>
        <v>90.43</v>
      </c>
      <c r="N14" s="15"/>
      <c r="O14" s="15"/>
      <c r="P14" s="15"/>
      <c r="Q14" s="15"/>
      <c r="R14" s="15"/>
      <c r="S14" s="15"/>
      <c r="T14" s="15"/>
      <c r="U14" s="15" t="str">
        <f>"44.38"</f>
        <v>44.38</v>
      </c>
      <c r="V14" s="15" t="str">
        <f>"76.80"</f>
        <v>76.80</v>
      </c>
      <c r="W14" s="15"/>
      <c r="X14" s="15"/>
      <c r="Y14" s="15" t="str">
        <f>"75.53"</f>
        <v>75.53</v>
      </c>
      <c r="Z14" s="15"/>
      <c r="AA14" s="15"/>
    </row>
    <row r="15" spans="1:27">
      <c r="A15" s="6">
        <v>13</v>
      </c>
      <c r="B15" s="6">
        <v>10326</v>
      </c>
      <c r="C15" s="7" t="s">
        <v>90</v>
      </c>
      <c r="D15" s="6" t="s">
        <v>13</v>
      </c>
      <c r="E15" s="6" t="str">
        <f>"30.21"</f>
        <v>30.21</v>
      </c>
      <c r="F15" s="6"/>
      <c r="G15" s="2">
        <v>64.680000000000007</v>
      </c>
      <c r="H15" s="8" t="s">
        <v>11</v>
      </c>
      <c r="I15" s="6">
        <v>2</v>
      </c>
      <c r="J15" s="8">
        <v>2017</v>
      </c>
      <c r="K15" s="15" t="str">
        <f>"30.21"</f>
        <v>30.21</v>
      </c>
      <c r="L15" s="15"/>
      <c r="M15" s="15" t="str">
        <f>"44.92"</f>
        <v>44.92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>
      <c r="A16" s="6">
        <v>14</v>
      </c>
      <c r="B16" s="6">
        <v>4573</v>
      </c>
      <c r="C16" s="7" t="s">
        <v>115</v>
      </c>
      <c r="D16" s="6" t="s">
        <v>37</v>
      </c>
      <c r="E16" s="6" t="str">
        <f>"64.73"</f>
        <v>64.73</v>
      </c>
      <c r="F16" s="6"/>
      <c r="G16" s="2">
        <v>64.73</v>
      </c>
      <c r="H16" s="8"/>
      <c r="I16" s="6">
        <v>3</v>
      </c>
      <c r="J16" s="8">
        <v>2018</v>
      </c>
      <c r="K16" s="15" t="str">
        <f>"77.70"</f>
        <v>77.70</v>
      </c>
      <c r="L16" s="15"/>
      <c r="M16" s="15"/>
      <c r="N16" s="15" t="str">
        <f>"59.13"</f>
        <v>59.13</v>
      </c>
      <c r="O16" s="15"/>
      <c r="P16" s="15"/>
      <c r="Q16" s="15"/>
      <c r="R16" s="15"/>
      <c r="S16" s="15" t="str">
        <f>"70.33"</f>
        <v>70.33</v>
      </c>
      <c r="T16" s="15"/>
      <c r="U16" s="15"/>
      <c r="V16" s="15"/>
      <c r="W16" s="15"/>
      <c r="X16" s="15" t="str">
        <f>"100.67"</f>
        <v>100.67</v>
      </c>
      <c r="Y16" s="15" t="str">
        <f>"98.08"</f>
        <v>98.08</v>
      </c>
      <c r="Z16" s="15"/>
      <c r="AA16" s="15"/>
    </row>
    <row r="17" spans="1:27">
      <c r="A17" s="6">
        <v>15</v>
      </c>
      <c r="B17" s="6">
        <v>10215</v>
      </c>
      <c r="C17" s="7" t="s">
        <v>110</v>
      </c>
      <c r="D17" s="6" t="s">
        <v>13</v>
      </c>
      <c r="E17" s="6" t="str">
        <f>"65.67"</f>
        <v>65.67</v>
      </c>
      <c r="F17" s="6"/>
      <c r="G17" s="2">
        <v>68.39</v>
      </c>
      <c r="H17" s="8" t="s">
        <v>419</v>
      </c>
      <c r="I17" s="6">
        <v>2</v>
      </c>
      <c r="J17" s="8">
        <v>2017</v>
      </c>
      <c r="K17" s="15" t="str">
        <f>"75.27"</f>
        <v>75.27</v>
      </c>
      <c r="L17" s="15"/>
      <c r="M17" s="15" t="str">
        <f>"56.06"</f>
        <v>56.06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>
      <c r="A18" s="6">
        <v>16</v>
      </c>
      <c r="B18" s="6">
        <v>5236</v>
      </c>
      <c r="C18" s="7" t="s">
        <v>111</v>
      </c>
      <c r="D18" s="6" t="s">
        <v>83</v>
      </c>
      <c r="E18" s="6" t="str">
        <f>"68.03"</f>
        <v>68.03</v>
      </c>
      <c r="F18" s="6"/>
      <c r="G18" s="2">
        <v>68.400000000000006</v>
      </c>
      <c r="H18" s="8" t="s">
        <v>11</v>
      </c>
      <c r="I18" s="6">
        <v>2</v>
      </c>
      <c r="J18" s="8">
        <v>2017</v>
      </c>
      <c r="K18" s="15" t="str">
        <f>"88.56"</f>
        <v>88.56</v>
      </c>
      <c r="L18" s="15"/>
      <c r="M18" s="15"/>
      <c r="N18" s="15" t="str">
        <f>"47.50"</f>
        <v>47.50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>
      <c r="A19" s="6">
        <v>17</v>
      </c>
      <c r="B19" s="6">
        <v>8338</v>
      </c>
      <c r="C19" s="7" t="s">
        <v>390</v>
      </c>
      <c r="D19" s="6" t="s">
        <v>13</v>
      </c>
      <c r="E19" s="6" t="str">
        <f>"49.27"</f>
        <v>49.27</v>
      </c>
      <c r="F19" s="6"/>
      <c r="G19" s="2">
        <v>70.95</v>
      </c>
      <c r="H19" s="8" t="s">
        <v>15</v>
      </c>
      <c r="I19" s="6">
        <v>1</v>
      </c>
      <c r="J19" s="8">
        <v>2017</v>
      </c>
      <c r="K19" s="15" t="str">
        <f>"49.27"</f>
        <v>49.27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>
      <c r="A20" s="6">
        <v>18</v>
      </c>
      <c r="B20" s="6">
        <v>5185</v>
      </c>
      <c r="C20" s="7" t="s">
        <v>113</v>
      </c>
      <c r="D20" s="6" t="s">
        <v>13</v>
      </c>
      <c r="E20" s="6" t="str">
        <f>"50.91"</f>
        <v>50.91</v>
      </c>
      <c r="F20" s="6"/>
      <c r="G20" s="2">
        <v>73.31</v>
      </c>
      <c r="H20" s="8" t="s">
        <v>15</v>
      </c>
      <c r="I20" s="6">
        <v>1</v>
      </c>
      <c r="J20" s="8">
        <v>2017</v>
      </c>
      <c r="K20" s="15" t="str">
        <f>"50.91"</f>
        <v>50.91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>
      <c r="A21" s="6">
        <v>19</v>
      </c>
      <c r="B21" s="6">
        <v>4319</v>
      </c>
      <c r="C21" s="7" t="s">
        <v>132</v>
      </c>
      <c r="D21" s="6" t="s">
        <v>13</v>
      </c>
      <c r="E21" s="6" t="str">
        <f>"79.17"</f>
        <v>79.17</v>
      </c>
      <c r="F21" s="6"/>
      <c r="G21" s="2">
        <v>79.17</v>
      </c>
      <c r="H21" s="8"/>
      <c r="I21" s="6">
        <v>3</v>
      </c>
      <c r="J21" s="8">
        <v>2017</v>
      </c>
      <c r="K21" s="15" t="str">
        <f>"97.28"</f>
        <v>97.28</v>
      </c>
      <c r="L21" s="15"/>
      <c r="M21" s="15" t="str">
        <f>"106.23"</f>
        <v>106.23</v>
      </c>
      <c r="N21" s="15"/>
      <c r="O21" s="15"/>
      <c r="P21" s="15"/>
      <c r="Q21" s="15"/>
      <c r="R21" s="15"/>
      <c r="S21" s="15"/>
      <c r="T21" s="15"/>
      <c r="U21" s="15"/>
      <c r="V21" s="15" t="str">
        <f>"105.45"</f>
        <v>105.45</v>
      </c>
      <c r="W21" s="15" t="str">
        <f>"81.18"</f>
        <v>81.18</v>
      </c>
      <c r="X21" s="15"/>
      <c r="Y21" s="15" t="str">
        <f>"77.16"</f>
        <v>77.16</v>
      </c>
      <c r="Z21" s="15"/>
      <c r="AA21" s="15" t="str">
        <f>"113.08"</f>
        <v>113.08</v>
      </c>
    </row>
    <row r="22" spans="1:27">
      <c r="A22" s="6">
        <v>20</v>
      </c>
      <c r="B22" s="6">
        <v>9963</v>
      </c>
      <c r="C22" s="7" t="s">
        <v>100</v>
      </c>
      <c r="D22" s="6" t="s">
        <v>13</v>
      </c>
      <c r="E22" s="6" t="str">
        <f>"82.34"</f>
        <v>82.34</v>
      </c>
      <c r="F22" s="6"/>
      <c r="G22" s="2">
        <v>82.34</v>
      </c>
      <c r="H22" s="8"/>
      <c r="I22" s="6">
        <v>3</v>
      </c>
      <c r="J22" s="8">
        <v>2017</v>
      </c>
      <c r="K22" s="15" t="str">
        <f>"98.98"</f>
        <v>98.98</v>
      </c>
      <c r="L22" s="15"/>
      <c r="M22" s="15" t="str">
        <f>"191.10"</f>
        <v>191.10</v>
      </c>
      <c r="N22" s="15" t="str">
        <f>"70.68"</f>
        <v>70.68</v>
      </c>
      <c r="O22" s="15"/>
      <c r="P22" s="15"/>
      <c r="Q22" s="15"/>
      <c r="R22" s="15" t="str">
        <f>"126.72"</f>
        <v>126.72</v>
      </c>
      <c r="S22" s="15"/>
      <c r="T22" s="15"/>
      <c r="U22" s="15"/>
      <c r="V22" s="15" t="str">
        <f>"131.55"</f>
        <v>131.55</v>
      </c>
      <c r="W22" s="15" t="str">
        <f>"97.47"</f>
        <v>97.47</v>
      </c>
      <c r="X22" s="15"/>
      <c r="Y22" s="15"/>
      <c r="Z22" s="15" t="str">
        <f>"93.99"</f>
        <v>93.99</v>
      </c>
      <c r="AA22" s="15" t="str">
        <f>"109.86"</f>
        <v>109.86</v>
      </c>
    </row>
    <row r="23" spans="1:27">
      <c r="A23" s="6">
        <v>21</v>
      </c>
      <c r="B23" s="6">
        <v>6601</v>
      </c>
      <c r="C23" s="7" t="s">
        <v>126</v>
      </c>
      <c r="D23" s="6" t="s">
        <v>13</v>
      </c>
      <c r="E23" s="6" t="str">
        <f>"82.81"</f>
        <v>82.81</v>
      </c>
      <c r="F23" s="6"/>
      <c r="G23" s="2">
        <v>89.64</v>
      </c>
      <c r="H23" s="8"/>
      <c r="I23" s="6">
        <v>3</v>
      </c>
      <c r="J23" s="8">
        <v>2017</v>
      </c>
      <c r="K23" s="15" t="str">
        <f>"102.91"</f>
        <v>102.91</v>
      </c>
      <c r="L23" s="15"/>
      <c r="M23" s="15" t="str">
        <f>"135.19"</f>
        <v>135.19</v>
      </c>
      <c r="N23" s="15" t="str">
        <f>"62.71"</f>
        <v>62.71</v>
      </c>
      <c r="O23" s="15"/>
      <c r="P23" s="15"/>
      <c r="Q23" s="15"/>
      <c r="R23" s="15"/>
      <c r="S23" s="15" t="str">
        <f>"116.57"</f>
        <v>116.57</v>
      </c>
      <c r="T23" s="15"/>
      <c r="U23" s="15"/>
      <c r="V23" s="15"/>
      <c r="W23" s="15"/>
      <c r="X23" s="15"/>
      <c r="Y23" s="15"/>
      <c r="Z23" s="15" t="str">
        <f>"122.21"</f>
        <v>122.21</v>
      </c>
      <c r="AA23" s="15" t="str">
        <f>"141.33"</f>
        <v>141.33</v>
      </c>
    </row>
    <row r="24" spans="1:27">
      <c r="A24" s="6">
        <v>22</v>
      </c>
      <c r="B24" s="6">
        <v>4295</v>
      </c>
      <c r="C24" s="7" t="s">
        <v>125</v>
      </c>
      <c r="D24" s="6" t="s">
        <v>63</v>
      </c>
      <c r="E24" s="6" t="str">
        <f>"110.98"</f>
        <v>110.98</v>
      </c>
      <c r="F24" s="6"/>
      <c r="G24" s="2">
        <v>91.27</v>
      </c>
      <c r="H24" s="8" t="s">
        <v>11</v>
      </c>
      <c r="I24" s="6">
        <v>2</v>
      </c>
      <c r="J24" s="8">
        <v>2017</v>
      </c>
      <c r="K24" s="15" t="str">
        <f>"158.58"</f>
        <v>158.58</v>
      </c>
      <c r="L24" s="15"/>
      <c r="M24" s="15"/>
      <c r="N24" s="15" t="str">
        <f>"63.38"</f>
        <v>63.38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>
      <c r="A25" s="6">
        <v>23</v>
      </c>
      <c r="B25" s="6">
        <v>5415</v>
      </c>
      <c r="C25" s="7" t="s">
        <v>123</v>
      </c>
      <c r="D25" s="6" t="s">
        <v>18</v>
      </c>
      <c r="E25" s="6" t="str">
        <f>"96.23"</f>
        <v>96.23</v>
      </c>
      <c r="F25" s="6"/>
      <c r="G25" s="2">
        <v>96.31</v>
      </c>
      <c r="H25" s="8"/>
      <c r="I25" s="6">
        <v>3</v>
      </c>
      <c r="J25" s="8">
        <v>2017</v>
      </c>
      <c r="K25" s="15" t="str">
        <f>"116.74"</f>
        <v>116.74</v>
      </c>
      <c r="L25" s="15"/>
      <c r="M25" s="15"/>
      <c r="N25" s="15"/>
      <c r="O25" s="15"/>
      <c r="P25" s="15"/>
      <c r="Q25" s="15" t="str">
        <f>"116.90"</f>
        <v>116.90</v>
      </c>
      <c r="R25" s="15"/>
      <c r="S25" s="15"/>
      <c r="T25" s="15" t="str">
        <f>"75.72"</f>
        <v>75.72</v>
      </c>
      <c r="U25" s="15"/>
      <c r="V25" s="15"/>
      <c r="W25" s="15"/>
      <c r="X25" s="15"/>
      <c r="Y25" s="15"/>
      <c r="Z25" s="15"/>
      <c r="AA25" s="15"/>
    </row>
    <row r="26" spans="1:27">
      <c r="A26" s="6">
        <v>24</v>
      </c>
      <c r="B26" s="6">
        <v>10561</v>
      </c>
      <c r="C26" s="7" t="s">
        <v>114</v>
      </c>
      <c r="D26" s="6" t="s">
        <v>13</v>
      </c>
      <c r="E26" s="6" t="str">
        <f>"98.70"</f>
        <v>98.70</v>
      </c>
      <c r="F26" s="6"/>
      <c r="G26" s="2">
        <v>98.7</v>
      </c>
      <c r="H26" s="8"/>
      <c r="I26" s="6">
        <v>3</v>
      </c>
      <c r="J26" s="8">
        <v>2017</v>
      </c>
      <c r="K26" s="15" t="str">
        <f>"115.48"</f>
        <v>115.48</v>
      </c>
      <c r="L26" s="15"/>
      <c r="M26" s="15" t="str">
        <f>"107.31"</f>
        <v>107.31</v>
      </c>
      <c r="N26" s="15"/>
      <c r="O26" s="15"/>
      <c r="P26" s="15"/>
      <c r="Q26" s="15"/>
      <c r="R26" s="15"/>
      <c r="S26" s="15"/>
      <c r="T26" s="15"/>
      <c r="U26" s="15"/>
      <c r="V26" s="15" t="str">
        <f>"90.09"</f>
        <v>90.09</v>
      </c>
      <c r="W26" s="15"/>
      <c r="X26" s="15"/>
      <c r="Y26" s="15"/>
      <c r="Z26" s="15"/>
      <c r="AA26" s="15"/>
    </row>
    <row r="27" spans="1:27">
      <c r="A27" s="6">
        <v>25</v>
      </c>
      <c r="B27" s="6">
        <v>5507</v>
      </c>
      <c r="C27" s="7" t="s">
        <v>108</v>
      </c>
      <c r="D27" s="6" t="s">
        <v>13</v>
      </c>
      <c r="E27" s="6" t="str">
        <f>"87.92"</f>
        <v>87.92</v>
      </c>
      <c r="F27" s="6"/>
      <c r="G27" s="2">
        <v>99.53</v>
      </c>
      <c r="H27" s="8"/>
      <c r="I27" s="6">
        <v>3</v>
      </c>
      <c r="J27" s="8">
        <v>2017</v>
      </c>
      <c r="K27" s="15" t="str">
        <f>"93.75"</f>
        <v>93.75</v>
      </c>
      <c r="L27" s="15"/>
      <c r="M27" s="15" t="str">
        <f>"116.96"</f>
        <v>116.96</v>
      </c>
      <c r="N27" s="15"/>
      <c r="O27" s="15"/>
      <c r="P27" s="15"/>
      <c r="Q27" s="15"/>
      <c r="R27" s="15"/>
      <c r="S27" s="15"/>
      <c r="T27" s="15"/>
      <c r="U27" s="15" t="str">
        <f>"176.01"</f>
        <v>176.01</v>
      </c>
      <c r="V27" s="15" t="str">
        <f>"182.69"</f>
        <v>182.69</v>
      </c>
      <c r="W27" s="15"/>
      <c r="X27" s="15"/>
      <c r="Y27" s="15"/>
      <c r="Z27" s="15"/>
      <c r="AA27" s="15" t="str">
        <f>"82.09"</f>
        <v>82.09</v>
      </c>
    </row>
    <row r="28" spans="1:27">
      <c r="A28" s="6">
        <v>26</v>
      </c>
      <c r="B28" s="6">
        <v>11108</v>
      </c>
      <c r="C28" s="7" t="s">
        <v>120</v>
      </c>
      <c r="D28" s="6" t="s">
        <v>13</v>
      </c>
      <c r="E28" s="6" t="str">
        <f>"99.73"</f>
        <v>99.73</v>
      </c>
      <c r="F28" s="6"/>
      <c r="G28" s="2">
        <v>99.73</v>
      </c>
      <c r="H28" s="8"/>
      <c r="I28" s="6">
        <v>3</v>
      </c>
      <c r="J28" s="8">
        <v>2017</v>
      </c>
      <c r="K28" s="15" t="str">
        <f>"328.67"</f>
        <v>328.67</v>
      </c>
      <c r="L28" s="15" t="str">
        <f>"181.01"</f>
        <v>181.01</v>
      </c>
      <c r="M28" s="15" t="str">
        <f>"180.97"</f>
        <v>180.97</v>
      </c>
      <c r="N28" s="15"/>
      <c r="O28" s="15"/>
      <c r="P28" s="15"/>
      <c r="Q28" s="15"/>
      <c r="R28" s="15"/>
      <c r="S28" s="15"/>
      <c r="T28" s="15"/>
      <c r="U28" s="15" t="str">
        <f>"130.92"</f>
        <v>130.92</v>
      </c>
      <c r="V28" s="15" t="str">
        <f>"184.04"</f>
        <v>184.04</v>
      </c>
      <c r="W28" s="15"/>
      <c r="X28" s="15" t="str">
        <f>"141.38"</f>
        <v>141.38</v>
      </c>
      <c r="Y28" s="15" t="str">
        <f>"91.37"</f>
        <v>91.37</v>
      </c>
      <c r="Z28" s="15"/>
      <c r="AA28" s="15" t="str">
        <f>"108.08"</f>
        <v>108.08</v>
      </c>
    </row>
    <row r="29" spans="1:27">
      <c r="A29" s="6">
        <v>27</v>
      </c>
      <c r="B29" s="6">
        <v>4149</v>
      </c>
      <c r="C29" s="7" t="s">
        <v>393</v>
      </c>
      <c r="D29" s="6" t="s">
        <v>24</v>
      </c>
      <c r="E29" s="6" t="str">
        <f>"99.75"</f>
        <v>99.75</v>
      </c>
      <c r="F29" s="6"/>
      <c r="G29" s="2">
        <v>99.75</v>
      </c>
      <c r="H29" s="8"/>
      <c r="I29" s="6">
        <v>3</v>
      </c>
      <c r="J29" s="8">
        <v>2017</v>
      </c>
      <c r="K29" s="15" t="str">
        <f>"137.99"</f>
        <v>137.99</v>
      </c>
      <c r="L29" s="15"/>
      <c r="M29" s="15"/>
      <c r="N29" s="15" t="str">
        <f>"79.20"</f>
        <v>79.20</v>
      </c>
      <c r="O29" s="15"/>
      <c r="P29" s="15"/>
      <c r="Q29" s="15"/>
      <c r="R29" s="15"/>
      <c r="S29" s="15"/>
      <c r="T29" s="15"/>
      <c r="U29" s="15"/>
      <c r="V29" s="15"/>
      <c r="W29" s="15" t="str">
        <f>"120.30"</f>
        <v>120.30</v>
      </c>
      <c r="X29" s="15"/>
      <c r="Y29" s="15"/>
      <c r="Z29" s="15"/>
      <c r="AA29" s="15"/>
    </row>
    <row r="30" spans="1:27">
      <c r="A30" s="6">
        <v>28</v>
      </c>
      <c r="B30" s="6">
        <v>8326</v>
      </c>
      <c r="C30" s="7" t="s">
        <v>141</v>
      </c>
      <c r="D30" s="6" t="s">
        <v>18</v>
      </c>
      <c r="E30" s="6" t="str">
        <f>"87.81"</f>
        <v>87.81</v>
      </c>
      <c r="F30" s="6"/>
      <c r="G30" s="2">
        <v>101.81</v>
      </c>
      <c r="H30" s="8" t="s">
        <v>420</v>
      </c>
      <c r="I30" s="6">
        <v>2</v>
      </c>
      <c r="J30" s="8">
        <v>2017</v>
      </c>
      <c r="K30" s="15" t="str">
        <f>"87.81"</f>
        <v>87.81</v>
      </c>
      <c r="L30" s="15"/>
      <c r="M30" s="15"/>
      <c r="N30" s="15"/>
      <c r="O30" s="15"/>
      <c r="P30" s="15"/>
      <c r="Q30" s="15"/>
      <c r="R30" s="15"/>
      <c r="S30" s="15"/>
      <c r="T30" s="15" t="str">
        <f>"221.34"</f>
        <v>221.34</v>
      </c>
      <c r="U30" s="15"/>
      <c r="V30" s="15"/>
      <c r="W30" s="15"/>
      <c r="X30" s="15"/>
      <c r="Y30" s="15"/>
      <c r="Z30" s="15"/>
      <c r="AA30" s="15"/>
    </row>
    <row r="31" spans="1:27">
      <c r="A31" s="6">
        <v>29</v>
      </c>
      <c r="B31" s="6">
        <v>7795</v>
      </c>
      <c r="C31" s="7" t="s">
        <v>109</v>
      </c>
      <c r="D31" s="6" t="s">
        <v>18</v>
      </c>
      <c r="E31" s="6" t="str">
        <f>"95.67"</f>
        <v>95.67</v>
      </c>
      <c r="F31" s="6"/>
      <c r="G31" s="2">
        <v>101.98</v>
      </c>
      <c r="H31" s="8"/>
      <c r="I31" s="6">
        <v>3</v>
      </c>
      <c r="J31" s="8">
        <v>2017</v>
      </c>
      <c r="K31" s="15" t="str">
        <f>"95.67"</f>
        <v>95.67</v>
      </c>
      <c r="L31" s="15"/>
      <c r="M31" s="15"/>
      <c r="N31" s="15"/>
      <c r="O31" s="15"/>
      <c r="P31" s="15"/>
      <c r="Q31" s="15" t="str">
        <f>"124.83"</f>
        <v>124.83</v>
      </c>
      <c r="R31" s="15" t="str">
        <f>"96.40"</f>
        <v>96.40</v>
      </c>
      <c r="S31" s="15"/>
      <c r="T31" s="15" t="str">
        <f>"107.56"</f>
        <v>107.56</v>
      </c>
      <c r="U31" s="15"/>
      <c r="V31" s="15"/>
      <c r="W31" s="15"/>
      <c r="X31" s="15"/>
      <c r="Y31" s="15"/>
      <c r="Z31" s="15"/>
      <c r="AA31" s="15"/>
    </row>
    <row r="32" spans="1:27">
      <c r="A32" s="6">
        <v>30</v>
      </c>
      <c r="B32" s="6">
        <v>10333</v>
      </c>
      <c r="C32" s="7" t="s">
        <v>142</v>
      </c>
      <c r="D32" s="6" t="s">
        <v>27</v>
      </c>
      <c r="E32" s="6" t="str">
        <f>"60.83"</f>
        <v>60.83</v>
      </c>
      <c r="F32" s="6"/>
      <c r="G32" s="2">
        <v>103.52</v>
      </c>
      <c r="H32" s="8" t="s">
        <v>11</v>
      </c>
      <c r="I32" s="6">
        <v>2</v>
      </c>
      <c r="J32" s="8">
        <v>2017</v>
      </c>
      <c r="K32" s="15" t="str">
        <f>"60.83"</f>
        <v>60.83</v>
      </c>
      <c r="L32" s="15"/>
      <c r="M32" s="15"/>
      <c r="N32" s="15"/>
      <c r="O32" s="15"/>
      <c r="P32" s="15"/>
      <c r="Q32" s="15" t="str">
        <f>"75.52"</f>
        <v>75.52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>
      <c r="A33" s="6">
        <v>31</v>
      </c>
      <c r="B33" s="6">
        <v>8341</v>
      </c>
      <c r="C33" s="7" t="s">
        <v>135</v>
      </c>
      <c r="D33" s="6" t="s">
        <v>13</v>
      </c>
      <c r="E33" s="6" t="str">
        <f>"95.85"</f>
        <v>95.85</v>
      </c>
      <c r="F33" s="6"/>
      <c r="G33" s="2">
        <v>107.81</v>
      </c>
      <c r="H33" s="8"/>
      <c r="I33" s="6">
        <v>3</v>
      </c>
      <c r="J33" s="8">
        <v>2017</v>
      </c>
      <c r="K33" s="15" t="str">
        <f>"95.85"</f>
        <v>95.85</v>
      </c>
      <c r="L33" s="15"/>
      <c r="M33" s="15"/>
      <c r="N33" s="15"/>
      <c r="O33" s="15"/>
      <c r="P33" s="15"/>
      <c r="Q33" s="15" t="str">
        <f>"108.62"</f>
        <v>108.62</v>
      </c>
      <c r="R33" s="15"/>
      <c r="S33" s="15"/>
      <c r="T33" s="15" t="str">
        <f>"130.54"</f>
        <v>130.54</v>
      </c>
      <c r="U33" s="15"/>
      <c r="V33" s="15"/>
      <c r="W33" s="15"/>
      <c r="X33" s="15"/>
      <c r="Y33" s="15"/>
      <c r="Z33" s="15"/>
      <c r="AA33" s="15" t="str">
        <f>"106.99"</f>
        <v>106.99</v>
      </c>
    </row>
    <row r="34" spans="1:27">
      <c r="A34" s="6">
        <v>32</v>
      </c>
      <c r="B34" s="6">
        <v>1835</v>
      </c>
      <c r="C34" s="7" t="s">
        <v>162</v>
      </c>
      <c r="D34" s="6" t="s">
        <v>61</v>
      </c>
      <c r="E34" s="6" t="str">
        <f>"125.53"</f>
        <v>125.53</v>
      </c>
      <c r="F34" s="6"/>
      <c r="G34" s="2">
        <v>107.87</v>
      </c>
      <c r="H34" s="8" t="s">
        <v>11</v>
      </c>
      <c r="I34" s="6">
        <v>2</v>
      </c>
      <c r="J34" s="8">
        <v>2017</v>
      </c>
      <c r="K34" s="15" t="str">
        <f>"171.19"</f>
        <v>171.19</v>
      </c>
      <c r="L34" s="15"/>
      <c r="M34" s="15"/>
      <c r="N34" s="15" t="str">
        <f>"79.87"</f>
        <v>79.87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>
      <c r="A35" s="6">
        <v>33</v>
      </c>
      <c r="B35" s="6">
        <v>5486</v>
      </c>
      <c r="C35" s="7" t="s">
        <v>165</v>
      </c>
      <c r="D35" s="6" t="s">
        <v>18</v>
      </c>
      <c r="E35" s="6" t="str">
        <f>"101.04"</f>
        <v>101.04</v>
      </c>
      <c r="F35" s="6"/>
      <c r="G35" s="2">
        <v>108.3</v>
      </c>
      <c r="H35" s="8"/>
      <c r="I35" s="6">
        <v>3</v>
      </c>
      <c r="J35" s="8">
        <v>2017</v>
      </c>
      <c r="K35" s="15" t="str">
        <f>"111.89"</f>
        <v>111.89</v>
      </c>
      <c r="L35" s="15"/>
      <c r="M35" s="15"/>
      <c r="N35" s="15"/>
      <c r="O35" s="15"/>
      <c r="P35" s="15"/>
      <c r="Q35" s="15" t="str">
        <f>"90.18"</f>
        <v>90.18</v>
      </c>
      <c r="R35" s="15"/>
      <c r="S35" s="15"/>
      <c r="T35" s="15" t="str">
        <f>"126.42"</f>
        <v>126.42</v>
      </c>
      <c r="U35" s="15"/>
      <c r="V35" s="15"/>
      <c r="W35" s="15"/>
      <c r="X35" s="15"/>
      <c r="Y35" s="15"/>
      <c r="Z35" s="15"/>
      <c r="AA35" s="15"/>
    </row>
    <row r="36" spans="1:27">
      <c r="A36" s="6">
        <v>34</v>
      </c>
      <c r="B36" s="6">
        <v>10423</v>
      </c>
      <c r="C36" s="7" t="s">
        <v>130</v>
      </c>
      <c r="D36" s="6" t="s">
        <v>13</v>
      </c>
      <c r="E36" s="6" t="str">
        <f>"108.55"</f>
        <v>108.55</v>
      </c>
      <c r="F36" s="6"/>
      <c r="G36" s="2">
        <v>108.55</v>
      </c>
      <c r="H36" s="8"/>
      <c r="I36" s="6">
        <v>3</v>
      </c>
      <c r="J36" s="8">
        <v>2017</v>
      </c>
      <c r="K36" s="15" t="str">
        <f>"178.20"</f>
        <v>178.20</v>
      </c>
      <c r="L36" s="15"/>
      <c r="M36" s="15"/>
      <c r="N36" s="15"/>
      <c r="O36" s="15"/>
      <c r="P36" s="15"/>
      <c r="Q36" s="15" t="str">
        <f>"148.80"</f>
        <v>148.80</v>
      </c>
      <c r="R36" s="15" t="str">
        <f>"117.35"</f>
        <v>117.35</v>
      </c>
      <c r="S36" s="15"/>
      <c r="T36" s="15" t="str">
        <f>"228.12"</f>
        <v>228.12</v>
      </c>
      <c r="U36" s="15"/>
      <c r="V36" s="15"/>
      <c r="W36" s="15"/>
      <c r="X36" s="15"/>
      <c r="Y36" s="15"/>
      <c r="Z36" s="15"/>
      <c r="AA36" s="15" t="str">
        <f>"99.74"</f>
        <v>99.74</v>
      </c>
    </row>
    <row r="37" spans="1:27">
      <c r="A37" s="6">
        <v>35</v>
      </c>
      <c r="B37" s="6">
        <v>6652</v>
      </c>
      <c r="C37" s="7" t="s">
        <v>103</v>
      </c>
      <c r="D37" s="6" t="s">
        <v>13</v>
      </c>
      <c r="E37" s="6" t="str">
        <f>"114.12"</f>
        <v>114.12</v>
      </c>
      <c r="F37" s="6"/>
      <c r="G37" s="2">
        <v>114.12</v>
      </c>
      <c r="H37" s="8"/>
      <c r="I37" s="6">
        <v>3</v>
      </c>
      <c r="J37" s="8">
        <v>2017</v>
      </c>
      <c r="K37" s="15" t="str">
        <f>"253.91"</f>
        <v>253.91</v>
      </c>
      <c r="L37" s="15"/>
      <c r="M37" s="15"/>
      <c r="N37" s="15" t="str">
        <f>"97.10"</f>
        <v>97.10</v>
      </c>
      <c r="O37" s="15"/>
      <c r="P37" s="15"/>
      <c r="Q37" s="15" t="str">
        <f>"209.14"</f>
        <v>209.14</v>
      </c>
      <c r="R37" s="15" t="str">
        <f>"183.89"</f>
        <v>183.89</v>
      </c>
      <c r="S37" s="15"/>
      <c r="T37" s="15" t="str">
        <f>"312.42"</f>
        <v>312.42</v>
      </c>
      <c r="U37" s="15"/>
      <c r="V37" s="15"/>
      <c r="W37" s="15"/>
      <c r="X37" s="15"/>
      <c r="Y37" s="15"/>
      <c r="Z37" s="15"/>
      <c r="AA37" s="15" t="str">
        <f>"131.14"</f>
        <v>131.14</v>
      </c>
    </row>
    <row r="38" spans="1:27">
      <c r="A38" s="6">
        <v>36</v>
      </c>
      <c r="B38" s="6">
        <v>7708</v>
      </c>
      <c r="C38" s="7" t="s">
        <v>155</v>
      </c>
      <c r="D38" s="6" t="s">
        <v>18</v>
      </c>
      <c r="E38" s="6" t="str">
        <f>"104.83"</f>
        <v>104.83</v>
      </c>
      <c r="F38" s="6"/>
      <c r="G38" s="2">
        <v>118.83</v>
      </c>
      <c r="H38" s="8" t="s">
        <v>418</v>
      </c>
      <c r="I38" s="6">
        <v>2</v>
      </c>
      <c r="J38" s="8">
        <v>2017</v>
      </c>
      <c r="K38" s="15" t="str">
        <f>"104.83"</f>
        <v>104.83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 t="str">
        <f>"189.62"</f>
        <v>189.62</v>
      </c>
    </row>
    <row r="39" spans="1:27">
      <c r="A39" s="6">
        <v>37</v>
      </c>
      <c r="B39" s="6">
        <v>5734</v>
      </c>
      <c r="C39" s="7" t="s">
        <v>148</v>
      </c>
      <c r="D39" s="6" t="s">
        <v>13</v>
      </c>
      <c r="E39" s="6" t="str">
        <f>"117.73"</f>
        <v>117.73</v>
      </c>
      <c r="F39" s="6"/>
      <c r="G39" s="2">
        <v>118.93</v>
      </c>
      <c r="H39" s="8"/>
      <c r="I39" s="6">
        <v>3</v>
      </c>
      <c r="J39" s="8">
        <v>2017</v>
      </c>
      <c r="K39" s="15" t="str">
        <f>"118.55"</f>
        <v>118.55</v>
      </c>
      <c r="L39" s="15"/>
      <c r="M39" s="15" t="str">
        <f>"123.31"</f>
        <v>123.31</v>
      </c>
      <c r="N39" s="15"/>
      <c r="O39" s="15"/>
      <c r="P39" s="15"/>
      <c r="Q39" s="15"/>
      <c r="R39" s="15"/>
      <c r="S39" s="15"/>
      <c r="T39" s="15"/>
      <c r="U39" s="15"/>
      <c r="V39" s="15" t="str">
        <f>"120.94"</f>
        <v>120.94</v>
      </c>
      <c r="W39" s="15"/>
      <c r="X39" s="15"/>
      <c r="Y39" s="15"/>
      <c r="Z39" s="15"/>
      <c r="AA39" s="15" t="str">
        <f>"116.91"</f>
        <v>116.91</v>
      </c>
    </row>
    <row r="40" spans="1:27">
      <c r="A40" s="6">
        <v>38</v>
      </c>
      <c r="B40" s="6">
        <v>7567</v>
      </c>
      <c r="C40" s="7" t="s">
        <v>137</v>
      </c>
      <c r="D40" s="6" t="s">
        <v>13</v>
      </c>
      <c r="E40" s="6" t="str">
        <f>"119.02"</f>
        <v>119.02</v>
      </c>
      <c r="F40" s="6"/>
      <c r="G40" s="2">
        <v>119.34</v>
      </c>
      <c r="H40" s="8"/>
      <c r="I40" s="6">
        <v>3</v>
      </c>
      <c r="J40" s="8">
        <v>2017</v>
      </c>
      <c r="K40" s="15" t="str">
        <f>"122.82"</f>
        <v>122.82</v>
      </c>
      <c r="L40" s="15"/>
      <c r="M40" s="15" t="str">
        <f>"140.05"</f>
        <v>140.05</v>
      </c>
      <c r="N40" s="15"/>
      <c r="O40" s="15"/>
      <c r="P40" s="15"/>
      <c r="Q40" s="15"/>
      <c r="R40" s="15"/>
      <c r="S40" s="15"/>
      <c r="T40" s="15"/>
      <c r="U40" s="15"/>
      <c r="V40" s="15" t="str">
        <f>"115.21"</f>
        <v>115.21</v>
      </c>
      <c r="W40" s="15"/>
      <c r="X40" s="15"/>
      <c r="Y40" s="15"/>
      <c r="Z40" s="15"/>
      <c r="AA40" s="15" t="str">
        <f>"123.47"</f>
        <v>123.47</v>
      </c>
    </row>
    <row r="41" spans="1:27">
      <c r="A41" s="6">
        <v>39</v>
      </c>
      <c r="B41" s="6">
        <v>10863</v>
      </c>
      <c r="C41" s="7" t="s">
        <v>205</v>
      </c>
      <c r="D41" s="6" t="s">
        <v>13</v>
      </c>
      <c r="E41" s="6" t="str">
        <f>"120.19"</f>
        <v>120.19</v>
      </c>
      <c r="F41" s="6"/>
      <c r="G41" s="2">
        <v>120.19</v>
      </c>
      <c r="H41" s="8"/>
      <c r="I41" s="6">
        <v>3</v>
      </c>
      <c r="J41" s="8">
        <v>2017</v>
      </c>
      <c r="K41" s="15" t="str">
        <f>"216.21"</f>
        <v>216.21</v>
      </c>
      <c r="L41" s="15"/>
      <c r="M41" s="15" t="str">
        <f>"158.82"</f>
        <v>158.82</v>
      </c>
      <c r="N41" s="15" t="str">
        <f>"81.56"</f>
        <v>81.56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>
      <c r="A42" s="6">
        <v>40</v>
      </c>
      <c r="B42" s="6">
        <v>4368</v>
      </c>
      <c r="C42" s="7" t="s">
        <v>107</v>
      </c>
      <c r="D42" s="6" t="s">
        <v>39</v>
      </c>
      <c r="E42" s="6" t="str">
        <f>"121.34"</f>
        <v>121.34</v>
      </c>
      <c r="F42" s="6"/>
      <c r="G42" s="2">
        <v>121.34</v>
      </c>
      <c r="H42" s="8"/>
      <c r="I42" s="6">
        <v>3</v>
      </c>
      <c r="J42" s="8">
        <v>2017</v>
      </c>
      <c r="K42" s="15" t="str">
        <f>"133.26"</f>
        <v>133.26</v>
      </c>
      <c r="L42" s="15"/>
      <c r="M42" s="15"/>
      <c r="N42" s="15" t="str">
        <f>"111.02"</f>
        <v>111.02</v>
      </c>
      <c r="O42" s="15"/>
      <c r="P42" s="15"/>
      <c r="Q42" s="15"/>
      <c r="R42" s="15"/>
      <c r="S42" s="15" t="str">
        <f>"131.94"</f>
        <v>131.94</v>
      </c>
      <c r="T42" s="15"/>
      <c r="U42" s="15"/>
      <c r="V42" s="15"/>
      <c r="W42" s="15" t="str">
        <f>"131.65"</f>
        <v>131.65</v>
      </c>
      <c r="X42" s="15"/>
      <c r="Y42" s="15"/>
      <c r="Z42" s="15"/>
      <c r="AA42" s="15"/>
    </row>
    <row r="43" spans="1:27">
      <c r="A43" s="6">
        <v>41</v>
      </c>
      <c r="B43" s="6">
        <v>7994</v>
      </c>
      <c r="C43" s="7" t="s">
        <v>104</v>
      </c>
      <c r="D43" s="6" t="s">
        <v>25</v>
      </c>
      <c r="E43" s="6" t="str">
        <f>"97.47"</f>
        <v>97.47</v>
      </c>
      <c r="F43" s="6"/>
      <c r="G43" s="2">
        <v>125.47</v>
      </c>
      <c r="H43" s="8" t="s">
        <v>15</v>
      </c>
      <c r="I43" s="6">
        <v>1</v>
      </c>
      <c r="J43" s="8">
        <v>2017</v>
      </c>
      <c r="K43" s="15" t="str">
        <f>"97.47"</f>
        <v>97.47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>
      <c r="A44" s="6">
        <v>42</v>
      </c>
      <c r="B44" s="6">
        <v>5736</v>
      </c>
      <c r="C44" s="7" t="s">
        <v>161</v>
      </c>
      <c r="D44" s="6" t="s">
        <v>16</v>
      </c>
      <c r="E44" s="6" t="str">
        <f>"97.86"</f>
        <v>97.86</v>
      </c>
      <c r="F44" s="6"/>
      <c r="G44" s="2">
        <v>125.86</v>
      </c>
      <c r="H44" s="8" t="s">
        <v>15</v>
      </c>
      <c r="I44" s="6">
        <v>1</v>
      </c>
      <c r="J44" s="8">
        <v>2017</v>
      </c>
      <c r="K44" s="15" t="str">
        <f>"97.86"</f>
        <v>97.86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>
      <c r="A45" s="6">
        <v>43</v>
      </c>
      <c r="B45" s="6">
        <v>5095</v>
      </c>
      <c r="C45" s="7" t="s">
        <v>164</v>
      </c>
      <c r="D45" s="6" t="s">
        <v>17</v>
      </c>
      <c r="E45" s="6" t="str">
        <f>"97.93"</f>
        <v>97.93</v>
      </c>
      <c r="F45" s="6"/>
      <c r="G45" s="2">
        <v>125.93</v>
      </c>
      <c r="H45" s="8" t="s">
        <v>15</v>
      </c>
      <c r="I45" s="6">
        <v>1</v>
      </c>
      <c r="J45" s="8">
        <v>2017</v>
      </c>
      <c r="K45" s="15" t="str">
        <f>"97.93"</f>
        <v>97.93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>
      <c r="A46" s="6">
        <v>44</v>
      </c>
      <c r="B46" s="6">
        <v>2418</v>
      </c>
      <c r="C46" s="7" t="s">
        <v>119</v>
      </c>
      <c r="D46" s="6" t="s">
        <v>13</v>
      </c>
      <c r="E46" s="6" t="str">
        <f>"110.60"</f>
        <v>110.60</v>
      </c>
      <c r="F46" s="6"/>
      <c r="G46" s="2">
        <v>126.25</v>
      </c>
      <c r="H46" s="8" t="s">
        <v>11</v>
      </c>
      <c r="I46" s="6">
        <v>2</v>
      </c>
      <c r="J46" s="8">
        <v>2017</v>
      </c>
      <c r="K46" s="15" t="str">
        <f>"122.94"</f>
        <v>122.94</v>
      </c>
      <c r="L46" s="15"/>
      <c r="M46" s="15"/>
      <c r="N46" s="15" t="str">
        <f>"98.25"</f>
        <v>98.25</v>
      </c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>
      <c r="A47" s="6">
        <v>45</v>
      </c>
      <c r="B47" s="6">
        <v>3308</v>
      </c>
      <c r="C47" s="7" t="s">
        <v>136</v>
      </c>
      <c r="D47" s="6" t="s">
        <v>28</v>
      </c>
      <c r="E47" s="6" t="str">
        <f>"127.70"</f>
        <v>127.70</v>
      </c>
      <c r="F47" s="6"/>
      <c r="G47" s="2">
        <v>127.7</v>
      </c>
      <c r="H47" s="8"/>
      <c r="I47" s="6">
        <v>3</v>
      </c>
      <c r="J47" s="8">
        <v>2017</v>
      </c>
      <c r="K47" s="15" t="str">
        <f>"139.21"</f>
        <v>139.21</v>
      </c>
      <c r="L47" s="15"/>
      <c r="M47" s="15"/>
      <c r="N47" s="15"/>
      <c r="O47" s="15" t="str">
        <f>"116.36"</f>
        <v>116.36</v>
      </c>
      <c r="P47" s="15"/>
      <c r="Q47" s="15"/>
      <c r="R47" s="15"/>
      <c r="S47" s="15" t="str">
        <f>"139.04"</f>
        <v>139.04</v>
      </c>
      <c r="T47" s="15"/>
      <c r="U47" s="15"/>
      <c r="V47" s="15"/>
      <c r="W47" s="15"/>
      <c r="X47" s="15"/>
      <c r="Y47" s="15" t="str">
        <f>"163.66"</f>
        <v>163.66</v>
      </c>
      <c r="Z47" s="15"/>
      <c r="AA47" s="15"/>
    </row>
    <row r="48" spans="1:27">
      <c r="A48" s="6">
        <v>46</v>
      </c>
      <c r="B48" s="6">
        <v>4381</v>
      </c>
      <c r="C48" s="7" t="s">
        <v>182</v>
      </c>
      <c r="D48" s="6" t="s">
        <v>55</v>
      </c>
      <c r="E48" s="6" t="str">
        <f>"124.88"</f>
        <v>124.88</v>
      </c>
      <c r="F48" s="6"/>
      <c r="G48" s="2">
        <v>128.58000000000001</v>
      </c>
      <c r="H48" s="8" t="s">
        <v>11</v>
      </c>
      <c r="I48" s="6">
        <v>2</v>
      </c>
      <c r="J48" s="8">
        <v>2018</v>
      </c>
      <c r="K48" s="15" t="str">
        <f>"149.17"</f>
        <v>149.17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 t="str">
        <f>"100.58"</f>
        <v>100.58</v>
      </c>
      <c r="X48" s="15"/>
      <c r="Y48" s="15"/>
      <c r="Z48" s="15"/>
      <c r="AA48" s="15"/>
    </row>
    <row r="49" spans="1:27">
      <c r="A49" s="6">
        <v>47</v>
      </c>
      <c r="B49" s="6">
        <v>3302</v>
      </c>
      <c r="C49" s="7" t="s">
        <v>266</v>
      </c>
      <c r="D49" s="6" t="s">
        <v>17</v>
      </c>
      <c r="E49" s="6" t="str">
        <f>"102.39"</f>
        <v>102.39</v>
      </c>
      <c r="F49" s="6"/>
      <c r="G49" s="2">
        <v>130.38999999999999</v>
      </c>
      <c r="H49" s="8" t="s">
        <v>15</v>
      </c>
      <c r="I49" s="6">
        <v>1</v>
      </c>
      <c r="J49" s="8">
        <v>2017</v>
      </c>
      <c r="K49" s="15" t="str">
        <f>"102.39"</f>
        <v>102.39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>
      <c r="A50" s="6">
        <v>48</v>
      </c>
      <c r="B50" s="6">
        <v>10877</v>
      </c>
      <c r="C50" s="7" t="s">
        <v>159</v>
      </c>
      <c r="D50" s="6" t="s">
        <v>13</v>
      </c>
      <c r="E50" s="6" t="str">
        <f>"132.17"</f>
        <v>132.17</v>
      </c>
      <c r="F50" s="6"/>
      <c r="G50" s="2">
        <v>132.16999999999999</v>
      </c>
      <c r="H50" s="8"/>
      <c r="I50" s="6">
        <v>3</v>
      </c>
      <c r="J50" s="8">
        <v>2017</v>
      </c>
      <c r="K50" s="15" t="str">
        <f>"313.44"</f>
        <v>313.44</v>
      </c>
      <c r="L50" s="15" t="str">
        <f>"184.18"</f>
        <v>184.18</v>
      </c>
      <c r="M50" s="15" t="str">
        <f>"400.87"</f>
        <v>400.87</v>
      </c>
      <c r="N50" s="15"/>
      <c r="O50" s="15"/>
      <c r="P50" s="15"/>
      <c r="Q50" s="15"/>
      <c r="R50" s="15"/>
      <c r="S50" s="15"/>
      <c r="T50" s="15"/>
      <c r="U50" s="15" t="str">
        <f>"131.57"</f>
        <v>131.57</v>
      </c>
      <c r="V50" s="15" t="str">
        <f>"285.20"</f>
        <v>285.20</v>
      </c>
      <c r="W50" s="15"/>
      <c r="X50" s="15"/>
      <c r="Y50" s="15" t="str">
        <f>"132.76"</f>
        <v>132.76</v>
      </c>
      <c r="Z50" s="15"/>
      <c r="AA50" s="15" t="str">
        <f>"139.82"</f>
        <v>139.82</v>
      </c>
    </row>
    <row r="51" spans="1:27">
      <c r="A51" s="6">
        <v>49</v>
      </c>
      <c r="B51" s="6">
        <v>3322</v>
      </c>
      <c r="C51" s="7" t="s">
        <v>105</v>
      </c>
      <c r="D51" s="6" t="s">
        <v>106</v>
      </c>
      <c r="E51" s="6" t="str">
        <f>"106.29"</f>
        <v>106.29</v>
      </c>
      <c r="F51" s="6"/>
      <c r="G51" s="2">
        <v>134.29</v>
      </c>
      <c r="H51" s="8" t="s">
        <v>15</v>
      </c>
      <c r="I51" s="6">
        <v>1</v>
      </c>
      <c r="J51" s="8">
        <v>2017</v>
      </c>
      <c r="K51" s="15" t="str">
        <f>"106.29"</f>
        <v>106.29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>
      <c r="A52" s="6">
        <v>50</v>
      </c>
      <c r="B52" s="6">
        <v>1957</v>
      </c>
      <c r="C52" s="6" t="s">
        <v>127</v>
      </c>
      <c r="D52" s="6" t="s">
        <v>16</v>
      </c>
      <c r="E52" s="22" t="str">
        <f>"134.36"</f>
        <v>134.36</v>
      </c>
      <c r="F52" s="8" t="s">
        <v>15</v>
      </c>
      <c r="G52" s="23">
        <v>134.36000000000001</v>
      </c>
      <c r="H52" s="8" t="s">
        <v>15</v>
      </c>
      <c r="I52" s="6">
        <v>1</v>
      </c>
      <c r="J52" s="8">
        <v>2017</v>
      </c>
      <c r="K52" s="15">
        <v>106.36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6"/>
    </row>
    <row r="53" spans="1:27">
      <c r="A53" s="6">
        <v>51</v>
      </c>
      <c r="B53" s="6">
        <v>11074</v>
      </c>
      <c r="C53" s="7" t="s">
        <v>158</v>
      </c>
      <c r="D53" s="6" t="s">
        <v>20</v>
      </c>
      <c r="E53" s="6" t="str">
        <f>"135.12"</f>
        <v>135.12</v>
      </c>
      <c r="F53" s="6"/>
      <c r="G53" s="2">
        <v>135.12</v>
      </c>
      <c r="H53" s="8" t="s">
        <v>11</v>
      </c>
      <c r="I53" s="6">
        <v>4</v>
      </c>
      <c r="J53" s="8">
        <v>2017</v>
      </c>
      <c r="K53" s="15"/>
      <c r="L53" s="15"/>
      <c r="M53" s="15"/>
      <c r="N53" s="15"/>
      <c r="O53" s="15"/>
      <c r="P53" s="15" t="str">
        <f>"107.12"</f>
        <v>107.12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>
      <c r="A54" s="6">
        <v>52</v>
      </c>
      <c r="B54" s="6">
        <v>8622</v>
      </c>
      <c r="C54" s="7" t="s">
        <v>178</v>
      </c>
      <c r="D54" s="6" t="s">
        <v>55</v>
      </c>
      <c r="E54" s="6" t="str">
        <f>"98.01"</f>
        <v>98.01</v>
      </c>
      <c r="F54" s="6"/>
      <c r="G54" s="2">
        <v>135.55000000000001</v>
      </c>
      <c r="H54" s="8"/>
      <c r="I54" s="6">
        <v>3</v>
      </c>
      <c r="J54" s="8">
        <v>2018</v>
      </c>
      <c r="K54" s="15" t="str">
        <f>"98.01"</f>
        <v>98.01</v>
      </c>
      <c r="L54" s="15"/>
      <c r="M54" s="15" t="str">
        <f>"119.80"</f>
        <v>119.80</v>
      </c>
      <c r="N54" s="15"/>
      <c r="O54" s="15"/>
      <c r="P54" s="15"/>
      <c r="Q54" s="15"/>
      <c r="R54" s="15"/>
      <c r="S54" s="15"/>
      <c r="T54" s="15"/>
      <c r="U54" s="15"/>
      <c r="V54" s="15" t="str">
        <f>"151.29"</f>
        <v>151.29</v>
      </c>
      <c r="W54" s="15"/>
      <c r="X54" s="15"/>
      <c r="Y54" s="15"/>
      <c r="Z54" s="15"/>
      <c r="AA54" s="15"/>
    </row>
    <row r="55" spans="1:27">
      <c r="A55" s="6">
        <v>53</v>
      </c>
      <c r="B55" s="6">
        <v>5490</v>
      </c>
      <c r="C55" s="7" t="s">
        <v>139</v>
      </c>
      <c r="D55" s="6" t="s">
        <v>18</v>
      </c>
      <c r="E55" s="6" t="str">
        <f>"101.33"</f>
        <v>101.33</v>
      </c>
      <c r="F55" s="6"/>
      <c r="G55" s="2">
        <v>136.57</v>
      </c>
      <c r="H55" s="8"/>
      <c r="I55" s="6">
        <v>3</v>
      </c>
      <c r="J55" s="8">
        <v>2017</v>
      </c>
      <c r="K55" s="15" t="str">
        <f>"101.33"</f>
        <v>101.33</v>
      </c>
      <c r="L55" s="15"/>
      <c r="M55" s="15"/>
      <c r="N55" s="15"/>
      <c r="O55" s="15"/>
      <c r="P55" s="15"/>
      <c r="Q55" s="15" t="str">
        <f>"154.40"</f>
        <v>154.40</v>
      </c>
      <c r="R55" s="15" t="str">
        <f>"118.74"</f>
        <v>118.74</v>
      </c>
      <c r="S55" s="15"/>
      <c r="T55" s="15" t="str">
        <f>"248.46"</f>
        <v>248.46</v>
      </c>
      <c r="U55" s="15"/>
      <c r="V55" s="15"/>
      <c r="W55" s="15"/>
      <c r="X55" s="15"/>
      <c r="Y55" s="15"/>
      <c r="Z55" s="15"/>
      <c r="AA55" s="15"/>
    </row>
    <row r="56" spans="1:27">
      <c r="A56" s="6">
        <v>54</v>
      </c>
      <c r="B56" s="6">
        <v>3875</v>
      </c>
      <c r="C56" s="7" t="s">
        <v>149</v>
      </c>
      <c r="D56" s="6" t="s">
        <v>65</v>
      </c>
      <c r="E56" s="6" t="str">
        <f>"109.22"</f>
        <v>109.22</v>
      </c>
      <c r="F56" s="6"/>
      <c r="G56" s="2">
        <v>137.22</v>
      </c>
      <c r="H56" s="8" t="s">
        <v>15</v>
      </c>
      <c r="I56" s="6">
        <v>1</v>
      </c>
      <c r="J56" s="8">
        <v>2018</v>
      </c>
      <c r="K56" s="15" t="str">
        <f>"109.22"</f>
        <v>109.22</v>
      </c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>
      <c r="A57" s="6">
        <v>55</v>
      </c>
      <c r="B57" s="6">
        <v>3668</v>
      </c>
      <c r="C57" s="7" t="s">
        <v>144</v>
      </c>
      <c r="D57" s="6" t="s">
        <v>78</v>
      </c>
      <c r="E57" s="6" t="str">
        <f>"133.20"</f>
        <v>133.20</v>
      </c>
      <c r="F57" s="6"/>
      <c r="G57" s="2">
        <v>138.13999999999999</v>
      </c>
      <c r="H57" s="8" t="s">
        <v>11</v>
      </c>
      <c r="I57" s="6">
        <v>2</v>
      </c>
      <c r="J57" s="8">
        <v>2017</v>
      </c>
      <c r="K57" s="15" t="str">
        <f>"156.25"</f>
        <v>156.25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 t="str">
        <f>"110.14"</f>
        <v>110.14</v>
      </c>
      <c r="X57" s="15"/>
      <c r="Y57" s="15"/>
      <c r="Z57" s="15"/>
      <c r="AA57" s="15"/>
    </row>
    <row r="58" spans="1:27">
      <c r="A58" s="6">
        <v>56</v>
      </c>
      <c r="B58" s="6">
        <v>10176</v>
      </c>
      <c r="C58" s="7" t="s">
        <v>134</v>
      </c>
      <c r="D58" s="6" t="s">
        <v>13</v>
      </c>
      <c r="E58" s="6" t="str">
        <f>"130.04"</f>
        <v>130.04</v>
      </c>
      <c r="F58" s="6"/>
      <c r="G58" s="2">
        <v>138.62</v>
      </c>
      <c r="H58" s="8"/>
      <c r="I58" s="6">
        <v>3</v>
      </c>
      <c r="J58" s="8">
        <v>2017</v>
      </c>
      <c r="K58" s="15" t="str">
        <f>"139.70"</f>
        <v>139.70</v>
      </c>
      <c r="L58" s="15"/>
      <c r="M58" s="15" t="str">
        <f>"219.52"</f>
        <v>219.52</v>
      </c>
      <c r="N58" s="15"/>
      <c r="O58" s="15"/>
      <c r="P58" s="15"/>
      <c r="Q58" s="15"/>
      <c r="R58" s="15"/>
      <c r="S58" s="15"/>
      <c r="T58" s="15"/>
      <c r="U58" s="15"/>
      <c r="V58" s="15" t="str">
        <f>"221.11"</f>
        <v>221.11</v>
      </c>
      <c r="W58" s="15"/>
      <c r="X58" s="15"/>
      <c r="Y58" s="15" t="str">
        <f>"120.38"</f>
        <v>120.38</v>
      </c>
      <c r="Z58" s="15"/>
      <c r="AA58" s="15" t="str">
        <f>"156.85"</f>
        <v>156.85</v>
      </c>
    </row>
    <row r="59" spans="1:27">
      <c r="A59" s="6">
        <v>57</v>
      </c>
      <c r="B59" s="6">
        <v>7572</v>
      </c>
      <c r="C59" s="7" t="s">
        <v>118</v>
      </c>
      <c r="D59" s="6" t="s">
        <v>18</v>
      </c>
      <c r="E59" s="6" t="str">
        <f>"137.00"</f>
        <v>137.00</v>
      </c>
      <c r="F59" s="6"/>
      <c r="G59" s="2">
        <v>141.9</v>
      </c>
      <c r="H59" s="8"/>
      <c r="I59" s="6">
        <v>3</v>
      </c>
      <c r="J59" s="8">
        <v>2017</v>
      </c>
      <c r="K59" s="15" t="str">
        <f>"150.88"</f>
        <v>150.88</v>
      </c>
      <c r="L59" s="15"/>
      <c r="M59" s="15"/>
      <c r="N59" s="15"/>
      <c r="O59" s="15"/>
      <c r="P59" s="15"/>
      <c r="Q59" s="15" t="str">
        <f>"160.69"</f>
        <v>160.69</v>
      </c>
      <c r="R59" s="15" t="str">
        <f>"123.11"</f>
        <v>123.11</v>
      </c>
      <c r="S59" s="15"/>
      <c r="T59" s="15" t="str">
        <f>"223.10"</f>
        <v>223.10</v>
      </c>
      <c r="U59" s="15"/>
      <c r="V59" s="15"/>
      <c r="W59" s="15"/>
      <c r="X59" s="15"/>
      <c r="Y59" s="15"/>
      <c r="Z59" s="15"/>
      <c r="AA59" s="15"/>
    </row>
    <row r="60" spans="1:27">
      <c r="A60" s="6">
        <v>58</v>
      </c>
      <c r="B60" s="6">
        <v>10987</v>
      </c>
      <c r="C60" s="7" t="s">
        <v>207</v>
      </c>
      <c r="D60" s="6" t="s">
        <v>32</v>
      </c>
      <c r="E60" s="6" t="str">
        <f>"166.39"</f>
        <v>166.39</v>
      </c>
      <c r="F60" s="6"/>
      <c r="G60" s="2">
        <v>145.24</v>
      </c>
      <c r="H60" s="8" t="s">
        <v>11</v>
      </c>
      <c r="I60" s="6">
        <v>2</v>
      </c>
      <c r="J60" s="8">
        <v>2017</v>
      </c>
      <c r="K60" s="15" t="str">
        <f>"215.54"</f>
        <v>215.54</v>
      </c>
      <c r="L60" s="15"/>
      <c r="M60" s="15"/>
      <c r="N60" s="15" t="str">
        <f>"117.24"</f>
        <v>117.24</v>
      </c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>
      <c r="A61" s="6">
        <v>59</v>
      </c>
      <c r="B61" s="6">
        <v>11223</v>
      </c>
      <c r="C61" s="7" t="s">
        <v>163</v>
      </c>
      <c r="D61" s="6" t="s">
        <v>18</v>
      </c>
      <c r="E61" s="6" t="str">
        <f>"147.38"</f>
        <v>147.38</v>
      </c>
      <c r="F61" s="6"/>
      <c r="G61" s="2">
        <v>147.38</v>
      </c>
      <c r="H61" s="8"/>
      <c r="I61" s="6">
        <v>5</v>
      </c>
      <c r="J61" s="8">
        <v>2017</v>
      </c>
      <c r="K61" s="15"/>
      <c r="L61" s="15"/>
      <c r="M61" s="15"/>
      <c r="N61" s="15"/>
      <c r="O61" s="15"/>
      <c r="P61" s="15"/>
      <c r="Q61" s="15" t="str">
        <f>"169.14"</f>
        <v>169.14</v>
      </c>
      <c r="R61" s="15" t="str">
        <f>"125.61"</f>
        <v>125.61</v>
      </c>
      <c r="S61" s="15"/>
      <c r="T61" s="15" t="str">
        <f>"316.56"</f>
        <v>316.56</v>
      </c>
      <c r="U61" s="15"/>
      <c r="V61" s="15"/>
      <c r="W61" s="15"/>
      <c r="X61" s="15"/>
      <c r="Y61" s="15"/>
      <c r="Z61" s="15"/>
      <c r="AA61" s="15"/>
    </row>
    <row r="62" spans="1:27">
      <c r="A62" s="6">
        <v>60</v>
      </c>
      <c r="B62" s="6">
        <v>4028</v>
      </c>
      <c r="C62" s="7" t="s">
        <v>97</v>
      </c>
      <c r="D62" s="6" t="s">
        <v>57</v>
      </c>
      <c r="E62" s="6" t="str">
        <f>"120.56"</f>
        <v>120.56</v>
      </c>
      <c r="F62" s="6"/>
      <c r="G62" s="2">
        <v>148.56</v>
      </c>
      <c r="H62" s="8" t="s">
        <v>15</v>
      </c>
      <c r="I62" s="6">
        <v>1</v>
      </c>
      <c r="J62" s="8">
        <v>2017</v>
      </c>
      <c r="K62" s="15" t="str">
        <f>"120.56"</f>
        <v>120.56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>
      <c r="A63" s="6">
        <v>61</v>
      </c>
      <c r="B63" s="6">
        <v>8104</v>
      </c>
      <c r="C63" s="7" t="s">
        <v>140</v>
      </c>
      <c r="D63" s="6" t="s">
        <v>43</v>
      </c>
      <c r="E63" s="6" t="str">
        <f>"133.82"</f>
        <v>133.82</v>
      </c>
      <c r="F63" s="6"/>
      <c r="G63" s="2">
        <v>148.72999999999999</v>
      </c>
      <c r="H63" s="8"/>
      <c r="I63" s="6">
        <v>3</v>
      </c>
      <c r="J63" s="8">
        <v>2018</v>
      </c>
      <c r="K63" s="15" t="str">
        <f>"135.46"</f>
        <v>135.46</v>
      </c>
      <c r="L63" s="15"/>
      <c r="M63" s="15"/>
      <c r="N63" s="15" t="str">
        <f>"132.17"</f>
        <v>132.17</v>
      </c>
      <c r="O63" s="15"/>
      <c r="P63" s="15"/>
      <c r="Q63" s="15"/>
      <c r="R63" s="15"/>
      <c r="S63" s="15"/>
      <c r="T63" s="15"/>
      <c r="U63" s="15"/>
      <c r="V63" s="15"/>
      <c r="W63" s="15" t="str">
        <f>"165.29"</f>
        <v>165.29</v>
      </c>
      <c r="X63" s="15"/>
      <c r="Y63" s="15"/>
      <c r="Z63" s="15"/>
      <c r="AA63" s="15"/>
    </row>
    <row r="64" spans="1:27">
      <c r="A64" s="6">
        <v>62</v>
      </c>
      <c r="B64" s="6">
        <v>10310</v>
      </c>
      <c r="C64" s="7" t="s">
        <v>117</v>
      </c>
      <c r="D64" s="6" t="s">
        <v>44</v>
      </c>
      <c r="E64" s="6" t="str">
        <f>"120.82"</f>
        <v>120.82</v>
      </c>
      <c r="F64" s="6"/>
      <c r="G64" s="2">
        <v>148.82</v>
      </c>
      <c r="H64" s="8" t="s">
        <v>15</v>
      </c>
      <c r="I64" s="6">
        <v>1</v>
      </c>
      <c r="J64" s="8">
        <v>2017</v>
      </c>
      <c r="K64" s="15" t="str">
        <f>"120.82"</f>
        <v>120.82</v>
      </c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>
      <c r="A65" s="6">
        <v>63</v>
      </c>
      <c r="B65" s="6">
        <v>6769</v>
      </c>
      <c r="C65" s="7" t="s">
        <v>270</v>
      </c>
      <c r="D65" s="6" t="s">
        <v>75</v>
      </c>
      <c r="E65" s="6" t="str">
        <f>"121.53"</f>
        <v>121.53</v>
      </c>
      <c r="F65" s="6"/>
      <c r="G65" s="2">
        <v>149.53</v>
      </c>
      <c r="H65" s="8" t="s">
        <v>15</v>
      </c>
      <c r="I65" s="6">
        <v>1</v>
      </c>
      <c r="J65" s="8">
        <v>2017</v>
      </c>
      <c r="K65" s="15" t="str">
        <f>"121.53"</f>
        <v>121.53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>
      <c r="A66" s="6">
        <v>64</v>
      </c>
      <c r="B66" s="6">
        <v>3604</v>
      </c>
      <c r="C66" s="7" t="s">
        <v>168</v>
      </c>
      <c r="D66" s="6" t="s">
        <v>73</v>
      </c>
      <c r="E66" s="6" t="str">
        <f>"150.20"</f>
        <v>150.20</v>
      </c>
      <c r="F66" s="6"/>
      <c r="G66" s="2">
        <v>150.19999999999999</v>
      </c>
      <c r="H66" s="8"/>
      <c r="I66" s="6">
        <v>3</v>
      </c>
      <c r="J66" s="8">
        <v>2017</v>
      </c>
      <c r="K66" s="15" t="str">
        <f>"238.73"</f>
        <v>238.73</v>
      </c>
      <c r="L66" s="15"/>
      <c r="M66" s="15"/>
      <c r="N66" s="15"/>
      <c r="O66" s="15"/>
      <c r="P66" s="15"/>
      <c r="Q66" s="15"/>
      <c r="R66" s="15"/>
      <c r="S66" s="15" t="str">
        <f>"141.70"</f>
        <v>141.70</v>
      </c>
      <c r="T66" s="15"/>
      <c r="U66" s="15"/>
      <c r="V66" s="15"/>
      <c r="W66" s="15"/>
      <c r="X66" s="15" t="str">
        <f>"158.70"</f>
        <v>158.70</v>
      </c>
      <c r="Y66" s="15"/>
      <c r="Z66" s="15"/>
      <c r="AA66" s="15"/>
    </row>
    <row r="67" spans="1:27">
      <c r="A67" s="6">
        <v>65</v>
      </c>
      <c r="B67" s="6">
        <v>1490</v>
      </c>
      <c r="C67" s="7" t="s">
        <v>179</v>
      </c>
      <c r="D67" s="6" t="s">
        <v>67</v>
      </c>
      <c r="E67" s="6" t="str">
        <f>"123.04"</f>
        <v>123.04</v>
      </c>
      <c r="F67" s="6"/>
      <c r="G67" s="2">
        <v>151.04</v>
      </c>
      <c r="H67" s="8" t="s">
        <v>15</v>
      </c>
      <c r="I67" s="6">
        <v>1</v>
      </c>
      <c r="J67" s="8">
        <v>2018</v>
      </c>
      <c r="K67" s="15" t="str">
        <f>"123.04"</f>
        <v>123.04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>
      <c r="A68" s="6">
        <v>66</v>
      </c>
      <c r="B68" s="6">
        <v>2023</v>
      </c>
      <c r="C68" s="7" t="s">
        <v>177</v>
      </c>
      <c r="D68" s="6" t="s">
        <v>32</v>
      </c>
      <c r="E68" s="6" t="str">
        <f>"142.81"</f>
        <v>142.81</v>
      </c>
      <c r="F68" s="6"/>
      <c r="G68" s="2">
        <v>151.63999999999999</v>
      </c>
      <c r="H68" s="8"/>
      <c r="I68" s="6">
        <v>3</v>
      </c>
      <c r="J68" s="8">
        <v>2017</v>
      </c>
      <c r="K68" s="15" t="str">
        <f>"158.07"</f>
        <v>158.07</v>
      </c>
      <c r="L68" s="15"/>
      <c r="M68" s="15"/>
      <c r="N68" s="15"/>
      <c r="O68" s="15" t="str">
        <f>"127.54"</f>
        <v>127.54</v>
      </c>
      <c r="P68" s="15"/>
      <c r="Q68" s="15"/>
      <c r="R68" s="15"/>
      <c r="S68" s="15" t="str">
        <f>"175.73"</f>
        <v>175.73</v>
      </c>
      <c r="T68" s="15"/>
      <c r="U68" s="15"/>
      <c r="V68" s="15"/>
      <c r="W68" s="15"/>
      <c r="X68" s="15"/>
      <c r="Y68" s="15"/>
      <c r="Z68" s="15"/>
      <c r="AA68" s="15"/>
    </row>
    <row r="69" spans="1:27">
      <c r="A69" s="6">
        <v>67</v>
      </c>
      <c r="B69" s="6">
        <v>8199</v>
      </c>
      <c r="C69" s="7" t="s">
        <v>151</v>
      </c>
      <c r="D69" s="6" t="s">
        <v>21</v>
      </c>
      <c r="E69" s="6" t="str">
        <f>"139.22"</f>
        <v>139.22</v>
      </c>
      <c r="F69" s="6"/>
      <c r="G69" s="2">
        <v>153.22</v>
      </c>
      <c r="H69" s="8" t="s">
        <v>419</v>
      </c>
      <c r="I69" s="6">
        <v>1</v>
      </c>
      <c r="J69" s="8">
        <v>2017</v>
      </c>
      <c r="K69" s="15" t="str">
        <f>"139.22"</f>
        <v>139.22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>
      <c r="A70" s="6">
        <v>68</v>
      </c>
      <c r="B70" s="6">
        <v>3285</v>
      </c>
      <c r="C70" s="7" t="s">
        <v>172</v>
      </c>
      <c r="D70" s="6" t="s">
        <v>48</v>
      </c>
      <c r="E70" s="6" t="str">
        <f>"128.79"</f>
        <v>128.79</v>
      </c>
      <c r="F70" s="6"/>
      <c r="G70" s="2">
        <v>156.79</v>
      </c>
      <c r="H70" s="8" t="s">
        <v>15</v>
      </c>
      <c r="I70" s="6">
        <v>1</v>
      </c>
      <c r="J70" s="8">
        <v>2017</v>
      </c>
      <c r="K70" s="15" t="str">
        <f>"128.79"</f>
        <v>128.79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>
      <c r="A71" s="6">
        <v>69</v>
      </c>
      <c r="B71" s="6">
        <v>5406</v>
      </c>
      <c r="C71" s="7" t="s">
        <v>394</v>
      </c>
      <c r="D71" s="6" t="s">
        <v>33</v>
      </c>
      <c r="E71" s="6" t="str">
        <f>"130.09"</f>
        <v>130.09</v>
      </c>
      <c r="F71" s="6"/>
      <c r="G71" s="2">
        <v>158.09</v>
      </c>
      <c r="H71" s="8" t="s">
        <v>15</v>
      </c>
      <c r="I71" s="6">
        <v>1</v>
      </c>
      <c r="J71" s="8">
        <v>2017</v>
      </c>
      <c r="K71" s="15" t="str">
        <f>"130.09"</f>
        <v>130.09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>
      <c r="A72" s="6">
        <v>70</v>
      </c>
      <c r="B72" s="6">
        <v>2410</v>
      </c>
      <c r="C72" s="7" t="s">
        <v>147</v>
      </c>
      <c r="D72" s="6" t="s">
        <v>13</v>
      </c>
      <c r="E72" s="6" t="str">
        <f>"131.05"</f>
        <v>131.05</v>
      </c>
      <c r="F72" s="6"/>
      <c r="G72" s="2">
        <v>159.05000000000001</v>
      </c>
      <c r="H72" s="8" t="s">
        <v>15</v>
      </c>
      <c r="I72" s="6">
        <v>1</v>
      </c>
      <c r="J72" s="8">
        <v>2017</v>
      </c>
      <c r="K72" s="15" t="str">
        <f>"131.05"</f>
        <v>131.05</v>
      </c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>
      <c r="A73" s="6">
        <v>71</v>
      </c>
      <c r="B73" s="6">
        <v>11042</v>
      </c>
      <c r="C73" s="7" t="s">
        <v>229</v>
      </c>
      <c r="D73" s="6" t="s">
        <v>27</v>
      </c>
      <c r="E73" s="6" t="str">
        <f>"194.14"</f>
        <v>194.14</v>
      </c>
      <c r="F73" s="6"/>
      <c r="G73" s="2">
        <v>162.31</v>
      </c>
      <c r="H73" s="8" t="s">
        <v>11</v>
      </c>
      <c r="I73" s="6">
        <v>2</v>
      </c>
      <c r="J73" s="8">
        <v>2017</v>
      </c>
      <c r="K73" s="15" t="str">
        <f>"253.96"</f>
        <v>253.96</v>
      </c>
      <c r="L73" s="15"/>
      <c r="M73" s="15"/>
      <c r="N73" s="15"/>
      <c r="O73" s="15"/>
      <c r="P73" s="15" t="str">
        <f>"134.31"</f>
        <v>134.31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>
      <c r="A74" s="6">
        <v>72</v>
      </c>
      <c r="B74" s="6">
        <v>8379</v>
      </c>
      <c r="C74" s="7" t="s">
        <v>216</v>
      </c>
      <c r="D74" s="6" t="s">
        <v>59</v>
      </c>
      <c r="E74" s="6" t="str">
        <f>"129.33"</f>
        <v>129.33</v>
      </c>
      <c r="F74" s="6"/>
      <c r="G74" s="2">
        <v>162.88999999999999</v>
      </c>
      <c r="H74" s="8"/>
      <c r="I74" s="6">
        <v>3</v>
      </c>
      <c r="J74" s="8">
        <v>2017</v>
      </c>
      <c r="K74" s="15" t="str">
        <f>"129.33"</f>
        <v>129.33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 t="str">
        <f>"134.42"</f>
        <v>134.42</v>
      </c>
      <c r="X74" s="15" t="str">
        <f>"191.35"</f>
        <v>191.35</v>
      </c>
      <c r="Y74" s="15"/>
      <c r="Z74" s="15"/>
      <c r="AA74" s="15"/>
    </row>
    <row r="75" spans="1:27">
      <c r="A75" s="6">
        <v>73</v>
      </c>
      <c r="B75" s="6">
        <v>3433</v>
      </c>
      <c r="C75" s="7" t="s">
        <v>154</v>
      </c>
      <c r="D75" s="6" t="s">
        <v>12</v>
      </c>
      <c r="E75" s="6" t="str">
        <f>"135.70"</f>
        <v>135.70</v>
      </c>
      <c r="F75" s="6"/>
      <c r="G75" s="2">
        <v>163.69999999999999</v>
      </c>
      <c r="H75" s="8" t="s">
        <v>15</v>
      </c>
      <c r="I75" s="6">
        <v>1</v>
      </c>
      <c r="J75" s="8">
        <v>2017</v>
      </c>
      <c r="K75" s="15" t="str">
        <f>"135.70"</f>
        <v>135.70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>
      <c r="A76" s="6">
        <v>74</v>
      </c>
      <c r="B76" s="6">
        <v>9955</v>
      </c>
      <c r="C76" s="7" t="s">
        <v>181</v>
      </c>
      <c r="D76" s="6" t="s">
        <v>20</v>
      </c>
      <c r="E76" s="6" t="str">
        <f>"224.31"</f>
        <v>224.31</v>
      </c>
      <c r="F76" s="6"/>
      <c r="G76" s="2">
        <v>163.87</v>
      </c>
      <c r="H76" s="8" t="s">
        <v>11</v>
      </c>
      <c r="I76" s="6">
        <v>2</v>
      </c>
      <c r="J76" s="8">
        <v>2017</v>
      </c>
      <c r="K76" s="15" t="str">
        <f>"312.75"</f>
        <v>312.75</v>
      </c>
      <c r="L76" s="15"/>
      <c r="M76" s="15"/>
      <c r="N76" s="15"/>
      <c r="O76" s="15"/>
      <c r="P76" s="15" t="str">
        <f>"135.87"</f>
        <v>135.87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>
      <c r="A77" s="6">
        <v>75</v>
      </c>
      <c r="B77" s="6">
        <v>4331</v>
      </c>
      <c r="C77" s="7" t="s">
        <v>160</v>
      </c>
      <c r="D77" s="6" t="s">
        <v>56</v>
      </c>
      <c r="E77" s="6" t="str">
        <f>"154.44"</f>
        <v>154.44</v>
      </c>
      <c r="F77" s="6"/>
      <c r="G77" s="2">
        <v>164.67</v>
      </c>
      <c r="H77" s="8" t="s">
        <v>11</v>
      </c>
      <c r="I77" s="6">
        <v>2</v>
      </c>
      <c r="J77" s="8">
        <v>2017</v>
      </c>
      <c r="K77" s="15" t="str">
        <f>"172.20"</f>
        <v>172.20</v>
      </c>
      <c r="L77" s="15"/>
      <c r="M77" s="15"/>
      <c r="N77" s="15"/>
      <c r="O77" s="15"/>
      <c r="P77" s="15"/>
      <c r="Q77" s="15"/>
      <c r="R77" s="15"/>
      <c r="S77" s="15" t="str">
        <f>"136.67"</f>
        <v>136.67</v>
      </c>
      <c r="T77" s="15"/>
      <c r="U77" s="15"/>
      <c r="V77" s="15"/>
      <c r="W77" s="15"/>
      <c r="X77" s="15"/>
      <c r="Y77" s="15"/>
      <c r="Z77" s="15"/>
      <c r="AA77" s="15"/>
    </row>
    <row r="78" spans="1:27">
      <c r="A78" s="6">
        <v>76</v>
      </c>
      <c r="B78" s="6">
        <v>1775</v>
      </c>
      <c r="C78" s="7" t="s">
        <v>138</v>
      </c>
      <c r="D78" s="6" t="s">
        <v>37</v>
      </c>
      <c r="E78" s="6" t="str">
        <f>"166.03"</f>
        <v>166.03</v>
      </c>
      <c r="F78" s="6"/>
      <c r="G78" s="2">
        <v>166.03</v>
      </c>
      <c r="H78" s="8" t="s">
        <v>11</v>
      </c>
      <c r="I78" s="6">
        <v>4</v>
      </c>
      <c r="J78" s="8">
        <v>2018</v>
      </c>
      <c r="K78" s="15"/>
      <c r="L78" s="15"/>
      <c r="M78" s="15"/>
      <c r="N78" s="15"/>
      <c r="O78" s="15" t="str">
        <f>"138.03"</f>
        <v>138.03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>
      <c r="A79" s="6">
        <v>77</v>
      </c>
      <c r="B79" s="6">
        <v>5489</v>
      </c>
      <c r="C79" s="7" t="s">
        <v>247</v>
      </c>
      <c r="D79" s="6" t="s">
        <v>13</v>
      </c>
      <c r="E79" s="6" t="str">
        <f>"138.80"</f>
        <v>138.80</v>
      </c>
      <c r="F79" s="6"/>
      <c r="G79" s="2">
        <v>166.8</v>
      </c>
      <c r="H79" s="8" t="s">
        <v>15</v>
      </c>
      <c r="I79" s="6">
        <v>1</v>
      </c>
      <c r="J79" s="8">
        <v>2017</v>
      </c>
      <c r="K79" s="15" t="str">
        <f>"138.80"</f>
        <v>138.80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>
      <c r="A80" s="6">
        <v>78</v>
      </c>
      <c r="B80" s="6">
        <v>1281</v>
      </c>
      <c r="C80" s="7" t="s">
        <v>209</v>
      </c>
      <c r="D80" s="6" t="s">
        <v>36</v>
      </c>
      <c r="E80" s="6" t="str">
        <f>"140.14"</f>
        <v>140.14</v>
      </c>
      <c r="F80" s="6"/>
      <c r="G80" s="2">
        <v>168.14</v>
      </c>
      <c r="H80" s="8" t="s">
        <v>15</v>
      </c>
      <c r="I80" s="6">
        <v>1</v>
      </c>
      <c r="J80" s="8">
        <v>2018</v>
      </c>
      <c r="K80" s="15" t="str">
        <f>"140.14"</f>
        <v>140.14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>
      <c r="A81" s="6">
        <v>79</v>
      </c>
      <c r="B81" s="6">
        <v>5716</v>
      </c>
      <c r="C81" s="7" t="s">
        <v>199</v>
      </c>
      <c r="D81" s="6" t="s">
        <v>13</v>
      </c>
      <c r="E81" s="6" t="str">
        <f>"107.56"</f>
        <v>107.56</v>
      </c>
      <c r="F81" s="6"/>
      <c r="G81" s="2">
        <v>168.26</v>
      </c>
      <c r="H81" s="8" t="s">
        <v>11</v>
      </c>
      <c r="I81" s="6">
        <v>2</v>
      </c>
      <c r="J81" s="8">
        <v>2017</v>
      </c>
      <c r="K81" s="15" t="str">
        <f>"107.56"</f>
        <v>107.56</v>
      </c>
      <c r="L81" s="15"/>
      <c r="M81" s="15" t="str">
        <f>"140.26"</f>
        <v>140.26</v>
      </c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>
      <c r="A82" s="6">
        <v>80</v>
      </c>
      <c r="B82" s="6">
        <v>10852</v>
      </c>
      <c r="C82" s="7" t="s">
        <v>128</v>
      </c>
      <c r="D82" s="6" t="s">
        <v>13</v>
      </c>
      <c r="E82" s="6" t="str">
        <f>"124.76"</f>
        <v>124.76</v>
      </c>
      <c r="F82" s="6"/>
      <c r="G82" s="2">
        <v>169.4</v>
      </c>
      <c r="H82" s="8"/>
      <c r="I82" s="6">
        <v>3</v>
      </c>
      <c r="J82" s="8">
        <v>2017</v>
      </c>
      <c r="K82" s="15" t="str">
        <f>"124.76"</f>
        <v>124.76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 t="str">
        <f>"170.24"</f>
        <v>170.24</v>
      </c>
      <c r="W82" s="15"/>
      <c r="X82" s="15"/>
      <c r="Y82" s="15"/>
      <c r="Z82" s="15"/>
      <c r="AA82" s="15" t="str">
        <f>"168.55"</f>
        <v>168.55</v>
      </c>
    </row>
    <row r="83" spans="1:27">
      <c r="A83" s="6">
        <v>81</v>
      </c>
      <c r="B83" s="6">
        <v>6972</v>
      </c>
      <c r="C83" s="7" t="s">
        <v>183</v>
      </c>
      <c r="D83" s="6" t="s">
        <v>46</v>
      </c>
      <c r="E83" s="6" t="str">
        <f>"149.24"</f>
        <v>149.24</v>
      </c>
      <c r="F83" s="6"/>
      <c r="G83" s="2">
        <v>169.96</v>
      </c>
      <c r="H83" s="8"/>
      <c r="I83" s="6">
        <v>3</v>
      </c>
      <c r="J83" s="8">
        <v>2017</v>
      </c>
      <c r="K83" s="15" t="str">
        <f>"162.88"</f>
        <v>162.88</v>
      </c>
      <c r="L83" s="15"/>
      <c r="M83" s="15"/>
      <c r="N83" s="15"/>
      <c r="O83" s="15"/>
      <c r="P83" s="15"/>
      <c r="Q83" s="15"/>
      <c r="R83" s="15"/>
      <c r="S83" s="15" t="str">
        <f>"135.60"</f>
        <v>135.60</v>
      </c>
      <c r="T83" s="15"/>
      <c r="U83" s="15"/>
      <c r="V83" s="15"/>
      <c r="W83" s="15"/>
      <c r="X83" s="15" t="str">
        <f>"204.31"</f>
        <v>204.31</v>
      </c>
      <c r="Y83" s="15"/>
      <c r="Z83" s="15"/>
      <c r="AA83" s="15"/>
    </row>
    <row r="84" spans="1:27">
      <c r="A84" s="6">
        <v>82</v>
      </c>
      <c r="B84" s="6">
        <v>10216</v>
      </c>
      <c r="C84" s="7" t="s">
        <v>133</v>
      </c>
      <c r="D84" s="6" t="s">
        <v>13</v>
      </c>
      <c r="E84" s="6" t="str">
        <f>"149.37"</f>
        <v>149.37</v>
      </c>
      <c r="F84" s="6"/>
      <c r="G84" s="2">
        <v>171.21</v>
      </c>
      <c r="H84" s="8"/>
      <c r="I84" s="6">
        <v>3</v>
      </c>
      <c r="J84" s="8">
        <v>2017</v>
      </c>
      <c r="K84" s="15" t="str">
        <f>"149.37"</f>
        <v>149.37</v>
      </c>
      <c r="L84" s="15"/>
      <c r="M84" s="15" t="str">
        <f>"175.84"</f>
        <v>175.84</v>
      </c>
      <c r="N84" s="15"/>
      <c r="O84" s="15"/>
      <c r="P84" s="15"/>
      <c r="Q84" s="15"/>
      <c r="R84" s="15"/>
      <c r="S84" s="15"/>
      <c r="T84" s="15"/>
      <c r="U84" s="15"/>
      <c r="V84" s="15" t="str">
        <f>"308.47"</f>
        <v>308.47</v>
      </c>
      <c r="W84" s="15"/>
      <c r="X84" s="15"/>
      <c r="Y84" s="15"/>
      <c r="Z84" s="15"/>
      <c r="AA84" s="15" t="str">
        <f>"166.57"</f>
        <v>166.57</v>
      </c>
    </row>
    <row r="85" spans="1:27">
      <c r="A85" s="6">
        <v>83</v>
      </c>
      <c r="B85" s="6">
        <v>7707</v>
      </c>
      <c r="C85" s="7" t="s">
        <v>101</v>
      </c>
      <c r="D85" s="6" t="s">
        <v>13</v>
      </c>
      <c r="E85" s="6" t="str">
        <f>"143.67"</f>
        <v>143.67</v>
      </c>
      <c r="F85" s="6"/>
      <c r="G85" s="2">
        <v>171.67</v>
      </c>
      <c r="H85" s="8" t="s">
        <v>15</v>
      </c>
      <c r="I85" s="6">
        <v>1</v>
      </c>
      <c r="J85" s="8">
        <v>2017</v>
      </c>
      <c r="K85" s="15" t="str">
        <f>"143.67"</f>
        <v>143.67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>
      <c r="A86" s="6">
        <v>84</v>
      </c>
      <c r="B86" s="6">
        <v>5448</v>
      </c>
      <c r="C86" s="7" t="s">
        <v>184</v>
      </c>
      <c r="D86" s="6" t="s">
        <v>26</v>
      </c>
      <c r="E86" s="6" t="str">
        <f>"108.67"</f>
        <v>108.67</v>
      </c>
      <c r="F86" s="6"/>
      <c r="G86" s="2">
        <v>171.93</v>
      </c>
      <c r="H86" s="8"/>
      <c r="I86" s="6">
        <v>3</v>
      </c>
      <c r="J86" s="8">
        <v>2017</v>
      </c>
      <c r="K86" s="15" t="str">
        <f>"108.67"</f>
        <v>108.67</v>
      </c>
      <c r="L86" s="15"/>
      <c r="M86" s="15"/>
      <c r="N86" s="15"/>
      <c r="O86" s="15" t="str">
        <f>"185.91"</f>
        <v>185.91</v>
      </c>
      <c r="P86" s="15"/>
      <c r="Q86" s="15"/>
      <c r="R86" s="15"/>
      <c r="S86" s="15" t="str">
        <f>"165.11"</f>
        <v>165.11</v>
      </c>
      <c r="T86" s="15"/>
      <c r="U86" s="15"/>
      <c r="V86" s="15"/>
      <c r="W86" s="15" t="str">
        <f>"178.75"</f>
        <v>178.75</v>
      </c>
      <c r="X86" s="15"/>
      <c r="Y86" s="15"/>
      <c r="Z86" s="15"/>
      <c r="AA86" s="15"/>
    </row>
    <row r="87" spans="1:27">
      <c r="A87" s="6">
        <v>85</v>
      </c>
      <c r="B87" s="6">
        <v>7582</v>
      </c>
      <c r="C87" s="7" t="s">
        <v>195</v>
      </c>
      <c r="D87" s="6" t="s">
        <v>34</v>
      </c>
      <c r="E87" s="6" t="str">
        <f>"144.82"</f>
        <v>144.82</v>
      </c>
      <c r="F87" s="6"/>
      <c r="G87" s="2">
        <v>172.82</v>
      </c>
      <c r="H87" s="8" t="s">
        <v>15</v>
      </c>
      <c r="I87" s="6">
        <v>1</v>
      </c>
      <c r="J87" s="8">
        <v>2017</v>
      </c>
      <c r="K87" s="15" t="str">
        <f>"144.82"</f>
        <v>144.82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>
      <c r="A88" s="6">
        <v>86</v>
      </c>
      <c r="B88" s="6">
        <v>2876</v>
      </c>
      <c r="C88" s="7" t="s">
        <v>421</v>
      </c>
      <c r="D88" s="6" t="s">
        <v>60</v>
      </c>
      <c r="E88" s="6"/>
      <c r="F88" s="6"/>
      <c r="G88" s="2">
        <v>172.89</v>
      </c>
      <c r="H88" s="8" t="s">
        <v>15</v>
      </c>
      <c r="I88" s="6">
        <v>1</v>
      </c>
      <c r="J88" s="8">
        <v>2017</v>
      </c>
      <c r="K88" s="15">
        <v>144.88999999999999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>
      <c r="A89" s="6">
        <v>87</v>
      </c>
      <c r="B89" s="6">
        <v>10964</v>
      </c>
      <c r="C89" s="7" t="s">
        <v>174</v>
      </c>
      <c r="D89" s="6" t="s">
        <v>35</v>
      </c>
      <c r="E89" s="6" t="str">
        <f>"168.89"</f>
        <v>168.89</v>
      </c>
      <c r="F89" s="6"/>
      <c r="G89" s="2">
        <v>173.9</v>
      </c>
      <c r="H89" s="8" t="s">
        <v>11</v>
      </c>
      <c r="I89" s="6">
        <v>2</v>
      </c>
      <c r="J89" s="8">
        <v>2017</v>
      </c>
      <c r="K89" s="15" t="str">
        <f>"191.87"</f>
        <v>191.87</v>
      </c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 t="str">
        <f>"145.90"</f>
        <v>145.90</v>
      </c>
      <c r="X89" s="15"/>
      <c r="Y89" s="15"/>
      <c r="Z89" s="15"/>
      <c r="AA89" s="15"/>
    </row>
    <row r="90" spans="1:27">
      <c r="A90" s="6">
        <v>88</v>
      </c>
      <c r="B90" s="6">
        <v>5747</v>
      </c>
      <c r="C90" s="7" t="s">
        <v>212</v>
      </c>
      <c r="D90" s="6" t="s">
        <v>61</v>
      </c>
      <c r="E90" s="6" t="str">
        <f>"174.89"</f>
        <v>174.89</v>
      </c>
      <c r="F90" s="6"/>
      <c r="G90" s="2">
        <v>174.89</v>
      </c>
      <c r="H90" s="8" t="s">
        <v>11</v>
      </c>
      <c r="I90" s="6">
        <v>4</v>
      </c>
      <c r="J90" s="8">
        <v>2017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 t="str">
        <f>"146.89"</f>
        <v>146.89</v>
      </c>
      <c r="X90" s="15"/>
      <c r="Y90" s="15"/>
      <c r="Z90" s="15"/>
      <c r="AA90" s="15"/>
    </row>
    <row r="91" spans="1:27">
      <c r="A91" s="6">
        <v>89</v>
      </c>
      <c r="B91" s="6">
        <v>10421</v>
      </c>
      <c r="C91" s="7" t="s">
        <v>169</v>
      </c>
      <c r="D91" s="6" t="s">
        <v>13</v>
      </c>
      <c r="E91" s="6" t="str">
        <f>"176.10"</f>
        <v>176.10</v>
      </c>
      <c r="F91" s="6"/>
      <c r="G91" s="2">
        <v>176.1</v>
      </c>
      <c r="H91" s="8"/>
      <c r="I91" s="6">
        <v>3</v>
      </c>
      <c r="J91" s="8">
        <v>2017</v>
      </c>
      <c r="K91" s="15" t="str">
        <f>"401.33"</f>
        <v>401.33</v>
      </c>
      <c r="L91" s="15"/>
      <c r="M91" s="15"/>
      <c r="N91" s="15"/>
      <c r="O91" s="15"/>
      <c r="P91" s="15"/>
      <c r="Q91" s="15" t="str">
        <f>"223.11"</f>
        <v>223.11</v>
      </c>
      <c r="R91" s="15"/>
      <c r="S91" s="15"/>
      <c r="T91" s="15" t="str">
        <f>"680.32"</f>
        <v>680.32</v>
      </c>
      <c r="U91" s="15"/>
      <c r="V91" s="15"/>
      <c r="W91" s="15"/>
      <c r="X91" s="15"/>
      <c r="Y91" s="15"/>
      <c r="Z91" s="15" t="str">
        <f>"129.08"</f>
        <v>129.08</v>
      </c>
      <c r="AA91" s="15"/>
    </row>
    <row r="92" spans="1:27">
      <c r="A92" s="6">
        <v>90</v>
      </c>
      <c r="B92" s="6">
        <v>3870</v>
      </c>
      <c r="C92" s="7" t="s">
        <v>193</v>
      </c>
      <c r="D92" s="6" t="s">
        <v>21</v>
      </c>
      <c r="E92" s="6" t="str">
        <f>"151.96"</f>
        <v>151.96</v>
      </c>
      <c r="F92" s="6"/>
      <c r="G92" s="2">
        <v>176.54</v>
      </c>
      <c r="H92" s="8" t="s">
        <v>11</v>
      </c>
      <c r="I92" s="6">
        <v>2</v>
      </c>
      <c r="J92" s="8">
        <v>2017</v>
      </c>
      <c r="K92" s="15" t="str">
        <f>"155.37"</f>
        <v>155.37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 t="str">
        <f>"148.54"</f>
        <v>148.54</v>
      </c>
      <c r="X92" s="15"/>
      <c r="Y92" s="15"/>
      <c r="Z92" s="15"/>
      <c r="AA92" s="15"/>
    </row>
    <row r="93" spans="1:27">
      <c r="A93" s="6">
        <v>91</v>
      </c>
      <c r="B93" s="6">
        <v>10742</v>
      </c>
      <c r="C93" s="7" t="s">
        <v>225</v>
      </c>
      <c r="D93" s="6" t="s">
        <v>18</v>
      </c>
      <c r="E93" s="6" t="str">
        <f>"177.50"</f>
        <v>177.50</v>
      </c>
      <c r="F93" s="6"/>
      <c r="G93" s="2">
        <v>177.5</v>
      </c>
      <c r="H93" s="8"/>
      <c r="I93" s="6">
        <v>3</v>
      </c>
      <c r="J93" s="8">
        <v>2017</v>
      </c>
      <c r="K93" s="15" t="str">
        <f>"309.62"</f>
        <v>309.62</v>
      </c>
      <c r="L93" s="15"/>
      <c r="M93" s="15"/>
      <c r="N93" s="15"/>
      <c r="O93" s="15"/>
      <c r="P93" s="15"/>
      <c r="Q93" s="15"/>
      <c r="R93" s="15"/>
      <c r="S93" s="15"/>
      <c r="T93" s="15" t="str">
        <f>"601.32"</f>
        <v>601.32</v>
      </c>
      <c r="U93" s="15"/>
      <c r="V93" s="15"/>
      <c r="W93" s="15" t="str">
        <f>"207.18"</f>
        <v>207.18</v>
      </c>
      <c r="X93" s="15"/>
      <c r="Y93" s="15" t="str">
        <f>"147.82"</f>
        <v>147.82</v>
      </c>
      <c r="Z93" s="15"/>
      <c r="AA93" s="15"/>
    </row>
    <row r="94" spans="1:27">
      <c r="A94" s="6">
        <v>92</v>
      </c>
      <c r="B94" s="6">
        <v>10667</v>
      </c>
      <c r="C94" s="7" t="s">
        <v>171</v>
      </c>
      <c r="D94" s="6" t="s">
        <v>16</v>
      </c>
      <c r="E94" s="6" t="str">
        <f>"161.15"</f>
        <v>161.15</v>
      </c>
      <c r="F94" s="6"/>
      <c r="G94" s="2">
        <v>177.53</v>
      </c>
      <c r="H94" s="8" t="s">
        <v>11</v>
      </c>
      <c r="I94" s="6">
        <v>2</v>
      </c>
      <c r="J94" s="8">
        <v>2017</v>
      </c>
      <c r="K94" s="15" t="str">
        <f>"172.77"</f>
        <v>172.77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 t="str">
        <f>"149.53"</f>
        <v>149.53</v>
      </c>
      <c r="Y94" s="15"/>
      <c r="Z94" s="15"/>
      <c r="AA94" s="15"/>
    </row>
    <row r="95" spans="1:27">
      <c r="A95" s="6">
        <v>93</v>
      </c>
      <c r="B95" s="6">
        <v>10149</v>
      </c>
      <c r="C95" s="7" t="s">
        <v>188</v>
      </c>
      <c r="D95" s="6" t="s">
        <v>13</v>
      </c>
      <c r="E95" s="6" t="str">
        <f>"175.70"</f>
        <v>175.70</v>
      </c>
      <c r="F95" s="6"/>
      <c r="G95" s="2">
        <v>178.78</v>
      </c>
      <c r="H95" s="8"/>
      <c r="I95" s="6">
        <v>3</v>
      </c>
      <c r="J95" s="8">
        <v>2017</v>
      </c>
      <c r="K95" s="15" t="str">
        <f>"177.93"</f>
        <v>177.93</v>
      </c>
      <c r="L95" s="15"/>
      <c r="M95" s="15" t="str">
        <f>"251.12"</f>
        <v>251.12</v>
      </c>
      <c r="N95" s="15"/>
      <c r="O95" s="15"/>
      <c r="P95" s="15"/>
      <c r="Q95" s="15"/>
      <c r="R95" s="15"/>
      <c r="S95" s="15"/>
      <c r="T95" s="15"/>
      <c r="U95" s="15"/>
      <c r="V95" s="15" t="str">
        <f>"203.56"</f>
        <v>203.56</v>
      </c>
      <c r="W95" s="15" t="str">
        <f>"173.47"</f>
        <v>173.47</v>
      </c>
      <c r="X95" s="15"/>
      <c r="Y95" s="15"/>
      <c r="Z95" s="15"/>
      <c r="AA95" s="15" t="str">
        <f>"184.08"</f>
        <v>184.08</v>
      </c>
    </row>
    <row r="96" spans="1:27">
      <c r="A96" s="6">
        <v>94</v>
      </c>
      <c r="B96" s="6">
        <v>7841</v>
      </c>
      <c r="C96" s="7" t="s">
        <v>150</v>
      </c>
      <c r="D96" s="6" t="s">
        <v>13</v>
      </c>
      <c r="E96" s="6" t="str">
        <f>"151.50"</f>
        <v>151.50</v>
      </c>
      <c r="F96" s="6"/>
      <c r="G96" s="2">
        <v>179.5</v>
      </c>
      <c r="H96" s="8" t="s">
        <v>15</v>
      </c>
      <c r="I96" s="6">
        <v>1</v>
      </c>
      <c r="J96" s="8">
        <v>2017</v>
      </c>
      <c r="K96" s="15" t="str">
        <f>"151.50"</f>
        <v>151.50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>
      <c r="A97" s="6">
        <v>95</v>
      </c>
      <c r="B97" s="6">
        <v>5751</v>
      </c>
      <c r="C97" s="7" t="s">
        <v>244</v>
      </c>
      <c r="D97" s="6" t="s">
        <v>27</v>
      </c>
      <c r="E97" s="6" t="str">
        <f>"152.54"</f>
        <v>152.54</v>
      </c>
      <c r="F97" s="6"/>
      <c r="G97" s="2">
        <v>180.54</v>
      </c>
      <c r="H97" s="8" t="s">
        <v>15</v>
      </c>
      <c r="I97" s="6">
        <v>1</v>
      </c>
      <c r="J97" s="8">
        <v>2017</v>
      </c>
      <c r="K97" s="15" t="str">
        <f>"152.54"</f>
        <v>152.54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>
      <c r="A98" s="6">
        <v>96</v>
      </c>
      <c r="B98" s="6">
        <v>11174</v>
      </c>
      <c r="C98" s="7" t="s">
        <v>180</v>
      </c>
      <c r="D98" s="6" t="s">
        <v>18</v>
      </c>
      <c r="E98" s="6" t="str">
        <f>"181.38"</f>
        <v>181.38</v>
      </c>
      <c r="F98" s="6"/>
      <c r="G98" s="2">
        <v>181.38</v>
      </c>
      <c r="H98" s="8"/>
      <c r="I98" s="6">
        <v>5</v>
      </c>
      <c r="J98" s="8">
        <v>2017</v>
      </c>
      <c r="K98" s="15"/>
      <c r="L98" s="15"/>
      <c r="M98" s="15"/>
      <c r="N98" s="15"/>
      <c r="O98" s="15"/>
      <c r="P98" s="15"/>
      <c r="Q98" s="15"/>
      <c r="R98" s="15"/>
      <c r="S98" s="15"/>
      <c r="T98" s="15" t="str">
        <f>"897.56"</f>
        <v>897.56</v>
      </c>
      <c r="U98" s="15"/>
      <c r="V98" s="15"/>
      <c r="W98" s="15"/>
      <c r="X98" s="15" t="str">
        <f>"173.80"</f>
        <v>173.80</v>
      </c>
      <c r="Y98" s="15" t="str">
        <f>"188.95"</f>
        <v>188.95</v>
      </c>
      <c r="Z98" s="15"/>
      <c r="AA98" s="15"/>
    </row>
    <row r="99" spans="1:27">
      <c r="A99" s="6">
        <v>97</v>
      </c>
      <c r="B99" s="6">
        <v>10814</v>
      </c>
      <c r="C99" s="7" t="s">
        <v>156</v>
      </c>
      <c r="D99" s="6" t="s">
        <v>18</v>
      </c>
      <c r="E99" s="6" t="str">
        <f>"182.82"</f>
        <v>182.82</v>
      </c>
      <c r="F99" s="6"/>
      <c r="G99" s="2">
        <v>182.82</v>
      </c>
      <c r="H99" s="8"/>
      <c r="I99" s="6">
        <v>3</v>
      </c>
      <c r="J99" s="8">
        <v>2017</v>
      </c>
      <c r="K99" s="15" t="str">
        <f>"615.96"</f>
        <v>615.96</v>
      </c>
      <c r="L99" s="15"/>
      <c r="M99" s="15"/>
      <c r="N99" s="15"/>
      <c r="O99" s="15"/>
      <c r="P99" s="15"/>
      <c r="Q99" s="15" t="str">
        <f>"257.07"</f>
        <v>257.07</v>
      </c>
      <c r="R99" s="15" t="str">
        <f>"217.89"</f>
        <v>217.89</v>
      </c>
      <c r="S99" s="15"/>
      <c r="T99" s="15" t="str">
        <f>"425.04"</f>
        <v>425.04</v>
      </c>
      <c r="U99" s="15"/>
      <c r="V99" s="15"/>
      <c r="W99" s="15" t="str">
        <f>"147.74"</f>
        <v>147.74</v>
      </c>
      <c r="X99" s="15"/>
      <c r="Y99" s="15"/>
      <c r="Z99" s="15"/>
      <c r="AA99" s="15"/>
    </row>
    <row r="100" spans="1:27">
      <c r="A100" s="6">
        <v>98</v>
      </c>
      <c r="B100" s="6">
        <v>6698</v>
      </c>
      <c r="C100" s="7" t="s">
        <v>143</v>
      </c>
      <c r="D100" s="6" t="s">
        <v>13</v>
      </c>
      <c r="E100" s="6" t="str">
        <f>"159.13"</f>
        <v>159.13</v>
      </c>
      <c r="F100" s="6"/>
      <c r="G100" s="2">
        <v>182.84</v>
      </c>
      <c r="H100" s="8"/>
      <c r="I100" s="6">
        <v>3</v>
      </c>
      <c r="J100" s="8">
        <v>2017</v>
      </c>
      <c r="K100" s="15" t="str">
        <f>"159.13"</f>
        <v>159.13</v>
      </c>
      <c r="L100" s="15"/>
      <c r="M100" s="15" t="str">
        <f>"191.03"</f>
        <v>191.03</v>
      </c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 t="str">
        <f>"174.64"</f>
        <v>174.64</v>
      </c>
    </row>
    <row r="101" spans="1:27">
      <c r="A101" s="6">
        <v>99</v>
      </c>
      <c r="B101" s="6">
        <v>11015</v>
      </c>
      <c r="C101" s="7" t="s">
        <v>230</v>
      </c>
      <c r="D101" s="6" t="s">
        <v>16</v>
      </c>
      <c r="E101" s="6" t="str">
        <f>"186.05"</f>
        <v>186.05</v>
      </c>
      <c r="F101" s="6"/>
      <c r="G101" s="2">
        <v>184.74</v>
      </c>
      <c r="H101" s="8" t="s">
        <v>11</v>
      </c>
      <c r="I101" s="6">
        <v>2</v>
      </c>
      <c r="J101" s="8">
        <v>2017</v>
      </c>
      <c r="K101" s="15" t="str">
        <f>"215.35"</f>
        <v>215.35</v>
      </c>
      <c r="L101" s="15"/>
      <c r="M101" s="15"/>
      <c r="N101" s="15"/>
      <c r="O101" s="15"/>
      <c r="P101" s="15" t="str">
        <f>"156.74"</f>
        <v>156.74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>
      <c r="A102" s="6">
        <v>100</v>
      </c>
      <c r="B102" s="6">
        <v>10713</v>
      </c>
      <c r="C102" s="7" t="s">
        <v>201</v>
      </c>
      <c r="D102" s="6" t="s">
        <v>45</v>
      </c>
      <c r="E102" s="6" t="str">
        <f>"158.63"</f>
        <v>158.63</v>
      </c>
      <c r="F102" s="6"/>
      <c r="G102" s="2">
        <v>186.63</v>
      </c>
      <c r="H102" s="8" t="s">
        <v>15</v>
      </c>
      <c r="I102" s="6">
        <v>1</v>
      </c>
      <c r="J102" s="8">
        <v>2017</v>
      </c>
      <c r="K102" s="15" t="str">
        <f>"158.63"</f>
        <v>158.63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>
      <c r="A103" s="6">
        <v>101</v>
      </c>
      <c r="B103" s="6">
        <v>8382</v>
      </c>
      <c r="C103" s="7" t="s">
        <v>391</v>
      </c>
      <c r="D103" s="6" t="s">
        <v>32</v>
      </c>
      <c r="E103" s="6" t="str">
        <f>"160.87"</f>
        <v>160.87</v>
      </c>
      <c r="F103" s="6"/>
      <c r="G103" s="2">
        <v>188.87</v>
      </c>
      <c r="H103" s="8" t="s">
        <v>15</v>
      </c>
      <c r="I103" s="6">
        <v>1</v>
      </c>
      <c r="J103" s="8">
        <v>2017</v>
      </c>
      <c r="K103" s="15" t="str">
        <f>"160.87"</f>
        <v>160.87</v>
      </c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>
      <c r="A104" s="6">
        <v>102</v>
      </c>
      <c r="B104" s="6">
        <v>10740</v>
      </c>
      <c r="C104" s="7" t="s">
        <v>236</v>
      </c>
      <c r="D104" s="6" t="s">
        <v>18</v>
      </c>
      <c r="E104" s="6" t="str">
        <f>"176.25"</f>
        <v>176.25</v>
      </c>
      <c r="F104" s="6"/>
      <c r="G104" s="2">
        <v>191.71</v>
      </c>
      <c r="H104" s="8"/>
      <c r="I104" s="6">
        <v>3</v>
      </c>
      <c r="J104" s="8">
        <v>2017</v>
      </c>
      <c r="K104" s="15" t="str">
        <f>"218.75"</f>
        <v>218.75</v>
      </c>
      <c r="L104" s="15"/>
      <c r="M104" s="15"/>
      <c r="N104" s="15"/>
      <c r="O104" s="15"/>
      <c r="P104" s="15"/>
      <c r="Q104" s="15"/>
      <c r="R104" s="15" t="str">
        <f>"249.67"</f>
        <v>249.67</v>
      </c>
      <c r="S104" s="15"/>
      <c r="T104" s="15" t="str">
        <f>"921.14"</f>
        <v>921.14</v>
      </c>
      <c r="U104" s="15"/>
      <c r="V104" s="15"/>
      <c r="W104" s="15"/>
      <c r="X104" s="15"/>
      <c r="Y104" s="15" t="str">
        <f>"133.74"</f>
        <v>133.74</v>
      </c>
      <c r="Z104" s="15"/>
      <c r="AA104" s="15"/>
    </row>
    <row r="105" spans="1:27">
      <c r="A105" s="6">
        <v>103</v>
      </c>
      <c r="B105" s="6">
        <v>11107</v>
      </c>
      <c r="C105" s="7" t="s">
        <v>152</v>
      </c>
      <c r="D105" s="6" t="s">
        <v>13</v>
      </c>
      <c r="E105" s="6" t="str">
        <f>"193.91"</f>
        <v>193.91</v>
      </c>
      <c r="F105" s="6"/>
      <c r="G105" s="2">
        <v>193.91</v>
      </c>
      <c r="H105" s="8"/>
      <c r="I105" s="6">
        <v>5</v>
      </c>
      <c r="J105" s="8">
        <v>2017</v>
      </c>
      <c r="K105" s="15"/>
      <c r="L105" s="15" t="str">
        <f>"234.28"</f>
        <v>234.28</v>
      </c>
      <c r="M105" s="15" t="str">
        <f>"255.24"</f>
        <v>255.24</v>
      </c>
      <c r="N105" s="15"/>
      <c r="O105" s="15"/>
      <c r="P105" s="15"/>
      <c r="Q105" s="15"/>
      <c r="R105" s="15"/>
      <c r="S105" s="15"/>
      <c r="T105" s="15"/>
      <c r="U105" s="15" t="str">
        <f>"183.49"</f>
        <v>183.49</v>
      </c>
      <c r="V105" s="15" t="str">
        <f>"295.24"</f>
        <v>295.24</v>
      </c>
      <c r="W105" s="15"/>
      <c r="X105" s="15"/>
      <c r="Y105" s="15"/>
      <c r="Z105" s="15"/>
      <c r="AA105" s="15" t="str">
        <f>"204.33"</f>
        <v>204.33</v>
      </c>
    </row>
    <row r="106" spans="1:27">
      <c r="A106" s="6">
        <v>104</v>
      </c>
      <c r="B106" s="6">
        <v>8640</v>
      </c>
      <c r="C106" s="7" t="s">
        <v>122</v>
      </c>
      <c r="D106" s="6" t="s">
        <v>13</v>
      </c>
      <c r="E106" s="6" t="str">
        <f>"163.35"</f>
        <v>163.35</v>
      </c>
      <c r="F106" s="6"/>
      <c r="G106" s="2">
        <v>195.33</v>
      </c>
      <c r="H106" s="8" t="s">
        <v>11</v>
      </c>
      <c r="I106" s="6">
        <v>2</v>
      </c>
      <c r="J106" s="8">
        <v>2017</v>
      </c>
      <c r="K106" s="15" t="str">
        <f>"163.35"</f>
        <v>163.35</v>
      </c>
      <c r="L106" s="15"/>
      <c r="M106" s="15" t="str">
        <f>"167.33"</f>
        <v>167.33</v>
      </c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>
      <c r="A107" s="6">
        <v>105</v>
      </c>
      <c r="B107" s="6">
        <v>5501</v>
      </c>
      <c r="C107" s="7" t="s">
        <v>157</v>
      </c>
      <c r="D107" s="6" t="s">
        <v>18</v>
      </c>
      <c r="E107" s="6" t="str">
        <f>"157.28"</f>
        <v>157.28</v>
      </c>
      <c r="F107" s="6"/>
      <c r="G107" s="2">
        <v>195.43</v>
      </c>
      <c r="H107" s="8"/>
      <c r="I107" s="6">
        <v>3</v>
      </c>
      <c r="J107" s="8">
        <v>2017</v>
      </c>
      <c r="K107" s="15" t="str">
        <f>"168.72"</f>
        <v>168.72</v>
      </c>
      <c r="L107" s="15"/>
      <c r="M107" s="15"/>
      <c r="N107" s="15"/>
      <c r="O107" s="15"/>
      <c r="P107" s="15"/>
      <c r="Q107" s="15" t="str">
        <f>"276.30"</f>
        <v>276.30</v>
      </c>
      <c r="R107" s="15" t="str">
        <f>"245.02"</f>
        <v>245.02</v>
      </c>
      <c r="S107" s="15"/>
      <c r="T107" s="15" t="str">
        <f>"391.14"</f>
        <v>391.14</v>
      </c>
      <c r="U107" s="15"/>
      <c r="V107" s="15"/>
      <c r="W107" s="15" t="str">
        <f>"145.83"</f>
        <v>145.83</v>
      </c>
      <c r="X107" s="15"/>
      <c r="Y107" s="15"/>
      <c r="Z107" s="15"/>
      <c r="AA107" s="15"/>
    </row>
    <row r="108" spans="1:27">
      <c r="A108" s="6">
        <v>106</v>
      </c>
      <c r="B108" s="6">
        <v>2186</v>
      </c>
      <c r="C108" s="7" t="s">
        <v>94</v>
      </c>
      <c r="D108" s="6" t="s">
        <v>16</v>
      </c>
      <c r="E108" s="6" t="str">
        <f>"168.94"</f>
        <v>168.94</v>
      </c>
      <c r="F108" s="6"/>
      <c r="G108" s="2">
        <v>196.94</v>
      </c>
      <c r="H108" s="8" t="s">
        <v>15</v>
      </c>
      <c r="I108" s="6">
        <v>1</v>
      </c>
      <c r="J108" s="8">
        <v>2017</v>
      </c>
      <c r="K108" s="15" t="str">
        <f>"168.94"</f>
        <v>168.94</v>
      </c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>
      <c r="A109" s="6">
        <v>107</v>
      </c>
      <c r="B109" s="6">
        <v>1164</v>
      </c>
      <c r="C109" s="7" t="s">
        <v>218</v>
      </c>
      <c r="D109" s="6" t="s">
        <v>71</v>
      </c>
      <c r="E109" s="6" t="str">
        <f>"169.45"</f>
        <v>169.45</v>
      </c>
      <c r="F109" s="6"/>
      <c r="G109" s="2">
        <v>197.45</v>
      </c>
      <c r="H109" s="8" t="s">
        <v>15</v>
      </c>
      <c r="I109" s="6">
        <v>1</v>
      </c>
      <c r="J109" s="8">
        <v>2018</v>
      </c>
      <c r="K109" s="15" t="str">
        <f>"169.45"</f>
        <v>169.45</v>
      </c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>
      <c r="A110" s="6">
        <v>108</v>
      </c>
      <c r="B110" s="6">
        <v>10846</v>
      </c>
      <c r="C110" s="7" t="s">
        <v>204</v>
      </c>
      <c r="D110" s="6" t="s">
        <v>13</v>
      </c>
      <c r="E110" s="6" t="str">
        <f>"197.71"</f>
        <v>197.71</v>
      </c>
      <c r="F110" s="6"/>
      <c r="G110" s="2">
        <v>197.71</v>
      </c>
      <c r="H110" s="8"/>
      <c r="I110" s="6">
        <v>3</v>
      </c>
      <c r="J110" s="8">
        <v>2017</v>
      </c>
      <c r="K110" s="15" t="str">
        <f>"305.36"</f>
        <v>305.36</v>
      </c>
      <c r="L110" s="15" t="str">
        <f>"312.47"</f>
        <v>312.47</v>
      </c>
      <c r="M110" s="15" t="str">
        <f>"509.51"</f>
        <v>509.51</v>
      </c>
      <c r="N110" s="15"/>
      <c r="O110" s="15"/>
      <c r="P110" s="15"/>
      <c r="Q110" s="15"/>
      <c r="R110" s="15"/>
      <c r="S110" s="15"/>
      <c r="T110" s="15"/>
      <c r="U110" s="15" t="str">
        <f>"227.53"</f>
        <v>227.53</v>
      </c>
      <c r="V110" s="15" t="str">
        <f>"265.18"</f>
        <v>265.18</v>
      </c>
      <c r="W110" s="15"/>
      <c r="X110" s="15"/>
      <c r="Y110" s="15"/>
      <c r="Z110" s="15" t="str">
        <f>"191.71"</f>
        <v>191.71</v>
      </c>
      <c r="AA110" s="15" t="str">
        <f>"203.71"</f>
        <v>203.71</v>
      </c>
    </row>
    <row r="111" spans="1:27">
      <c r="A111" s="6">
        <v>109</v>
      </c>
      <c r="B111" s="6">
        <v>2717</v>
      </c>
      <c r="C111" s="7" t="s">
        <v>240</v>
      </c>
      <c r="D111" s="6" t="s">
        <v>32</v>
      </c>
      <c r="E111" s="6" t="str">
        <f>"187.73"</f>
        <v>187.73</v>
      </c>
      <c r="F111" s="6"/>
      <c r="G111" s="2">
        <v>197.89</v>
      </c>
      <c r="H111" s="8"/>
      <c r="I111" s="6">
        <v>3</v>
      </c>
      <c r="J111" s="8">
        <v>2017</v>
      </c>
      <c r="K111" s="15" t="str">
        <f>"187.73"</f>
        <v>187.73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 t="str">
        <f>"201.23"</f>
        <v>201.23</v>
      </c>
      <c r="Y111" s="15" t="str">
        <f>"194.55"</f>
        <v>194.55</v>
      </c>
      <c r="Z111" s="15"/>
      <c r="AA111" s="15"/>
    </row>
    <row r="112" spans="1:27">
      <c r="A112" s="6">
        <v>110</v>
      </c>
      <c r="B112" s="6">
        <v>7631</v>
      </c>
      <c r="C112" s="7" t="s">
        <v>175</v>
      </c>
      <c r="D112" s="6" t="s">
        <v>13</v>
      </c>
      <c r="E112" s="6" t="str">
        <f>"159.00"</f>
        <v>159.00</v>
      </c>
      <c r="F112" s="6"/>
      <c r="G112" s="2">
        <v>199.13</v>
      </c>
      <c r="H112" s="8"/>
      <c r="I112" s="6">
        <v>3</v>
      </c>
      <c r="J112" s="8">
        <v>2017</v>
      </c>
      <c r="K112" s="15" t="str">
        <f>"159.00"</f>
        <v>159.00</v>
      </c>
      <c r="L112" s="15"/>
      <c r="M112" s="15" t="str">
        <f>"227.22"</f>
        <v>227.22</v>
      </c>
      <c r="N112" s="15"/>
      <c r="O112" s="15"/>
      <c r="P112" s="15"/>
      <c r="Q112" s="15"/>
      <c r="R112" s="15"/>
      <c r="S112" s="15"/>
      <c r="T112" s="15"/>
      <c r="U112" s="15"/>
      <c r="V112" s="15" t="str">
        <f>"207.95"</f>
        <v>207.95</v>
      </c>
      <c r="W112" s="15"/>
      <c r="X112" s="15"/>
      <c r="Y112" s="15"/>
      <c r="Z112" s="15"/>
      <c r="AA112" s="15" t="str">
        <f>"190.30"</f>
        <v>190.30</v>
      </c>
    </row>
    <row r="113" spans="1:27">
      <c r="A113" s="6">
        <v>111</v>
      </c>
      <c r="B113" s="6">
        <v>2419</v>
      </c>
      <c r="C113" s="7" t="s">
        <v>166</v>
      </c>
      <c r="D113" s="6" t="s">
        <v>68</v>
      </c>
      <c r="E113" s="6" t="str">
        <f>"186.74"</f>
        <v>186.74</v>
      </c>
      <c r="F113" s="6"/>
      <c r="G113" s="2">
        <v>199.32</v>
      </c>
      <c r="H113" s="8"/>
      <c r="I113" s="6">
        <v>3</v>
      </c>
      <c r="J113" s="8">
        <v>2017</v>
      </c>
      <c r="K113" s="15" t="str">
        <f>"186.74"</f>
        <v>186.74</v>
      </c>
      <c r="L113" s="15"/>
      <c r="M113" s="15"/>
      <c r="N113" s="15" t="str">
        <f>"202.32"</f>
        <v>202.32</v>
      </c>
      <c r="O113" s="15"/>
      <c r="P113" s="15"/>
      <c r="Q113" s="15"/>
      <c r="R113" s="15"/>
      <c r="S113" s="15"/>
      <c r="T113" s="15"/>
      <c r="U113" s="15"/>
      <c r="V113" s="15"/>
      <c r="W113" s="15" t="str">
        <f>"214.77"</f>
        <v>214.77</v>
      </c>
      <c r="X113" s="15"/>
      <c r="Y113" s="15" t="str">
        <f>"196.31"</f>
        <v>196.31</v>
      </c>
      <c r="Z113" s="15"/>
      <c r="AA113" s="15"/>
    </row>
    <row r="114" spans="1:27">
      <c r="A114" s="6">
        <v>112</v>
      </c>
      <c r="B114" s="6">
        <v>3679</v>
      </c>
      <c r="C114" s="7" t="s">
        <v>223</v>
      </c>
      <c r="D114" s="6" t="s">
        <v>224</v>
      </c>
      <c r="E114" s="6" t="str">
        <f>"143.02"</f>
        <v>143.02</v>
      </c>
      <c r="F114" s="6"/>
      <c r="G114" s="2">
        <v>200.14</v>
      </c>
      <c r="H114" s="8" t="s">
        <v>11</v>
      </c>
      <c r="I114" s="6">
        <v>2</v>
      </c>
      <c r="J114" s="8">
        <v>2017</v>
      </c>
      <c r="K114" s="15" t="str">
        <f>"143.02"</f>
        <v>143.02</v>
      </c>
      <c r="L114" s="15"/>
      <c r="M114" s="15"/>
      <c r="N114" s="15"/>
      <c r="O114" s="15"/>
      <c r="P114" s="15"/>
      <c r="Q114" s="15"/>
      <c r="R114" s="15"/>
      <c r="S114" s="15" t="str">
        <f>"172.14"</f>
        <v>172.14</v>
      </c>
      <c r="T114" s="15"/>
      <c r="U114" s="15"/>
      <c r="V114" s="15"/>
      <c r="W114" s="15"/>
      <c r="X114" s="15"/>
      <c r="Y114" s="15"/>
      <c r="Z114" s="15"/>
      <c r="AA114" s="15"/>
    </row>
    <row r="115" spans="1:27">
      <c r="A115" s="6">
        <v>113</v>
      </c>
      <c r="B115" s="6">
        <v>6674</v>
      </c>
      <c r="C115" s="7" t="s">
        <v>170</v>
      </c>
      <c r="D115" s="6" t="s">
        <v>54</v>
      </c>
      <c r="E115" s="6" t="str">
        <f>"200.50"</f>
        <v>200.50</v>
      </c>
      <c r="F115" s="6"/>
      <c r="G115" s="2">
        <v>200.5</v>
      </c>
      <c r="H115" s="8"/>
      <c r="I115" s="6">
        <v>3</v>
      </c>
      <c r="J115" s="8">
        <v>2017</v>
      </c>
      <c r="K115" s="15" t="str">
        <f>"232.60"</f>
        <v>232.60</v>
      </c>
      <c r="L115" s="15"/>
      <c r="M115" s="15"/>
      <c r="N115" s="15" t="str">
        <f>"200.90"</f>
        <v>200.90</v>
      </c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 t="str">
        <f>"200.09"</f>
        <v>200.09</v>
      </c>
      <c r="Z115" s="15"/>
      <c r="AA115" s="15"/>
    </row>
    <row r="116" spans="1:27">
      <c r="A116" s="6">
        <v>114</v>
      </c>
      <c r="B116" s="6">
        <v>5462</v>
      </c>
      <c r="C116" s="7" t="s">
        <v>192</v>
      </c>
      <c r="D116" s="6" t="s">
        <v>46</v>
      </c>
      <c r="E116" s="6" t="str">
        <f>"194.18"</f>
        <v>194.18</v>
      </c>
      <c r="F116" s="6"/>
      <c r="G116" s="2">
        <v>205.29</v>
      </c>
      <c r="H116" s="8"/>
      <c r="I116" s="6">
        <v>3</v>
      </c>
      <c r="J116" s="8">
        <v>2017</v>
      </c>
      <c r="K116" s="15" t="str">
        <f>"194.18"</f>
        <v>194.18</v>
      </c>
      <c r="L116" s="15"/>
      <c r="M116" s="15"/>
      <c r="N116" s="15" t="str">
        <f>"195.56"</f>
        <v>195.56</v>
      </c>
      <c r="O116" s="15"/>
      <c r="P116" s="15"/>
      <c r="Q116" s="15"/>
      <c r="R116" s="15"/>
      <c r="S116" s="15" t="str">
        <f>"215.01"</f>
        <v>215.01</v>
      </c>
      <c r="T116" s="15"/>
      <c r="U116" s="15"/>
      <c r="V116" s="15"/>
      <c r="W116" s="15"/>
      <c r="X116" s="15"/>
      <c r="Y116" s="15"/>
      <c r="Z116" s="15"/>
      <c r="AA116" s="15"/>
    </row>
    <row r="117" spans="1:27">
      <c r="A117" s="6">
        <v>115</v>
      </c>
      <c r="B117" s="6">
        <v>2336</v>
      </c>
      <c r="C117" s="7" t="s">
        <v>227</v>
      </c>
      <c r="D117" s="6" t="s">
        <v>52</v>
      </c>
      <c r="E117" s="6" t="str">
        <f>"177.99"</f>
        <v>177.99</v>
      </c>
      <c r="F117" s="6"/>
      <c r="G117" s="2">
        <v>205.99</v>
      </c>
      <c r="H117" s="8" t="s">
        <v>15</v>
      </c>
      <c r="I117" s="6">
        <v>1</v>
      </c>
      <c r="J117" s="8">
        <v>2017</v>
      </c>
      <c r="K117" s="15" t="str">
        <f>"177.99"</f>
        <v>177.99</v>
      </c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>
      <c r="A118" s="6">
        <v>116</v>
      </c>
      <c r="B118" s="6">
        <v>5731</v>
      </c>
      <c r="C118" s="7" t="s">
        <v>102</v>
      </c>
      <c r="D118" s="6" t="s">
        <v>16</v>
      </c>
      <c r="E118" s="6" t="str">
        <f>"170.14"</f>
        <v>170.14</v>
      </c>
      <c r="F118" s="6"/>
      <c r="G118" s="2">
        <v>206.28</v>
      </c>
      <c r="H118" s="8" t="s">
        <v>11</v>
      </c>
      <c r="I118" s="6">
        <v>2</v>
      </c>
      <c r="J118" s="8">
        <v>2017</v>
      </c>
      <c r="K118" s="15" t="str">
        <f>"170.14"</f>
        <v>170.14</v>
      </c>
      <c r="L118" s="15"/>
      <c r="M118" s="15"/>
      <c r="N118" s="15"/>
      <c r="O118" s="15"/>
      <c r="P118" s="15"/>
      <c r="Q118" s="15" t="str">
        <f>"178.28"</f>
        <v>178.28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>
      <c r="A119" s="6">
        <v>117</v>
      </c>
      <c r="B119" s="6">
        <v>1378</v>
      </c>
      <c r="C119" s="7" t="s">
        <v>294</v>
      </c>
      <c r="D119" s="6" t="s">
        <v>32</v>
      </c>
      <c r="E119" s="6" t="str">
        <f>"179.85"</f>
        <v>179.85</v>
      </c>
      <c r="F119" s="6"/>
      <c r="G119" s="2">
        <v>207.85</v>
      </c>
      <c r="H119" s="8" t="s">
        <v>15</v>
      </c>
      <c r="I119" s="6">
        <v>1</v>
      </c>
      <c r="J119" s="8">
        <v>2017</v>
      </c>
      <c r="K119" s="15" t="str">
        <f>"179.85"</f>
        <v>179.85</v>
      </c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>
      <c r="A120" s="6">
        <v>118</v>
      </c>
      <c r="B120" s="6">
        <v>7579</v>
      </c>
      <c r="C120" s="7" t="s">
        <v>235</v>
      </c>
      <c r="D120" s="6" t="s">
        <v>70</v>
      </c>
      <c r="E120" s="6" t="str">
        <f>"180.81"</f>
        <v>180.81</v>
      </c>
      <c r="F120" s="6"/>
      <c r="G120" s="2">
        <v>208.81</v>
      </c>
      <c r="H120" s="8" t="s">
        <v>15</v>
      </c>
      <c r="I120" s="6">
        <v>1</v>
      </c>
      <c r="J120" s="8">
        <v>2017</v>
      </c>
      <c r="K120" s="15" t="str">
        <f>"180.81"</f>
        <v>180.81</v>
      </c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>
      <c r="A121" s="6">
        <v>118</v>
      </c>
      <c r="B121" s="6">
        <v>5479</v>
      </c>
      <c r="C121" s="7" t="s">
        <v>203</v>
      </c>
      <c r="D121" s="6" t="s">
        <v>16</v>
      </c>
      <c r="E121" s="6" t="str">
        <f>"191.65"</f>
        <v>191.65</v>
      </c>
      <c r="F121" s="6"/>
      <c r="G121" s="2">
        <v>208.81</v>
      </c>
      <c r="H121" s="8" t="s">
        <v>11</v>
      </c>
      <c r="I121" s="6">
        <v>2</v>
      </c>
      <c r="J121" s="8">
        <v>2017</v>
      </c>
      <c r="K121" s="15" t="str">
        <f>"202.48"</f>
        <v>202.48</v>
      </c>
      <c r="L121" s="15"/>
      <c r="M121" s="15"/>
      <c r="N121" s="15"/>
      <c r="O121" s="15"/>
      <c r="P121" s="15" t="str">
        <f>"180.81"</f>
        <v>180.81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>
      <c r="A122" s="6">
        <v>120</v>
      </c>
      <c r="B122" s="6">
        <v>2217</v>
      </c>
      <c r="C122" s="7" t="s">
        <v>197</v>
      </c>
      <c r="D122" s="6" t="s">
        <v>51</v>
      </c>
      <c r="E122" s="6" t="str">
        <f>"181.15"</f>
        <v>181.15</v>
      </c>
      <c r="F122" s="6"/>
      <c r="G122" s="2">
        <v>209.15</v>
      </c>
      <c r="H122" s="8" t="s">
        <v>15</v>
      </c>
      <c r="I122" s="6">
        <v>1</v>
      </c>
      <c r="J122" s="8">
        <v>2017</v>
      </c>
      <c r="K122" s="15" t="str">
        <f>"181.15"</f>
        <v>181.15</v>
      </c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>
      <c r="A123" s="6">
        <v>121</v>
      </c>
      <c r="B123" s="6">
        <v>10605</v>
      </c>
      <c r="C123" s="7" t="s">
        <v>250</v>
      </c>
      <c r="D123" s="6" t="s">
        <v>13</v>
      </c>
      <c r="E123" s="6" t="str">
        <f>"171.47"</f>
        <v>171.47</v>
      </c>
      <c r="F123" s="6"/>
      <c r="G123" s="2">
        <v>209.33</v>
      </c>
      <c r="H123" s="8"/>
      <c r="I123" s="6">
        <v>3</v>
      </c>
      <c r="J123" s="8">
        <v>2017</v>
      </c>
      <c r="K123" s="15" t="str">
        <f>"171.47"</f>
        <v>171.47</v>
      </c>
      <c r="L123" s="15"/>
      <c r="M123" s="15" t="str">
        <f>"214.73"</f>
        <v>214.73</v>
      </c>
      <c r="N123" s="15"/>
      <c r="O123" s="15"/>
      <c r="P123" s="15"/>
      <c r="Q123" s="15"/>
      <c r="R123" s="15"/>
      <c r="S123" s="15"/>
      <c r="T123" s="15"/>
      <c r="U123" s="15"/>
      <c r="V123" s="15" t="str">
        <f>"203.92"</f>
        <v>203.92</v>
      </c>
      <c r="W123" s="15"/>
      <c r="X123" s="15"/>
      <c r="Y123" s="15"/>
      <c r="Z123" s="15"/>
      <c r="AA123" s="15"/>
    </row>
    <row r="124" spans="1:27">
      <c r="A124" s="6">
        <v>122</v>
      </c>
      <c r="B124" s="6">
        <v>1356</v>
      </c>
      <c r="C124" s="7" t="s">
        <v>145</v>
      </c>
      <c r="D124" s="6" t="s">
        <v>54</v>
      </c>
      <c r="E124" s="6" t="str">
        <f>"181.87"</f>
        <v>181.87</v>
      </c>
      <c r="F124" s="6"/>
      <c r="G124" s="2">
        <v>209.87</v>
      </c>
      <c r="H124" s="8" t="s">
        <v>15</v>
      </c>
      <c r="I124" s="6">
        <v>1</v>
      </c>
      <c r="J124" s="8">
        <v>2017</v>
      </c>
      <c r="K124" s="15" t="str">
        <f>"181.87"</f>
        <v>181.87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>
      <c r="A125" s="6">
        <v>123</v>
      </c>
      <c r="B125" s="6">
        <v>10581</v>
      </c>
      <c r="C125" s="7" t="s">
        <v>248</v>
      </c>
      <c r="D125" s="6" t="s">
        <v>13</v>
      </c>
      <c r="E125" s="6" t="str">
        <f>"185.37"</f>
        <v>185.37</v>
      </c>
      <c r="F125" s="6"/>
      <c r="G125" s="2">
        <v>213.37</v>
      </c>
      <c r="H125" s="8" t="s">
        <v>15</v>
      </c>
      <c r="I125" s="6">
        <v>1</v>
      </c>
      <c r="J125" s="8">
        <v>2017</v>
      </c>
      <c r="K125" s="15" t="str">
        <f>"185.37"</f>
        <v>185.37</v>
      </c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>
      <c r="A126" s="6">
        <v>124</v>
      </c>
      <c r="B126" s="6">
        <v>7785</v>
      </c>
      <c r="C126" s="7" t="s">
        <v>239</v>
      </c>
      <c r="D126" s="6" t="s">
        <v>27</v>
      </c>
      <c r="E126" s="6" t="str">
        <f>"185.59"</f>
        <v>185.59</v>
      </c>
      <c r="F126" s="6"/>
      <c r="G126" s="2">
        <v>213.59</v>
      </c>
      <c r="H126" s="8" t="s">
        <v>15</v>
      </c>
      <c r="I126" s="6">
        <v>1</v>
      </c>
      <c r="J126" s="8">
        <v>2017</v>
      </c>
      <c r="K126" s="15" t="str">
        <f>"185.59"</f>
        <v>185.59</v>
      </c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>
      <c r="A127" s="6">
        <v>125</v>
      </c>
      <c r="B127" s="6">
        <v>1832</v>
      </c>
      <c r="C127" s="7" t="s">
        <v>231</v>
      </c>
      <c r="D127" s="6" t="s">
        <v>71</v>
      </c>
      <c r="E127" s="6" t="str">
        <f>"188.40"</f>
        <v>188.40</v>
      </c>
      <c r="F127" s="6"/>
      <c r="G127" s="2">
        <v>216.4</v>
      </c>
      <c r="H127" s="8" t="s">
        <v>15</v>
      </c>
      <c r="I127" s="6">
        <v>1</v>
      </c>
      <c r="J127" s="8">
        <v>2017</v>
      </c>
      <c r="K127" s="15" t="str">
        <f>"188.40"</f>
        <v>188.40</v>
      </c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>
      <c r="A128" s="6">
        <v>126</v>
      </c>
      <c r="B128" s="6">
        <v>2390</v>
      </c>
      <c r="C128" s="7" t="s">
        <v>258</v>
      </c>
      <c r="D128" s="6" t="s">
        <v>13</v>
      </c>
      <c r="E128" s="6" t="str">
        <f>"190.01"</f>
        <v>190.01</v>
      </c>
      <c r="F128" s="6"/>
      <c r="G128" s="2">
        <v>218.01</v>
      </c>
      <c r="H128" s="8" t="s">
        <v>15</v>
      </c>
      <c r="I128" s="6">
        <v>1</v>
      </c>
      <c r="J128" s="8">
        <v>2017</v>
      </c>
      <c r="K128" s="15" t="str">
        <f>"190.01"</f>
        <v>190.01</v>
      </c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>
      <c r="A129" s="6">
        <v>127</v>
      </c>
      <c r="B129" s="6">
        <v>11037</v>
      </c>
      <c r="C129" s="7" t="s">
        <v>191</v>
      </c>
      <c r="D129" s="6" t="s">
        <v>18</v>
      </c>
      <c r="E129" s="6" t="str">
        <f>"196.04"</f>
        <v>196.04</v>
      </c>
      <c r="F129" s="6"/>
      <c r="G129" s="2">
        <v>218.71</v>
      </c>
      <c r="H129" s="8"/>
      <c r="I129" s="6">
        <v>3</v>
      </c>
      <c r="J129" s="8">
        <v>2017</v>
      </c>
      <c r="K129" s="15" t="str">
        <f>"198.54"</f>
        <v>198.54</v>
      </c>
      <c r="L129" s="15"/>
      <c r="M129" s="15"/>
      <c r="N129" s="15"/>
      <c r="O129" s="15"/>
      <c r="P129" s="15"/>
      <c r="Q129" s="15" t="str">
        <f>"243.88"</f>
        <v>243.88</v>
      </c>
      <c r="R129" s="15" t="str">
        <f>"193.54"</f>
        <v>193.54</v>
      </c>
      <c r="S129" s="15"/>
      <c r="T129" s="15" t="str">
        <f>"319.80"</f>
        <v>319.80</v>
      </c>
      <c r="U129" s="15"/>
      <c r="V129" s="15"/>
      <c r="W129" s="15"/>
      <c r="X129" s="15"/>
      <c r="Y129" s="15"/>
      <c r="Z129" s="15"/>
      <c r="AA129" s="15"/>
    </row>
    <row r="130" spans="1:27">
      <c r="A130" s="6">
        <v>128</v>
      </c>
      <c r="B130" s="6">
        <v>10330</v>
      </c>
      <c r="C130" s="7" t="s">
        <v>283</v>
      </c>
      <c r="D130" s="6" t="s">
        <v>19</v>
      </c>
      <c r="E130" s="6" t="str">
        <f>"238.01"</f>
        <v>238.01</v>
      </c>
      <c r="F130" s="6"/>
      <c r="G130" s="2">
        <v>219.11</v>
      </c>
      <c r="H130" s="8" t="s">
        <v>11</v>
      </c>
      <c r="I130" s="6">
        <v>2</v>
      </c>
      <c r="J130" s="8">
        <v>2017</v>
      </c>
      <c r="K130" s="15" t="str">
        <f>"284.91"</f>
        <v>284.91</v>
      </c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 t="str">
        <f>"191.11"</f>
        <v>191.11</v>
      </c>
      <c r="Y130" s="15"/>
      <c r="Z130" s="15"/>
      <c r="AA130" s="15"/>
    </row>
    <row r="131" spans="1:27">
      <c r="A131" s="6">
        <v>129</v>
      </c>
      <c r="B131" s="6">
        <v>10540</v>
      </c>
      <c r="C131" s="7" t="s">
        <v>384</v>
      </c>
      <c r="D131" s="6" t="s">
        <v>49</v>
      </c>
      <c r="E131" s="6" t="str">
        <f>"191.56"</f>
        <v>191.56</v>
      </c>
      <c r="F131" s="6"/>
      <c r="G131" s="2">
        <v>219.56</v>
      </c>
      <c r="H131" s="8" t="s">
        <v>15</v>
      </c>
      <c r="I131" s="6">
        <v>1</v>
      </c>
      <c r="J131" s="8">
        <v>2018</v>
      </c>
      <c r="K131" s="15" t="str">
        <f>"191.56"</f>
        <v>191.56</v>
      </c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>
      <c r="A132" s="6">
        <v>130</v>
      </c>
      <c r="B132" s="6">
        <v>8619</v>
      </c>
      <c r="C132" s="7" t="s">
        <v>237</v>
      </c>
      <c r="D132" s="6" t="s">
        <v>13</v>
      </c>
      <c r="E132" s="6" t="str">
        <f>"191.92"</f>
        <v>191.92</v>
      </c>
      <c r="F132" s="6"/>
      <c r="G132" s="2">
        <v>219.92</v>
      </c>
      <c r="H132" s="8" t="s">
        <v>15</v>
      </c>
      <c r="I132" s="6">
        <v>1</v>
      </c>
      <c r="J132" s="8">
        <v>2017</v>
      </c>
      <c r="K132" s="15" t="str">
        <f>"191.92"</f>
        <v>191.92</v>
      </c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>
      <c r="A133" s="6">
        <v>131</v>
      </c>
      <c r="B133" s="6">
        <v>4569</v>
      </c>
      <c r="C133" s="7" t="s">
        <v>241</v>
      </c>
      <c r="D133" s="6" t="s">
        <v>32</v>
      </c>
      <c r="E133" s="6" t="str">
        <f>"172.19"</f>
        <v>172.19</v>
      </c>
      <c r="F133" s="6"/>
      <c r="G133" s="2">
        <v>221</v>
      </c>
      <c r="H133" s="8" t="s">
        <v>11</v>
      </c>
      <c r="I133" s="6">
        <v>2</v>
      </c>
      <c r="J133" s="8">
        <v>2017</v>
      </c>
      <c r="K133" s="15" t="str">
        <f>"172.19"</f>
        <v>172.19</v>
      </c>
      <c r="L133" s="15"/>
      <c r="M133" s="15"/>
      <c r="N133" s="15"/>
      <c r="O133" s="15" t="str">
        <f>"193.00"</f>
        <v>193.00</v>
      </c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>
      <c r="A134" s="6">
        <v>132</v>
      </c>
      <c r="B134" s="6">
        <v>4499</v>
      </c>
      <c r="C134" s="7" t="s">
        <v>263</v>
      </c>
      <c r="D134" s="6" t="s">
        <v>55</v>
      </c>
      <c r="E134" s="6" t="str">
        <f>"193.07"</f>
        <v>193.07</v>
      </c>
      <c r="F134" s="6"/>
      <c r="G134" s="2">
        <v>221.07</v>
      </c>
      <c r="H134" s="8" t="s">
        <v>15</v>
      </c>
      <c r="I134" s="6">
        <v>1</v>
      </c>
      <c r="J134" s="8">
        <v>2017</v>
      </c>
      <c r="K134" s="15" t="str">
        <f>"193.07"</f>
        <v>193.07</v>
      </c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>
      <c r="A135" s="6">
        <v>133</v>
      </c>
      <c r="B135" s="6">
        <v>5491</v>
      </c>
      <c r="C135" s="7" t="s">
        <v>146</v>
      </c>
      <c r="D135" s="6" t="s">
        <v>18</v>
      </c>
      <c r="E135" s="6" t="str">
        <f>"222.50"</f>
        <v>222.50</v>
      </c>
      <c r="F135" s="6"/>
      <c r="G135" s="2">
        <v>222.5</v>
      </c>
      <c r="H135" s="8"/>
      <c r="I135" s="6">
        <v>5</v>
      </c>
      <c r="J135" s="8">
        <v>2017</v>
      </c>
      <c r="K135" s="15"/>
      <c r="L135" s="15"/>
      <c r="M135" s="15"/>
      <c r="N135" s="15"/>
      <c r="O135" s="15"/>
      <c r="P135" s="15"/>
      <c r="Q135" s="15" t="str">
        <f>"246.47"</f>
        <v>246.47</v>
      </c>
      <c r="R135" s="15" t="str">
        <f>"198.53"</f>
        <v>198.53</v>
      </c>
      <c r="S135" s="15"/>
      <c r="T135" s="15" t="str">
        <f>"326.58"</f>
        <v>326.58</v>
      </c>
      <c r="U135" s="15"/>
      <c r="V135" s="15"/>
      <c r="W135" s="15"/>
      <c r="X135" s="15"/>
      <c r="Y135" s="15"/>
      <c r="Z135" s="15"/>
      <c r="AA135" s="15"/>
    </row>
    <row r="136" spans="1:27">
      <c r="A136" s="6">
        <v>134</v>
      </c>
      <c r="B136" s="6">
        <v>10746</v>
      </c>
      <c r="C136" s="7" t="s">
        <v>234</v>
      </c>
      <c r="D136" s="6" t="s">
        <v>18</v>
      </c>
      <c r="E136" s="6" t="str">
        <f>"223.65"</f>
        <v>223.65</v>
      </c>
      <c r="F136" s="6"/>
      <c r="G136" s="2">
        <v>223.65</v>
      </c>
      <c r="H136" s="8"/>
      <c r="I136" s="6">
        <v>3</v>
      </c>
      <c r="J136" s="8">
        <v>2017</v>
      </c>
      <c r="K136" s="15" t="str">
        <f>"617.99"</f>
        <v>617.99</v>
      </c>
      <c r="L136" s="15"/>
      <c r="M136" s="15"/>
      <c r="N136" s="15"/>
      <c r="O136" s="15"/>
      <c r="P136" s="15"/>
      <c r="Q136" s="15"/>
      <c r="R136" s="15" t="str">
        <f>"345.70"</f>
        <v>345.70</v>
      </c>
      <c r="S136" s="15"/>
      <c r="T136" s="15" t="str">
        <f>"591.88"</f>
        <v>591.88</v>
      </c>
      <c r="U136" s="15"/>
      <c r="V136" s="15"/>
      <c r="W136" s="15" t="str">
        <f>"217.21"</f>
        <v>217.21</v>
      </c>
      <c r="X136" s="15"/>
      <c r="Y136" s="15" t="str">
        <f>"230.08"</f>
        <v>230.08</v>
      </c>
      <c r="Z136" s="15"/>
      <c r="AA136" s="15"/>
    </row>
    <row r="137" spans="1:27">
      <c r="A137" s="6">
        <v>135</v>
      </c>
      <c r="B137" s="6">
        <v>10825</v>
      </c>
      <c r="C137" s="7" t="s">
        <v>176</v>
      </c>
      <c r="D137" s="6" t="s">
        <v>18</v>
      </c>
      <c r="E137" s="6" t="str">
        <f>"204.85"</f>
        <v>204.85</v>
      </c>
      <c r="F137" s="6"/>
      <c r="G137" s="2">
        <v>224.56</v>
      </c>
      <c r="H137" s="8"/>
      <c r="I137" s="6">
        <v>3</v>
      </c>
      <c r="J137" s="8">
        <v>2017</v>
      </c>
      <c r="K137" s="15" t="str">
        <f>"234.90"</f>
        <v>234.90</v>
      </c>
      <c r="L137" s="15"/>
      <c r="M137" s="15"/>
      <c r="N137" s="15"/>
      <c r="O137" s="15"/>
      <c r="P137" s="15"/>
      <c r="Q137" s="15" t="str">
        <f>"274.31"</f>
        <v>274.31</v>
      </c>
      <c r="R137" s="15" t="str">
        <f>"174.80"</f>
        <v>174.80</v>
      </c>
      <c r="S137" s="15"/>
      <c r="T137" s="15" t="str">
        <f>"278.52"</f>
        <v>278.52</v>
      </c>
      <c r="U137" s="15"/>
      <c r="V137" s="15"/>
      <c r="W137" s="15"/>
      <c r="X137" s="15"/>
      <c r="Y137" s="15"/>
      <c r="Z137" s="15"/>
      <c r="AA137" s="15"/>
    </row>
    <row r="138" spans="1:27">
      <c r="A138" s="6">
        <v>136</v>
      </c>
      <c r="B138" s="6">
        <v>10287</v>
      </c>
      <c r="C138" s="7" t="s">
        <v>124</v>
      </c>
      <c r="D138" s="6" t="s">
        <v>18</v>
      </c>
      <c r="E138" s="6" t="str">
        <f>"225.40"</f>
        <v>225.40</v>
      </c>
      <c r="F138" s="6"/>
      <c r="G138" s="2">
        <v>225.4</v>
      </c>
      <c r="H138" s="8"/>
      <c r="I138" s="6">
        <v>3</v>
      </c>
      <c r="J138" s="8">
        <v>2017</v>
      </c>
      <c r="K138" s="15" t="str">
        <f>"382.05"</f>
        <v>382.05</v>
      </c>
      <c r="L138" s="15"/>
      <c r="M138" s="15"/>
      <c r="N138" s="15"/>
      <c r="O138" s="15"/>
      <c r="P138" s="15"/>
      <c r="Q138" s="15" t="str">
        <f>"178.45"</f>
        <v>178.45</v>
      </c>
      <c r="R138" s="15"/>
      <c r="S138" s="15"/>
      <c r="T138" s="15" t="str">
        <f>"272.34"</f>
        <v>272.34</v>
      </c>
      <c r="U138" s="15"/>
      <c r="V138" s="15"/>
      <c r="W138" s="15"/>
      <c r="X138" s="15"/>
      <c r="Y138" s="15"/>
      <c r="Z138" s="15"/>
      <c r="AA138" s="15"/>
    </row>
    <row r="139" spans="1:27">
      <c r="A139" s="6">
        <v>137</v>
      </c>
      <c r="B139" s="6">
        <v>5703</v>
      </c>
      <c r="C139" s="7" t="s">
        <v>279</v>
      </c>
      <c r="D139" s="6" t="s">
        <v>79</v>
      </c>
      <c r="E139" s="6" t="str">
        <f>"197.98"</f>
        <v>197.98</v>
      </c>
      <c r="F139" s="6"/>
      <c r="G139" s="2">
        <v>225.98</v>
      </c>
      <c r="H139" s="8" t="s">
        <v>15</v>
      </c>
      <c r="I139" s="6">
        <v>1</v>
      </c>
      <c r="J139" s="8">
        <v>2018</v>
      </c>
      <c r="K139" s="15" t="str">
        <f>"197.98"</f>
        <v>197.98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>
      <c r="A140" s="6">
        <v>138</v>
      </c>
      <c r="B140" s="6">
        <v>6064</v>
      </c>
      <c r="C140" s="7" t="s">
        <v>265</v>
      </c>
      <c r="D140" s="6" t="s">
        <v>23</v>
      </c>
      <c r="E140" s="6" t="str">
        <f>"182.18"</f>
        <v>182.18</v>
      </c>
      <c r="F140" s="6"/>
      <c r="G140" s="2">
        <v>226.74</v>
      </c>
      <c r="H140" s="8" t="s">
        <v>11</v>
      </c>
      <c r="I140" s="6">
        <v>2</v>
      </c>
      <c r="J140" s="8">
        <v>2017</v>
      </c>
      <c r="K140" s="15" t="str">
        <f>"182.18"</f>
        <v>182.18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 t="str">
        <f>"198.74"</f>
        <v>198.74</v>
      </c>
      <c r="X140" s="15"/>
      <c r="Y140" s="15"/>
      <c r="Z140" s="15"/>
      <c r="AA140" s="15"/>
    </row>
    <row r="141" spans="1:27">
      <c r="A141" s="6">
        <v>139</v>
      </c>
      <c r="B141" s="6">
        <v>3988</v>
      </c>
      <c r="C141" s="7" t="s">
        <v>217</v>
      </c>
      <c r="D141" s="6" t="s">
        <v>42</v>
      </c>
      <c r="E141" s="6" t="str">
        <f>"226.80"</f>
        <v>226.80</v>
      </c>
      <c r="F141" s="6"/>
      <c r="G141" s="2">
        <v>226.8</v>
      </c>
      <c r="H141" s="8"/>
      <c r="I141" s="6">
        <v>3</v>
      </c>
      <c r="J141" s="8">
        <v>2018</v>
      </c>
      <c r="K141" s="15" t="str">
        <f>"341.54"</f>
        <v>341.54</v>
      </c>
      <c r="L141" s="15"/>
      <c r="M141" s="15"/>
      <c r="N141" s="15" t="str">
        <f>"239.41"</f>
        <v>239.41</v>
      </c>
      <c r="O141" s="15"/>
      <c r="P141" s="15"/>
      <c r="Q141" s="15"/>
      <c r="R141" s="15"/>
      <c r="S141" s="15"/>
      <c r="T141" s="15"/>
      <c r="U141" s="15"/>
      <c r="V141" s="15"/>
      <c r="W141" s="15" t="str">
        <f>"214.18"</f>
        <v>214.18</v>
      </c>
      <c r="X141" s="15"/>
      <c r="Y141" s="15"/>
      <c r="Z141" s="15"/>
      <c r="AA141" s="15"/>
    </row>
    <row r="142" spans="1:27">
      <c r="A142" s="6">
        <v>140</v>
      </c>
      <c r="B142" s="6">
        <v>3728</v>
      </c>
      <c r="C142" s="7" t="s">
        <v>213</v>
      </c>
      <c r="D142" s="6" t="s">
        <v>59</v>
      </c>
      <c r="E142" s="6" t="str">
        <f>"147.83"</f>
        <v>147.83</v>
      </c>
      <c r="F142" s="6"/>
      <c r="G142" s="2">
        <v>227.21</v>
      </c>
      <c r="H142" s="8" t="s">
        <v>11</v>
      </c>
      <c r="I142" s="6">
        <v>2</v>
      </c>
      <c r="J142" s="8">
        <v>2017</v>
      </c>
      <c r="K142" s="15" t="str">
        <f>"147.83"</f>
        <v>147.83</v>
      </c>
      <c r="L142" s="15"/>
      <c r="M142" s="15"/>
      <c r="N142" s="15" t="str">
        <f>"199.21"</f>
        <v>199.21</v>
      </c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>
      <c r="A143" s="6">
        <v>141</v>
      </c>
      <c r="B143" s="6">
        <v>3826</v>
      </c>
      <c r="C143" s="7" t="s">
        <v>291</v>
      </c>
      <c r="D143" s="6" t="s">
        <v>32</v>
      </c>
      <c r="E143" s="6" t="str">
        <f>"200.55"</f>
        <v>200.55</v>
      </c>
      <c r="F143" s="6"/>
      <c r="G143" s="2">
        <v>227.35</v>
      </c>
      <c r="H143" s="8" t="s">
        <v>11</v>
      </c>
      <c r="I143" s="6">
        <v>2</v>
      </c>
      <c r="J143" s="8">
        <v>2017</v>
      </c>
      <c r="K143" s="15" t="str">
        <f>"201.75"</f>
        <v>201.75</v>
      </c>
      <c r="L143" s="15"/>
      <c r="M143" s="15"/>
      <c r="N143" s="15"/>
      <c r="O143" s="15" t="str">
        <f>"199.35"</f>
        <v>199.35</v>
      </c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>
      <c r="A144" s="6">
        <v>142</v>
      </c>
      <c r="B144" s="6">
        <v>3075</v>
      </c>
      <c r="C144" s="7" t="s">
        <v>187</v>
      </c>
      <c r="D144" s="6" t="s">
        <v>84</v>
      </c>
      <c r="E144" s="6" t="str">
        <f>"199.85"</f>
        <v>199.85</v>
      </c>
      <c r="F144" s="6"/>
      <c r="G144" s="2">
        <v>227.85</v>
      </c>
      <c r="H144" s="8" t="s">
        <v>15</v>
      </c>
      <c r="I144" s="6">
        <v>1</v>
      </c>
      <c r="J144" s="8">
        <v>2018</v>
      </c>
      <c r="K144" s="15" t="str">
        <f>"199.85"</f>
        <v>199.85</v>
      </c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>
      <c r="A145" s="6">
        <v>143</v>
      </c>
      <c r="B145" s="6">
        <v>7791</v>
      </c>
      <c r="C145" s="7" t="s">
        <v>226</v>
      </c>
      <c r="D145" s="6" t="s">
        <v>27</v>
      </c>
      <c r="E145" s="6" t="str">
        <f>"199.90"</f>
        <v>199.90</v>
      </c>
      <c r="F145" s="6"/>
      <c r="G145" s="2">
        <v>227.9</v>
      </c>
      <c r="H145" s="8" t="s">
        <v>15</v>
      </c>
      <c r="I145" s="6">
        <v>1</v>
      </c>
      <c r="J145" s="8">
        <v>2017</v>
      </c>
      <c r="K145" s="15" t="str">
        <f>"199.90"</f>
        <v>199.90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>
      <c r="A146" s="6">
        <v>144</v>
      </c>
      <c r="B146" s="6">
        <v>10699</v>
      </c>
      <c r="C146" s="7" t="s">
        <v>131</v>
      </c>
      <c r="D146" s="6" t="s">
        <v>27</v>
      </c>
      <c r="E146" s="6" t="str">
        <f>"206.96"</f>
        <v>206.96</v>
      </c>
      <c r="F146" s="6"/>
      <c r="G146" s="2">
        <v>228.18</v>
      </c>
      <c r="H146" s="8" t="s">
        <v>11</v>
      </c>
      <c r="I146" s="6">
        <v>2</v>
      </c>
      <c r="J146" s="8">
        <v>2017</v>
      </c>
      <c r="K146" s="15" t="str">
        <f>"213.73"</f>
        <v>213.73</v>
      </c>
      <c r="L146" s="15"/>
      <c r="M146" s="15"/>
      <c r="N146" s="15"/>
      <c r="O146" s="15"/>
      <c r="P146" s="15"/>
      <c r="Q146" s="15" t="str">
        <f>"200.18"</f>
        <v>200.18</v>
      </c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>
      <c r="A147" s="6">
        <v>144</v>
      </c>
      <c r="B147" s="6">
        <v>5768</v>
      </c>
      <c r="C147" s="7" t="s">
        <v>198</v>
      </c>
      <c r="D147" s="6" t="s">
        <v>18</v>
      </c>
      <c r="E147" s="6" t="str">
        <f>"203.75"</f>
        <v>203.75</v>
      </c>
      <c r="F147" s="6"/>
      <c r="G147" s="2">
        <v>228.18</v>
      </c>
      <c r="H147" s="8"/>
      <c r="I147" s="6">
        <v>3</v>
      </c>
      <c r="J147" s="8">
        <v>2017</v>
      </c>
      <c r="K147" s="15" t="str">
        <f>"203.75"</f>
        <v>203.75</v>
      </c>
      <c r="L147" s="15"/>
      <c r="M147" s="15"/>
      <c r="N147" s="15" t="str">
        <f>"243.33"</f>
        <v>243.33</v>
      </c>
      <c r="O147" s="15"/>
      <c r="P147" s="15"/>
      <c r="Q147" s="15" t="str">
        <f>"251.12"</f>
        <v>251.12</v>
      </c>
      <c r="R147" s="15" t="str">
        <f>"213.03"</f>
        <v>213.03</v>
      </c>
      <c r="S147" s="15"/>
      <c r="T147" s="15" t="str">
        <f>"295.34"</f>
        <v>295.34</v>
      </c>
      <c r="U147" s="15"/>
      <c r="V147" s="15"/>
      <c r="W147" s="15"/>
      <c r="X147" s="15"/>
      <c r="Y147" s="15"/>
      <c r="Z147" s="15"/>
      <c r="AA147" s="15"/>
    </row>
    <row r="148" spans="1:27">
      <c r="A148" s="6">
        <v>146</v>
      </c>
      <c r="B148" s="6">
        <v>10973</v>
      </c>
      <c r="C148" s="7" t="s">
        <v>299</v>
      </c>
      <c r="D148" s="6" t="s">
        <v>16</v>
      </c>
      <c r="E148" s="6" t="str">
        <f>"200.29"</f>
        <v>200.29</v>
      </c>
      <c r="F148" s="6"/>
      <c r="G148" s="2">
        <v>228.29</v>
      </c>
      <c r="H148" s="8" t="s">
        <v>15</v>
      </c>
      <c r="I148" s="6">
        <v>1</v>
      </c>
      <c r="J148" s="8">
        <v>2017</v>
      </c>
      <c r="K148" s="15" t="str">
        <f>"200.29"</f>
        <v>200.29</v>
      </c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>
      <c r="A149" s="6">
        <v>147</v>
      </c>
      <c r="B149" s="6">
        <v>8620</v>
      </c>
      <c r="C149" s="7" t="s">
        <v>251</v>
      </c>
      <c r="D149" s="6" t="s">
        <v>13</v>
      </c>
      <c r="E149" s="6" t="str">
        <f>"200.35"</f>
        <v>200.35</v>
      </c>
      <c r="F149" s="6"/>
      <c r="G149" s="2">
        <v>228.35</v>
      </c>
      <c r="H149" s="8" t="s">
        <v>15</v>
      </c>
      <c r="I149" s="6">
        <v>1</v>
      </c>
      <c r="J149" s="8">
        <v>2017</v>
      </c>
      <c r="K149" s="15" t="str">
        <f>"200.35"</f>
        <v>200.35</v>
      </c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>
      <c r="A150" s="6">
        <v>148</v>
      </c>
      <c r="B150" s="6">
        <v>10970</v>
      </c>
      <c r="C150" s="7" t="s">
        <v>228</v>
      </c>
      <c r="D150" s="6" t="s">
        <v>16</v>
      </c>
      <c r="E150" s="6" t="str">
        <f>"226.38"</f>
        <v>226.38</v>
      </c>
      <c r="F150" s="6"/>
      <c r="G150" s="2">
        <v>229.54</v>
      </c>
      <c r="H150" s="8" t="s">
        <v>11</v>
      </c>
      <c r="I150" s="6">
        <v>2</v>
      </c>
      <c r="J150" s="8">
        <v>2017</v>
      </c>
      <c r="K150" s="15" t="str">
        <f>"251.22"</f>
        <v>251.22</v>
      </c>
      <c r="L150" s="15"/>
      <c r="M150" s="15"/>
      <c r="N150" s="15"/>
      <c r="O150" s="15"/>
      <c r="P150" s="15" t="str">
        <f>"201.54"</f>
        <v>201.54</v>
      </c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>
      <c r="A151" s="6">
        <v>149</v>
      </c>
      <c r="B151" s="6">
        <v>8337</v>
      </c>
      <c r="C151" s="7" t="s">
        <v>238</v>
      </c>
      <c r="D151" s="6" t="s">
        <v>27</v>
      </c>
      <c r="E151" s="6" t="str">
        <f>"201.57"</f>
        <v>201.57</v>
      </c>
      <c r="F151" s="6"/>
      <c r="G151" s="2">
        <v>229.57</v>
      </c>
      <c r="H151" s="8" t="s">
        <v>15</v>
      </c>
      <c r="I151" s="6">
        <v>1</v>
      </c>
      <c r="J151" s="8">
        <v>2017</v>
      </c>
      <c r="K151" s="15" t="str">
        <f>"201.57"</f>
        <v>201.57</v>
      </c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>
      <c r="A152" s="6">
        <v>150</v>
      </c>
      <c r="B152" s="6">
        <v>10367</v>
      </c>
      <c r="C152" s="7" t="s">
        <v>221</v>
      </c>
      <c r="D152" s="6" t="s">
        <v>16</v>
      </c>
      <c r="E152" s="6" t="str">
        <f>"230.60"</f>
        <v>230.60</v>
      </c>
      <c r="F152" s="6"/>
      <c r="G152" s="2">
        <v>230.6</v>
      </c>
      <c r="H152" s="8" t="s">
        <v>11</v>
      </c>
      <c r="I152" s="6">
        <v>4</v>
      </c>
      <c r="J152" s="8">
        <v>2017</v>
      </c>
      <c r="K152" s="15"/>
      <c r="L152" s="15"/>
      <c r="M152" s="15"/>
      <c r="N152" s="15"/>
      <c r="O152" s="15"/>
      <c r="P152" s="15" t="str">
        <f>"202.60"</f>
        <v>202.60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>
      <c r="A153" s="6">
        <v>151</v>
      </c>
      <c r="B153" s="6">
        <v>2152</v>
      </c>
      <c r="C153" s="7" t="s">
        <v>210</v>
      </c>
      <c r="D153" s="6" t="s">
        <v>19</v>
      </c>
      <c r="E153" s="6" t="str">
        <f>"203.83"</f>
        <v>203.83</v>
      </c>
      <c r="F153" s="6"/>
      <c r="G153" s="2">
        <v>231.83</v>
      </c>
      <c r="H153" s="8" t="s">
        <v>15</v>
      </c>
      <c r="I153" s="6">
        <v>1</v>
      </c>
      <c r="J153" s="8">
        <v>2017</v>
      </c>
      <c r="K153" s="15" t="str">
        <f>"203.83"</f>
        <v>203.83</v>
      </c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>
      <c r="A154" s="6">
        <v>152</v>
      </c>
      <c r="B154" s="6">
        <v>6589</v>
      </c>
      <c r="C154" s="7" t="s">
        <v>121</v>
      </c>
      <c r="D154" s="6" t="s">
        <v>16</v>
      </c>
      <c r="E154" s="6" t="str">
        <f>"238.88"</f>
        <v>238.88</v>
      </c>
      <c r="F154" s="6"/>
      <c r="G154" s="2">
        <v>238.88</v>
      </c>
      <c r="H154" s="8" t="s">
        <v>11</v>
      </c>
      <c r="I154" s="6">
        <v>4</v>
      </c>
      <c r="J154" s="8">
        <v>2017</v>
      </c>
      <c r="K154" s="15"/>
      <c r="L154" s="15"/>
      <c r="M154" s="15"/>
      <c r="N154" s="15"/>
      <c r="O154" s="15"/>
      <c r="P154" s="15"/>
      <c r="Q154" s="15"/>
      <c r="R154" s="15" t="str">
        <f>"210.88"</f>
        <v>210.88</v>
      </c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>
      <c r="A155" s="6">
        <v>153</v>
      </c>
      <c r="B155" s="6">
        <v>5147</v>
      </c>
      <c r="C155" s="7" t="s">
        <v>116</v>
      </c>
      <c r="D155" s="6" t="s">
        <v>69</v>
      </c>
      <c r="E155" s="6" t="str">
        <f>"144.36"</f>
        <v>144.36</v>
      </c>
      <c r="F155" s="6"/>
      <c r="G155" s="2">
        <v>239.11</v>
      </c>
      <c r="H155" s="8" t="s">
        <v>11</v>
      </c>
      <c r="I155" s="6">
        <v>2</v>
      </c>
      <c r="J155" s="8">
        <v>2017</v>
      </c>
      <c r="K155" s="15" t="str">
        <f>"144.36"</f>
        <v>144.36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 t="str">
        <f>"211.11"</f>
        <v>211.11</v>
      </c>
      <c r="Y155" s="15"/>
      <c r="Z155" s="15"/>
      <c r="AA155" s="15"/>
    </row>
    <row r="156" spans="1:27">
      <c r="A156" s="6">
        <v>154</v>
      </c>
      <c r="B156" s="6">
        <v>3058</v>
      </c>
      <c r="C156" s="7" t="s">
        <v>202</v>
      </c>
      <c r="D156" s="6" t="s">
        <v>50</v>
      </c>
      <c r="E156" s="6" t="str">
        <f>"214.51"</f>
        <v>214.51</v>
      </c>
      <c r="F156" s="6"/>
      <c r="G156" s="2">
        <v>242.51</v>
      </c>
      <c r="H156" s="8" t="s">
        <v>15</v>
      </c>
      <c r="I156" s="6">
        <v>1</v>
      </c>
      <c r="J156" s="8">
        <v>2017</v>
      </c>
      <c r="K156" s="15" t="str">
        <f>"214.51"</f>
        <v>214.51</v>
      </c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>
      <c r="A157" s="6">
        <v>155</v>
      </c>
      <c r="B157" s="6">
        <v>4047</v>
      </c>
      <c r="C157" s="7" t="s">
        <v>173</v>
      </c>
      <c r="D157" s="6" t="s">
        <v>41</v>
      </c>
      <c r="E157" s="6" t="str">
        <f>"203.46"</f>
        <v>203.46</v>
      </c>
      <c r="F157" s="6"/>
      <c r="G157" s="2">
        <v>242.61</v>
      </c>
      <c r="H157" s="8" t="s">
        <v>11</v>
      </c>
      <c r="I157" s="6">
        <v>2</v>
      </c>
      <c r="J157" s="8">
        <v>2017</v>
      </c>
      <c r="K157" s="15" t="str">
        <f>"203.46"</f>
        <v>203.46</v>
      </c>
      <c r="L157" s="15"/>
      <c r="M157" s="15"/>
      <c r="N157" s="15" t="str">
        <f>"214.61"</f>
        <v>214.61</v>
      </c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>
      <c r="A158" s="6">
        <v>156</v>
      </c>
      <c r="B158" s="6">
        <v>8275</v>
      </c>
      <c r="C158" s="7" t="s">
        <v>255</v>
      </c>
      <c r="D158" s="6" t="s">
        <v>74</v>
      </c>
      <c r="E158" s="6" t="str">
        <f>"196.38"</f>
        <v>196.38</v>
      </c>
      <c r="F158" s="6"/>
      <c r="G158" s="2">
        <v>243.07</v>
      </c>
      <c r="H158" s="8" t="s">
        <v>11</v>
      </c>
      <c r="I158" s="6">
        <v>2</v>
      </c>
      <c r="J158" s="8">
        <v>2017</v>
      </c>
      <c r="K158" s="15" t="str">
        <f>"196.38"</f>
        <v>196.38</v>
      </c>
      <c r="L158" s="15"/>
      <c r="M158" s="15"/>
      <c r="N158" s="15"/>
      <c r="O158" s="15" t="str">
        <f>"215.07"</f>
        <v>215.07</v>
      </c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>
      <c r="A159" s="6">
        <v>157</v>
      </c>
      <c r="B159" s="6">
        <v>10848</v>
      </c>
      <c r="C159" s="7" t="s">
        <v>285</v>
      </c>
      <c r="D159" s="6" t="s">
        <v>13</v>
      </c>
      <c r="E159" s="6" t="str">
        <f>"244.21"</f>
        <v>244.21</v>
      </c>
      <c r="F159" s="6"/>
      <c r="G159" s="2">
        <v>244.21</v>
      </c>
      <c r="H159" s="8"/>
      <c r="I159" s="6">
        <v>3</v>
      </c>
      <c r="J159" s="8">
        <v>2017</v>
      </c>
      <c r="K159" s="15" t="str">
        <f>"400.80"</f>
        <v>400.80</v>
      </c>
      <c r="L159" s="15" t="str">
        <f>"342.53"</f>
        <v>342.53</v>
      </c>
      <c r="M159" s="15" t="str">
        <f>"480.41"</f>
        <v>480.41</v>
      </c>
      <c r="N159" s="15"/>
      <c r="O159" s="15"/>
      <c r="P159" s="15"/>
      <c r="Q159" s="15"/>
      <c r="R159" s="15"/>
      <c r="S159" s="15"/>
      <c r="T159" s="15"/>
      <c r="U159" s="15" t="str">
        <f>"243.94"</f>
        <v>243.94</v>
      </c>
      <c r="V159" s="15"/>
      <c r="W159" s="15"/>
      <c r="X159" s="15"/>
      <c r="Y159" s="15"/>
      <c r="Z159" s="15" t="str">
        <f>"244.47"</f>
        <v>244.47</v>
      </c>
      <c r="AA159" s="15" t="str">
        <f>"276.70"</f>
        <v>276.70</v>
      </c>
    </row>
    <row r="160" spans="1:27">
      <c r="A160" s="6">
        <v>158</v>
      </c>
      <c r="B160" s="6">
        <v>9953</v>
      </c>
      <c r="C160" s="7" t="s">
        <v>167</v>
      </c>
      <c r="D160" s="6" t="s">
        <v>18</v>
      </c>
      <c r="E160" s="6" t="str">
        <f>"164.09"</f>
        <v>164.09</v>
      </c>
      <c r="F160" s="6"/>
      <c r="G160" s="2">
        <v>247.77</v>
      </c>
      <c r="H160" s="8"/>
      <c r="I160" s="6">
        <v>3</v>
      </c>
      <c r="J160" s="8">
        <v>2017</v>
      </c>
      <c r="K160" s="15" t="str">
        <f>"164.09"</f>
        <v>164.09</v>
      </c>
      <c r="L160" s="15"/>
      <c r="M160" s="15"/>
      <c r="N160" s="15"/>
      <c r="O160" s="15"/>
      <c r="P160" s="15"/>
      <c r="Q160" s="15" t="str">
        <f>"298.88"</f>
        <v>298.88</v>
      </c>
      <c r="R160" s="15" t="str">
        <f>"196.66"</f>
        <v>196.66</v>
      </c>
      <c r="S160" s="15"/>
      <c r="T160" s="15" t="str">
        <f>"336.90"</f>
        <v>336.90</v>
      </c>
      <c r="U160" s="15"/>
      <c r="V160" s="15"/>
      <c r="W160" s="15"/>
      <c r="X160" s="15"/>
      <c r="Y160" s="15"/>
      <c r="Z160" s="15"/>
      <c r="AA160" s="15"/>
    </row>
    <row r="161" spans="1:27">
      <c r="A161" s="6">
        <v>159</v>
      </c>
      <c r="B161" s="6">
        <v>11014</v>
      </c>
      <c r="C161" s="7" t="s">
        <v>301</v>
      </c>
      <c r="D161" s="6" t="s">
        <v>16</v>
      </c>
      <c r="E161" s="6" t="str">
        <f>"278.06"</f>
        <v>278.06</v>
      </c>
      <c r="F161" s="6"/>
      <c r="G161" s="2">
        <v>248.35</v>
      </c>
      <c r="H161" s="8" t="s">
        <v>11</v>
      </c>
      <c r="I161" s="6">
        <v>2</v>
      </c>
      <c r="J161" s="8">
        <v>2017</v>
      </c>
      <c r="K161" s="15" t="str">
        <f>"335.76"</f>
        <v>335.76</v>
      </c>
      <c r="L161" s="15"/>
      <c r="M161" s="15"/>
      <c r="N161" s="15"/>
      <c r="O161" s="15"/>
      <c r="P161" s="15" t="str">
        <f>"220.35"</f>
        <v>220.35</v>
      </c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>
      <c r="A162" s="6">
        <v>160</v>
      </c>
      <c r="B162" s="6">
        <v>2208</v>
      </c>
      <c r="C162" s="7" t="s">
        <v>208</v>
      </c>
      <c r="D162" s="6" t="s">
        <v>13</v>
      </c>
      <c r="E162" s="6" t="str">
        <f>"248.41"</f>
        <v>248.41</v>
      </c>
      <c r="F162" s="6"/>
      <c r="G162" s="2">
        <v>248.41</v>
      </c>
      <c r="H162" s="8"/>
      <c r="I162" s="6">
        <v>3</v>
      </c>
      <c r="J162" s="8">
        <v>2017</v>
      </c>
      <c r="K162" s="15" t="str">
        <f>"282.52"</f>
        <v>282.52</v>
      </c>
      <c r="L162" s="15" t="str">
        <f>"325.75"</f>
        <v>325.75</v>
      </c>
      <c r="M162" s="15" t="str">
        <f>"390.54"</f>
        <v>390.54</v>
      </c>
      <c r="N162" s="15"/>
      <c r="O162" s="15"/>
      <c r="P162" s="15"/>
      <c r="Q162" s="15"/>
      <c r="R162" s="15"/>
      <c r="S162" s="15"/>
      <c r="T162" s="15"/>
      <c r="U162" s="15" t="str">
        <f>"235.09"</f>
        <v>235.09</v>
      </c>
      <c r="V162" s="15"/>
      <c r="W162" s="15"/>
      <c r="X162" s="15"/>
      <c r="Y162" s="15"/>
      <c r="Z162" s="15" t="str">
        <f>"261.72"</f>
        <v>261.72</v>
      </c>
      <c r="AA162" s="15" t="str">
        <f>"287.30"</f>
        <v>287.30</v>
      </c>
    </row>
    <row r="163" spans="1:27">
      <c r="A163" s="6">
        <v>161</v>
      </c>
      <c r="B163" s="6">
        <v>3103</v>
      </c>
      <c r="C163" s="7" t="s">
        <v>256</v>
      </c>
      <c r="D163" s="6" t="s">
        <v>35</v>
      </c>
      <c r="E163" s="6" t="str">
        <f>"220.42"</f>
        <v>220.42</v>
      </c>
      <c r="F163" s="6"/>
      <c r="G163" s="2">
        <v>248.42</v>
      </c>
      <c r="H163" s="8" t="s">
        <v>15</v>
      </c>
      <c r="I163" s="6">
        <v>1</v>
      </c>
      <c r="J163" s="8">
        <v>2017</v>
      </c>
      <c r="K163" s="15" t="str">
        <f>"220.42"</f>
        <v>220.42</v>
      </c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>
      <c r="A164" s="6">
        <v>162</v>
      </c>
      <c r="B164" s="6">
        <v>10503</v>
      </c>
      <c r="C164" s="7" t="s">
        <v>153</v>
      </c>
      <c r="D164" s="6" t="s">
        <v>13</v>
      </c>
      <c r="E164" s="6" t="str">
        <f>"251.21"</f>
        <v>251.21</v>
      </c>
      <c r="F164" s="6"/>
      <c r="G164" s="2">
        <v>251.21</v>
      </c>
      <c r="H164" s="8"/>
      <c r="I164" s="6">
        <v>3</v>
      </c>
      <c r="J164" s="8">
        <v>2017</v>
      </c>
      <c r="K164" s="15" t="str">
        <f>"276.87"</f>
        <v>276.87</v>
      </c>
      <c r="L164" s="15"/>
      <c r="M164" s="15"/>
      <c r="N164" s="15"/>
      <c r="O164" s="15"/>
      <c r="P164" s="15"/>
      <c r="Q164" s="15" t="str">
        <f>"276.47"</f>
        <v>276.47</v>
      </c>
      <c r="R164" s="15" t="str">
        <f>"225.94"</f>
        <v>225.94</v>
      </c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>
      <c r="A165" s="6">
        <v>163</v>
      </c>
      <c r="B165" s="6">
        <v>2201</v>
      </c>
      <c r="C165" s="7" t="s">
        <v>276</v>
      </c>
      <c r="D165" s="6" t="s">
        <v>13</v>
      </c>
      <c r="E165" s="6" t="str">
        <f>"224.99"</f>
        <v>224.99</v>
      </c>
      <c r="F165" s="6"/>
      <c r="G165" s="2">
        <v>252.99</v>
      </c>
      <c r="H165" s="8" t="s">
        <v>15</v>
      </c>
      <c r="I165" s="6">
        <v>1</v>
      </c>
      <c r="J165" s="8">
        <v>2017</v>
      </c>
      <c r="K165" s="15" t="str">
        <f>"224.99"</f>
        <v>224.99</v>
      </c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>
      <c r="A166" s="6">
        <v>164</v>
      </c>
      <c r="B166" s="6">
        <v>11101</v>
      </c>
      <c r="C166" s="7" t="s">
        <v>196</v>
      </c>
      <c r="D166" s="6" t="s">
        <v>18</v>
      </c>
      <c r="E166" s="6" t="str">
        <f>"254.62"</f>
        <v>254.62</v>
      </c>
      <c r="F166" s="6"/>
      <c r="G166" s="2">
        <v>254.62</v>
      </c>
      <c r="H166" s="8"/>
      <c r="I166" s="6">
        <v>5</v>
      </c>
      <c r="J166" s="8">
        <v>2017</v>
      </c>
      <c r="K166" s="15"/>
      <c r="L166" s="15"/>
      <c r="M166" s="15"/>
      <c r="N166" s="15"/>
      <c r="O166" s="15"/>
      <c r="P166" s="15"/>
      <c r="Q166" s="15" t="str">
        <f>"341.90"</f>
        <v>341.90</v>
      </c>
      <c r="R166" s="15"/>
      <c r="S166" s="15"/>
      <c r="T166" s="15" t="str">
        <f>"443.90"</f>
        <v>443.90</v>
      </c>
      <c r="U166" s="15"/>
      <c r="V166" s="15"/>
      <c r="W166" s="15" t="str">
        <f>"167.34"</f>
        <v>167.34</v>
      </c>
      <c r="X166" s="15"/>
      <c r="Y166" s="15"/>
      <c r="Z166" s="15"/>
      <c r="AA166" s="15"/>
    </row>
    <row r="167" spans="1:27">
      <c r="A167" s="6">
        <v>165</v>
      </c>
      <c r="B167" s="6">
        <v>10348</v>
      </c>
      <c r="C167" s="7" t="s">
        <v>396</v>
      </c>
      <c r="D167" s="6" t="s">
        <v>58</v>
      </c>
      <c r="E167" s="6" t="str">
        <f>"231.52"</f>
        <v>231.52</v>
      </c>
      <c r="F167" s="6"/>
      <c r="G167" s="2">
        <v>259.52</v>
      </c>
      <c r="H167" s="8" t="s">
        <v>15</v>
      </c>
      <c r="I167" s="6">
        <v>1</v>
      </c>
      <c r="J167" s="8">
        <v>2017</v>
      </c>
      <c r="K167" s="15" t="str">
        <f>"231.52"</f>
        <v>231.52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>
      <c r="A168" s="6">
        <v>166</v>
      </c>
      <c r="B168" s="6">
        <v>7601</v>
      </c>
      <c r="C168" s="7" t="s">
        <v>245</v>
      </c>
      <c r="D168" s="6" t="s">
        <v>246</v>
      </c>
      <c r="E168" s="6" t="str">
        <f>"231.64"</f>
        <v>231.64</v>
      </c>
      <c r="F168" s="6"/>
      <c r="G168" s="2">
        <v>259.64</v>
      </c>
      <c r="H168" s="8" t="s">
        <v>15</v>
      </c>
      <c r="I168" s="6">
        <v>1</v>
      </c>
      <c r="J168" s="8">
        <v>2017</v>
      </c>
      <c r="K168" s="15" t="str">
        <f>"231.64"</f>
        <v>231.64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>
      <c r="A169" s="6">
        <v>167</v>
      </c>
      <c r="B169" s="6">
        <v>10873</v>
      </c>
      <c r="C169" s="7" t="s">
        <v>281</v>
      </c>
      <c r="D169" s="6" t="s">
        <v>13</v>
      </c>
      <c r="E169" s="6" t="str">
        <f>"265.17"</f>
        <v>265.17</v>
      </c>
      <c r="F169" s="6"/>
      <c r="G169" s="2">
        <v>265.17</v>
      </c>
      <c r="H169" s="8"/>
      <c r="I169" s="6">
        <v>3</v>
      </c>
      <c r="J169" s="8">
        <v>2017</v>
      </c>
      <c r="K169" s="15" t="str">
        <f>"459.62"</f>
        <v>459.62</v>
      </c>
      <c r="L169" s="15" t="str">
        <f>"384.84"</f>
        <v>384.84</v>
      </c>
      <c r="M169" s="15" t="str">
        <f>"426.39"</f>
        <v>426.39</v>
      </c>
      <c r="N169" s="15"/>
      <c r="O169" s="15"/>
      <c r="P169" s="15"/>
      <c r="Q169" s="15"/>
      <c r="R169" s="15"/>
      <c r="S169" s="15"/>
      <c r="T169" s="15"/>
      <c r="U169" s="15" t="str">
        <f>"420.75"</f>
        <v>420.75</v>
      </c>
      <c r="V169" s="15"/>
      <c r="W169" s="15"/>
      <c r="X169" s="15"/>
      <c r="Y169" s="15" t="str">
        <f>"273.94"</f>
        <v>273.94</v>
      </c>
      <c r="Z169" s="15" t="str">
        <f>"256.40"</f>
        <v>256.40</v>
      </c>
      <c r="AA169" s="15" t="str">
        <f>"349.82"</f>
        <v>349.82</v>
      </c>
    </row>
    <row r="170" spans="1:27">
      <c r="A170" s="6">
        <v>168</v>
      </c>
      <c r="B170" s="6">
        <v>2398</v>
      </c>
      <c r="C170" s="7" t="s">
        <v>249</v>
      </c>
      <c r="D170" s="6" t="s">
        <v>13</v>
      </c>
      <c r="E170" s="6" t="str">
        <f>"239.08"</f>
        <v>239.08</v>
      </c>
      <c r="F170" s="6"/>
      <c r="G170" s="2">
        <v>265.22000000000003</v>
      </c>
      <c r="H170" s="8"/>
      <c r="I170" s="6">
        <v>3</v>
      </c>
      <c r="J170" s="8">
        <v>2017</v>
      </c>
      <c r="K170" s="15" t="str">
        <f>"254.04"</f>
        <v>254.04</v>
      </c>
      <c r="L170" s="15" t="str">
        <f>"306.31"</f>
        <v>306.31</v>
      </c>
      <c r="M170" s="15"/>
      <c r="N170" s="15"/>
      <c r="O170" s="15"/>
      <c r="P170" s="15"/>
      <c r="Q170" s="15"/>
      <c r="R170" s="15"/>
      <c r="S170" s="15"/>
      <c r="T170" s="15"/>
      <c r="U170" s="15" t="str">
        <f>"224.12"</f>
        <v>224.12</v>
      </c>
      <c r="V170" s="15" t="str">
        <f>"316.39"</f>
        <v>316.39</v>
      </c>
      <c r="W170" s="15"/>
      <c r="X170" s="15"/>
      <c r="Y170" s="15"/>
      <c r="Z170" s="15"/>
      <c r="AA170" s="15"/>
    </row>
    <row r="171" spans="1:27">
      <c r="A171" s="6">
        <v>169</v>
      </c>
      <c r="B171" s="6">
        <v>10603</v>
      </c>
      <c r="C171" s="7" t="s">
        <v>252</v>
      </c>
      <c r="D171" s="6" t="s">
        <v>13</v>
      </c>
      <c r="E171" s="6" t="str">
        <f>"253.97"</f>
        <v>253.97</v>
      </c>
      <c r="F171" s="6"/>
      <c r="G171" s="2">
        <v>266.52999999999997</v>
      </c>
      <c r="H171" s="8"/>
      <c r="I171" s="6">
        <v>3</v>
      </c>
      <c r="J171" s="8">
        <v>2017</v>
      </c>
      <c r="K171" s="15" t="str">
        <f>"269.19"</f>
        <v>269.19</v>
      </c>
      <c r="L171" s="15" t="str">
        <f>"294.32"</f>
        <v>294.32</v>
      </c>
      <c r="M171" s="15" t="str">
        <f>"318.50"</f>
        <v>318.50</v>
      </c>
      <c r="N171" s="15"/>
      <c r="O171" s="15"/>
      <c r="P171" s="15"/>
      <c r="Q171" s="15"/>
      <c r="R171" s="15"/>
      <c r="S171" s="15"/>
      <c r="T171" s="15"/>
      <c r="U171" s="15" t="str">
        <f>"238.74"</f>
        <v>238.74</v>
      </c>
      <c r="V171" s="15" t="str">
        <f>"356.72"</f>
        <v>356.72</v>
      </c>
      <c r="W171" s="15"/>
      <c r="X171" s="15"/>
      <c r="Y171" s="15"/>
      <c r="Z171" s="15"/>
      <c r="AA171" s="15"/>
    </row>
    <row r="172" spans="1:27">
      <c r="A172" s="6">
        <v>170</v>
      </c>
      <c r="B172" s="6">
        <v>10738</v>
      </c>
      <c r="C172" s="7" t="s">
        <v>261</v>
      </c>
      <c r="D172" s="6" t="s">
        <v>18</v>
      </c>
      <c r="E172" s="6" t="str">
        <f>"266.54"</f>
        <v>266.54</v>
      </c>
      <c r="F172" s="6"/>
      <c r="G172" s="2">
        <v>266.54000000000002</v>
      </c>
      <c r="H172" s="8"/>
      <c r="I172" s="6">
        <v>3</v>
      </c>
      <c r="J172" s="8">
        <v>2017</v>
      </c>
      <c r="K172" s="15" t="str">
        <f>"633.74"</f>
        <v>633.74</v>
      </c>
      <c r="L172" s="15"/>
      <c r="M172" s="15"/>
      <c r="N172" s="15"/>
      <c r="O172" s="15"/>
      <c r="P172" s="15"/>
      <c r="Q172" s="15"/>
      <c r="R172" s="15" t="str">
        <f>"361.66"</f>
        <v>361.66</v>
      </c>
      <c r="S172" s="15"/>
      <c r="T172" s="15" t="str">
        <f>"563.88"</f>
        <v>563.88</v>
      </c>
      <c r="U172" s="15"/>
      <c r="V172" s="15"/>
      <c r="W172" s="15" t="str">
        <f>"288.79"</f>
        <v>288.79</v>
      </c>
      <c r="X172" s="15"/>
      <c r="Y172" s="15" t="str">
        <f>"244.29"</f>
        <v>244.29</v>
      </c>
      <c r="Z172" s="15"/>
      <c r="AA172" s="15"/>
    </row>
    <row r="173" spans="1:27">
      <c r="A173" s="6">
        <v>171</v>
      </c>
      <c r="B173" s="6">
        <v>11075</v>
      </c>
      <c r="C173" s="7" t="s">
        <v>271</v>
      </c>
      <c r="D173" s="6" t="s">
        <v>67</v>
      </c>
      <c r="E173" s="6" t="str">
        <f>"267.63"</f>
        <v>267.63</v>
      </c>
      <c r="F173" s="6"/>
      <c r="G173" s="2">
        <v>267.63</v>
      </c>
      <c r="H173" s="8" t="s">
        <v>11</v>
      </c>
      <c r="I173" s="6">
        <v>4</v>
      </c>
      <c r="J173" s="8">
        <v>2017</v>
      </c>
      <c r="K173" s="15"/>
      <c r="L173" s="15"/>
      <c r="M173" s="15"/>
      <c r="N173" s="15"/>
      <c r="O173" s="15"/>
      <c r="P173" s="15"/>
      <c r="Q173" s="15"/>
      <c r="R173" s="15"/>
      <c r="S173" s="15" t="str">
        <f>"239.63"</f>
        <v>239.63</v>
      </c>
      <c r="T173" s="15"/>
      <c r="U173" s="15"/>
      <c r="V173" s="15"/>
      <c r="W173" s="15"/>
      <c r="X173" s="15"/>
      <c r="Y173" s="15"/>
      <c r="Z173" s="15"/>
      <c r="AA173" s="15"/>
    </row>
    <row r="174" spans="1:27">
      <c r="A174" s="6">
        <v>172</v>
      </c>
      <c r="B174" s="6">
        <v>10324</v>
      </c>
      <c r="C174" s="7" t="s">
        <v>194</v>
      </c>
      <c r="D174" s="6" t="s">
        <v>66</v>
      </c>
      <c r="E174" s="6" t="str">
        <f>"251.92"</f>
        <v>251.92</v>
      </c>
      <c r="F174" s="6"/>
      <c r="G174" s="2">
        <v>269.01</v>
      </c>
      <c r="H174" s="8" t="s">
        <v>11</v>
      </c>
      <c r="I174" s="6">
        <v>2</v>
      </c>
      <c r="J174" s="8">
        <v>2017</v>
      </c>
      <c r="K174" s="15" t="str">
        <f>"262.82"</f>
        <v>262.82</v>
      </c>
      <c r="L174" s="15"/>
      <c r="M174" s="15"/>
      <c r="N174" s="15"/>
      <c r="O174" s="15"/>
      <c r="P174" s="15" t="str">
        <f>"241.01"</f>
        <v>241.01</v>
      </c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>
      <c r="A175" s="6">
        <v>173</v>
      </c>
      <c r="B175" s="6">
        <v>10741</v>
      </c>
      <c r="C175" s="7" t="s">
        <v>286</v>
      </c>
      <c r="D175" s="6" t="s">
        <v>18</v>
      </c>
      <c r="E175" s="6" t="str">
        <f>"270.41"</f>
        <v>270.41</v>
      </c>
      <c r="F175" s="6"/>
      <c r="G175" s="2">
        <v>271.92</v>
      </c>
      <c r="H175" s="8"/>
      <c r="I175" s="6">
        <v>3</v>
      </c>
      <c r="J175" s="8">
        <v>2017</v>
      </c>
      <c r="K175" s="15" t="str">
        <f>"291.68"</f>
        <v>291.68</v>
      </c>
      <c r="L175" s="15"/>
      <c r="M175" s="15"/>
      <c r="N175" s="15"/>
      <c r="O175" s="15"/>
      <c r="P175" s="15"/>
      <c r="Q175" s="15"/>
      <c r="R175" s="15" t="str">
        <f>"294.70"</f>
        <v>294.70</v>
      </c>
      <c r="S175" s="15"/>
      <c r="T175" s="15"/>
      <c r="U175" s="15"/>
      <c r="V175" s="15"/>
      <c r="W175" s="15" t="str">
        <f>"249.14"</f>
        <v>249.14</v>
      </c>
      <c r="X175" s="15"/>
      <c r="Y175" s="15"/>
      <c r="Z175" s="15"/>
      <c r="AA175" s="15"/>
    </row>
    <row r="176" spans="1:27">
      <c r="A176" s="6">
        <v>174</v>
      </c>
      <c r="B176" s="6">
        <v>8172</v>
      </c>
      <c r="C176" s="7" t="s">
        <v>262</v>
      </c>
      <c r="D176" s="6" t="s">
        <v>30</v>
      </c>
      <c r="E176" s="6" t="str">
        <f>"245.67"</f>
        <v>245.67</v>
      </c>
      <c r="F176" s="6"/>
      <c r="G176" s="2">
        <v>273.67</v>
      </c>
      <c r="H176" s="8" t="s">
        <v>15</v>
      </c>
      <c r="I176" s="6">
        <v>1</v>
      </c>
      <c r="J176" s="8">
        <v>2017</v>
      </c>
      <c r="K176" s="15" t="str">
        <f>"245.67"</f>
        <v>245.67</v>
      </c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>
      <c r="A177" s="6">
        <v>175</v>
      </c>
      <c r="B177" s="6">
        <v>10263</v>
      </c>
      <c r="C177" s="7" t="s">
        <v>211</v>
      </c>
      <c r="D177" s="6" t="s">
        <v>16</v>
      </c>
      <c r="E177" s="6" t="str">
        <f>"246.79"</f>
        <v>246.79</v>
      </c>
      <c r="F177" s="6"/>
      <c r="G177" s="2">
        <v>274.79000000000002</v>
      </c>
      <c r="H177" s="8" t="s">
        <v>15</v>
      </c>
      <c r="I177" s="6">
        <v>1</v>
      </c>
      <c r="J177" s="8">
        <v>2017</v>
      </c>
      <c r="K177" s="15" t="str">
        <f>"246.79"</f>
        <v>246.79</v>
      </c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>
      <c r="A178" s="6">
        <v>176</v>
      </c>
      <c r="B178" s="6">
        <v>10668</v>
      </c>
      <c r="C178" s="7" t="s">
        <v>273</v>
      </c>
      <c r="D178" s="6" t="s">
        <v>274</v>
      </c>
      <c r="E178" s="6" t="str">
        <f>"247.19"</f>
        <v>247.19</v>
      </c>
      <c r="F178" s="6"/>
      <c r="G178" s="2">
        <v>275.19</v>
      </c>
      <c r="H178" s="8" t="s">
        <v>15</v>
      </c>
      <c r="I178" s="6">
        <v>1</v>
      </c>
      <c r="J178" s="8">
        <v>2017</v>
      </c>
      <c r="K178" s="15" t="str">
        <f>"247.19"</f>
        <v>247.19</v>
      </c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>
      <c r="A179" s="6">
        <v>177</v>
      </c>
      <c r="B179" s="6">
        <v>10602</v>
      </c>
      <c r="C179" s="7" t="s">
        <v>200</v>
      </c>
      <c r="D179" s="6" t="s">
        <v>13</v>
      </c>
      <c r="E179" s="6" t="str">
        <f>"174.44"</f>
        <v>174.44</v>
      </c>
      <c r="F179" s="6"/>
      <c r="G179" s="2">
        <v>279.55</v>
      </c>
      <c r="H179" s="8"/>
      <c r="I179" s="6">
        <v>3</v>
      </c>
      <c r="J179" s="8">
        <v>2017</v>
      </c>
      <c r="K179" s="15" t="str">
        <f>"174.44"</f>
        <v>174.44</v>
      </c>
      <c r="L179" s="15"/>
      <c r="M179" s="15" t="str">
        <f>"349.09"</f>
        <v>349.09</v>
      </c>
      <c r="N179" s="15"/>
      <c r="O179" s="15"/>
      <c r="P179" s="15"/>
      <c r="Q179" s="15"/>
      <c r="R179" s="15"/>
      <c r="S179" s="15"/>
      <c r="T179" s="15"/>
      <c r="U179" s="15"/>
      <c r="V179" s="15" t="str">
        <f>"210.00"</f>
        <v>210.00</v>
      </c>
      <c r="W179" s="15"/>
      <c r="X179" s="15"/>
      <c r="Y179" s="15"/>
      <c r="Z179" s="15"/>
      <c r="AA179" s="15"/>
    </row>
    <row r="180" spans="1:27">
      <c r="A180" s="6">
        <v>178</v>
      </c>
      <c r="B180" s="6">
        <v>6372</v>
      </c>
      <c r="C180" s="7" t="s">
        <v>282</v>
      </c>
      <c r="D180" s="6" t="s">
        <v>78</v>
      </c>
      <c r="E180" s="6" t="str">
        <f>"254.48"</f>
        <v>254.48</v>
      </c>
      <c r="F180" s="6"/>
      <c r="G180" s="2">
        <v>282.48</v>
      </c>
      <c r="H180" s="8" t="s">
        <v>15</v>
      </c>
      <c r="I180" s="6">
        <v>1</v>
      </c>
      <c r="J180" s="8">
        <v>2017</v>
      </c>
      <c r="K180" s="15" t="str">
        <f>"254.48"</f>
        <v>254.48</v>
      </c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>
      <c r="A181" s="6">
        <v>179</v>
      </c>
      <c r="B181" s="6">
        <v>2241</v>
      </c>
      <c r="C181" s="7" t="s">
        <v>289</v>
      </c>
      <c r="D181" s="6" t="s">
        <v>13</v>
      </c>
      <c r="E181" s="6" t="str">
        <f>"167.13"</f>
        <v>167.13</v>
      </c>
      <c r="F181" s="6"/>
      <c r="G181" s="2">
        <v>283.04000000000002</v>
      </c>
      <c r="H181" s="8" t="s">
        <v>11</v>
      </c>
      <c r="I181" s="6">
        <v>2</v>
      </c>
      <c r="J181" s="8">
        <v>2017</v>
      </c>
      <c r="K181" s="15" t="str">
        <f>"167.13"</f>
        <v>167.13</v>
      </c>
      <c r="L181" s="15"/>
      <c r="M181" s="15" t="str">
        <f>"255.04"</f>
        <v>255.04</v>
      </c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>
      <c r="A182" s="6">
        <v>180</v>
      </c>
      <c r="B182" s="6">
        <v>11262</v>
      </c>
      <c r="C182" s="7" t="s">
        <v>300</v>
      </c>
      <c r="D182" s="6" t="s">
        <v>13</v>
      </c>
      <c r="E182" s="6" t="str">
        <f>"283.22"</f>
        <v>283.22</v>
      </c>
      <c r="F182" s="6"/>
      <c r="G182" s="2">
        <v>283.22000000000003</v>
      </c>
      <c r="H182" s="8"/>
      <c r="I182" s="6">
        <v>5</v>
      </c>
      <c r="J182" s="8">
        <v>2017</v>
      </c>
      <c r="K182" s="15"/>
      <c r="L182" s="15" t="str">
        <f>"537.72"</f>
        <v>537.72</v>
      </c>
      <c r="M182" s="15"/>
      <c r="N182" s="15"/>
      <c r="O182" s="15"/>
      <c r="P182" s="15"/>
      <c r="Q182" s="15"/>
      <c r="R182" s="15"/>
      <c r="S182" s="15"/>
      <c r="T182" s="15"/>
      <c r="U182" s="15" t="str">
        <f>"426.03"</f>
        <v>426.03</v>
      </c>
      <c r="V182" s="15"/>
      <c r="W182" s="15"/>
      <c r="X182" s="15"/>
      <c r="Y182" s="15"/>
      <c r="Z182" s="15" t="str">
        <f>"280.85"</f>
        <v>280.85</v>
      </c>
      <c r="AA182" s="15" t="str">
        <f>"285.59"</f>
        <v>285.59</v>
      </c>
    </row>
    <row r="183" spans="1:27">
      <c r="A183" s="6">
        <v>181</v>
      </c>
      <c r="B183" s="6">
        <v>6486</v>
      </c>
      <c r="C183" s="7" t="s">
        <v>334</v>
      </c>
      <c r="D183" s="6" t="s">
        <v>72</v>
      </c>
      <c r="E183" s="6" t="str">
        <f>"282.26"</f>
        <v>282.26</v>
      </c>
      <c r="F183" s="6"/>
      <c r="G183" s="2">
        <v>283.58999999999997</v>
      </c>
      <c r="H183" s="8"/>
      <c r="I183" s="6">
        <v>3</v>
      </c>
      <c r="J183" s="8">
        <v>2017</v>
      </c>
      <c r="K183" s="15" t="str">
        <f>"289.19"</f>
        <v>289.19</v>
      </c>
      <c r="L183" s="15"/>
      <c r="M183" s="15"/>
      <c r="N183" s="15" t="str">
        <f>"291.85"</f>
        <v>291.85</v>
      </c>
      <c r="O183" s="15"/>
      <c r="P183" s="15"/>
      <c r="Q183" s="15"/>
      <c r="R183" s="15"/>
      <c r="S183" s="15"/>
      <c r="T183" s="15"/>
      <c r="U183" s="15"/>
      <c r="V183" s="15"/>
      <c r="W183" s="15" t="str">
        <f>"275.33"</f>
        <v>275.33</v>
      </c>
      <c r="X183" s="15"/>
      <c r="Y183" s="15"/>
      <c r="Z183" s="15"/>
      <c r="AA183" s="15"/>
    </row>
    <row r="184" spans="1:27">
      <c r="A184" s="6">
        <v>182</v>
      </c>
      <c r="B184" s="6">
        <v>10331</v>
      </c>
      <c r="C184" s="7" t="s">
        <v>206</v>
      </c>
      <c r="D184" s="6" t="s">
        <v>40</v>
      </c>
      <c r="E184" s="6" t="str">
        <f>"282.46"</f>
        <v>282.46</v>
      </c>
      <c r="F184" s="6"/>
      <c r="G184" s="2">
        <v>284.47000000000003</v>
      </c>
      <c r="H184" s="8" t="s">
        <v>11</v>
      </c>
      <c r="I184" s="6">
        <v>2</v>
      </c>
      <c r="J184" s="8">
        <v>2017</v>
      </c>
      <c r="K184" s="15" t="str">
        <f>"308.44"</f>
        <v>308.44</v>
      </c>
      <c r="L184" s="15"/>
      <c r="M184" s="15"/>
      <c r="N184" s="15"/>
      <c r="O184" s="15"/>
      <c r="P184" s="15"/>
      <c r="Q184" s="15"/>
      <c r="R184" s="15" t="str">
        <f>"256.47"</f>
        <v>256.47</v>
      </c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>
      <c r="A185" s="6">
        <v>183</v>
      </c>
      <c r="B185" s="6">
        <v>11150</v>
      </c>
      <c r="C185" s="7" t="s">
        <v>214</v>
      </c>
      <c r="D185" s="6" t="s">
        <v>18</v>
      </c>
      <c r="E185" s="6" t="str">
        <f>"285.71"</f>
        <v>285.71</v>
      </c>
      <c r="F185" s="6"/>
      <c r="G185" s="2">
        <v>285.70999999999998</v>
      </c>
      <c r="H185" s="8" t="s">
        <v>11</v>
      </c>
      <c r="I185" s="6">
        <v>4</v>
      </c>
      <c r="J185" s="8">
        <v>2017</v>
      </c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 t="str">
        <f>"257.71"</f>
        <v>257.71</v>
      </c>
      <c r="Z185" s="15"/>
      <c r="AA185" s="15"/>
    </row>
    <row r="186" spans="1:27">
      <c r="A186" s="6">
        <v>184</v>
      </c>
      <c r="B186" s="6">
        <v>10952</v>
      </c>
      <c r="C186" s="7" t="s">
        <v>398</v>
      </c>
      <c r="D186" s="6" t="s">
        <v>19</v>
      </c>
      <c r="E186" s="6" t="str">
        <f>"279.79"</f>
        <v>279.79</v>
      </c>
      <c r="F186" s="6"/>
      <c r="G186" s="2">
        <v>292.31</v>
      </c>
      <c r="H186" s="8" t="s">
        <v>11</v>
      </c>
      <c r="I186" s="6">
        <v>2</v>
      </c>
      <c r="J186" s="8">
        <v>2017</v>
      </c>
      <c r="K186" s="15" t="str">
        <f>"295.26"</f>
        <v>295.26</v>
      </c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 t="str">
        <f>"264.31"</f>
        <v>264.31</v>
      </c>
      <c r="Y186" s="15"/>
      <c r="Z186" s="15"/>
      <c r="AA186" s="15"/>
    </row>
    <row r="187" spans="1:27">
      <c r="A187" s="6">
        <v>185</v>
      </c>
      <c r="B187" s="6">
        <v>6869</v>
      </c>
      <c r="C187" s="7" t="s">
        <v>185</v>
      </c>
      <c r="D187" s="6" t="s">
        <v>62</v>
      </c>
      <c r="E187" s="6" t="str">
        <f>"265.03"</f>
        <v>265.03</v>
      </c>
      <c r="F187" s="6"/>
      <c r="G187" s="2">
        <v>293.02999999999997</v>
      </c>
      <c r="H187" s="8" t="s">
        <v>15</v>
      </c>
      <c r="I187" s="6">
        <v>1</v>
      </c>
      <c r="J187" s="8">
        <v>2017</v>
      </c>
      <c r="K187" s="15" t="str">
        <f>"265.03"</f>
        <v>265.03</v>
      </c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>
      <c r="A188" s="6">
        <v>186</v>
      </c>
      <c r="B188" s="6">
        <v>5346</v>
      </c>
      <c r="C188" s="7" t="s">
        <v>333</v>
      </c>
      <c r="D188" s="6" t="s">
        <v>21</v>
      </c>
      <c r="E188" s="6" t="str">
        <f>"294.75"</f>
        <v>294.75</v>
      </c>
      <c r="F188" s="6"/>
      <c r="G188" s="2">
        <v>294.75</v>
      </c>
      <c r="H188" s="8" t="s">
        <v>11</v>
      </c>
      <c r="I188" s="6">
        <v>4</v>
      </c>
      <c r="J188" s="8">
        <v>2017</v>
      </c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 t="str">
        <f>"266.75"</f>
        <v>266.75</v>
      </c>
      <c r="X188" s="15"/>
      <c r="Y188" s="15"/>
      <c r="Z188" s="15"/>
      <c r="AA188" s="15"/>
    </row>
    <row r="189" spans="1:27">
      <c r="A189" s="6">
        <v>187</v>
      </c>
      <c r="B189" s="6">
        <v>3902</v>
      </c>
      <c r="C189" s="7" t="s">
        <v>186</v>
      </c>
      <c r="D189" s="6" t="s">
        <v>46</v>
      </c>
      <c r="E189" s="6" t="str">
        <f>"267.29"</f>
        <v>267.29</v>
      </c>
      <c r="F189" s="6"/>
      <c r="G189" s="2">
        <v>295.29000000000002</v>
      </c>
      <c r="H189" s="8" t="s">
        <v>15</v>
      </c>
      <c r="I189" s="6">
        <v>1</v>
      </c>
      <c r="J189" s="8">
        <v>2017</v>
      </c>
      <c r="K189" s="15" t="str">
        <f>"267.29"</f>
        <v>267.29</v>
      </c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>
      <c r="A190" s="6">
        <v>188</v>
      </c>
      <c r="B190" s="6">
        <v>10301</v>
      </c>
      <c r="C190" s="7" t="s">
        <v>339</v>
      </c>
      <c r="D190" s="6" t="s">
        <v>44</v>
      </c>
      <c r="E190" s="6" t="str">
        <f>"267.35"</f>
        <v>267.35</v>
      </c>
      <c r="F190" s="6"/>
      <c r="G190" s="2">
        <v>295.35000000000002</v>
      </c>
      <c r="H190" s="8" t="s">
        <v>15</v>
      </c>
      <c r="I190" s="6">
        <v>1</v>
      </c>
      <c r="J190" s="8">
        <v>2017</v>
      </c>
      <c r="K190" s="15" t="str">
        <f>"267.35"</f>
        <v>267.35</v>
      </c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>
      <c r="A191" s="6">
        <v>189</v>
      </c>
      <c r="B191" s="6">
        <v>8649</v>
      </c>
      <c r="C191" s="7" t="s">
        <v>312</v>
      </c>
      <c r="D191" s="6" t="s">
        <v>47</v>
      </c>
      <c r="E191" s="6" t="str">
        <f>"269.37"</f>
        <v>269.37</v>
      </c>
      <c r="F191" s="6"/>
      <c r="G191" s="2">
        <v>297.37</v>
      </c>
      <c r="H191" s="8" t="s">
        <v>15</v>
      </c>
      <c r="I191" s="6">
        <v>1</v>
      </c>
      <c r="J191" s="8">
        <v>2017</v>
      </c>
      <c r="K191" s="15" t="str">
        <f>"269.37"</f>
        <v>269.37</v>
      </c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>
      <c r="A192" s="6">
        <v>190</v>
      </c>
      <c r="B192" s="6">
        <v>3209</v>
      </c>
      <c r="C192" s="7" t="s">
        <v>222</v>
      </c>
      <c r="D192" s="6" t="s">
        <v>54</v>
      </c>
      <c r="E192" s="6" t="str">
        <f>"269.83"</f>
        <v>269.83</v>
      </c>
      <c r="F192" s="6"/>
      <c r="G192" s="2">
        <v>297.83</v>
      </c>
      <c r="H192" s="8" t="s">
        <v>15</v>
      </c>
      <c r="I192" s="6">
        <v>1</v>
      </c>
      <c r="J192" s="8">
        <v>2017</v>
      </c>
      <c r="K192" s="15" t="str">
        <f>"269.83"</f>
        <v>269.83</v>
      </c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>
      <c r="A193" s="6">
        <v>191</v>
      </c>
      <c r="B193" s="6">
        <v>8489</v>
      </c>
      <c r="C193" s="7" t="s">
        <v>302</v>
      </c>
      <c r="D193" s="6" t="s">
        <v>13</v>
      </c>
      <c r="E193" s="6" t="str">
        <f>"264.80"</f>
        <v>264.80</v>
      </c>
      <c r="F193" s="6"/>
      <c r="G193" s="2">
        <v>297.95</v>
      </c>
      <c r="H193" s="8"/>
      <c r="I193" s="6">
        <v>3</v>
      </c>
      <c r="J193" s="8">
        <v>2017</v>
      </c>
      <c r="K193" s="15" t="str">
        <f>"264.80"</f>
        <v>264.80</v>
      </c>
      <c r="L193" s="15" t="str">
        <f>"290.55"</f>
        <v>290.55</v>
      </c>
      <c r="M193" s="15" t="str">
        <f>"305.34"</f>
        <v>305.34</v>
      </c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>
      <c r="A194" s="6">
        <v>192</v>
      </c>
      <c r="B194" s="6">
        <v>10463</v>
      </c>
      <c r="C194" s="7" t="s">
        <v>257</v>
      </c>
      <c r="D194" s="6" t="s">
        <v>13</v>
      </c>
      <c r="E194" s="6" t="str">
        <f>"266.28"</f>
        <v>266.28</v>
      </c>
      <c r="F194" s="6"/>
      <c r="G194" s="2">
        <v>298.81</v>
      </c>
      <c r="H194" s="8"/>
      <c r="I194" s="6">
        <v>3</v>
      </c>
      <c r="J194" s="8">
        <v>2017</v>
      </c>
      <c r="K194" s="15" t="str">
        <f>"266.28"</f>
        <v>266.28</v>
      </c>
      <c r="L194" s="15" t="str">
        <f>"353.75"</f>
        <v>353.75</v>
      </c>
      <c r="M194" s="15" t="str">
        <f>"454.07"</f>
        <v>454.07</v>
      </c>
      <c r="N194" s="15"/>
      <c r="O194" s="15"/>
      <c r="P194" s="15"/>
      <c r="Q194" s="15"/>
      <c r="R194" s="15"/>
      <c r="S194" s="15"/>
      <c r="T194" s="15"/>
      <c r="U194" s="15" t="str">
        <f>"290.34"</f>
        <v>290.34</v>
      </c>
      <c r="V194" s="15" t="str">
        <f>"369.80"</f>
        <v>369.80</v>
      </c>
      <c r="W194" s="15"/>
      <c r="X194" s="15"/>
      <c r="Y194" s="15"/>
      <c r="Z194" s="15" t="str">
        <f>"307.28"</f>
        <v>307.28</v>
      </c>
      <c r="AA194" s="15" t="str">
        <f>"349.82"</f>
        <v>349.82</v>
      </c>
    </row>
    <row r="195" spans="1:27">
      <c r="A195" s="6">
        <v>193</v>
      </c>
      <c r="B195" s="6">
        <v>10847</v>
      </c>
      <c r="C195" s="7" t="s">
        <v>268</v>
      </c>
      <c r="D195" s="6" t="s">
        <v>13</v>
      </c>
      <c r="E195" s="6" t="str">
        <f>"299.05"</f>
        <v>299.05</v>
      </c>
      <c r="F195" s="6"/>
      <c r="G195" s="2">
        <v>299.05</v>
      </c>
      <c r="H195" s="8"/>
      <c r="I195" s="6">
        <v>3</v>
      </c>
      <c r="J195" s="8">
        <v>2017</v>
      </c>
      <c r="K195" s="15" t="str">
        <f>"362.56"</f>
        <v>362.56</v>
      </c>
      <c r="L195" s="15" t="str">
        <f>"320.10"</f>
        <v>320.10</v>
      </c>
      <c r="M195" s="15" t="str">
        <f>"513.02"</f>
        <v>513.02</v>
      </c>
      <c r="N195" s="15"/>
      <c r="O195" s="15"/>
      <c r="P195" s="15"/>
      <c r="Q195" s="15"/>
      <c r="R195" s="15"/>
      <c r="S195" s="15"/>
      <c r="T195" s="15"/>
      <c r="U195" s="15" t="str">
        <f>"277.99"</f>
        <v>277.99</v>
      </c>
      <c r="V195" s="15" t="str">
        <f>"394.00"</f>
        <v>394.00</v>
      </c>
      <c r="W195" s="15"/>
      <c r="X195" s="15"/>
      <c r="Y195" s="15"/>
      <c r="Z195" s="15" t="str">
        <f>"328.04"</f>
        <v>328.04</v>
      </c>
      <c r="AA195" s="15"/>
    </row>
    <row r="196" spans="1:27">
      <c r="A196" s="6">
        <v>194</v>
      </c>
      <c r="B196" s="6">
        <v>9813</v>
      </c>
      <c r="C196" s="7" t="s">
        <v>284</v>
      </c>
      <c r="D196" s="6" t="s">
        <v>64</v>
      </c>
      <c r="E196" s="6" t="str">
        <f>"276.22"</f>
        <v>276.22</v>
      </c>
      <c r="F196" s="6"/>
      <c r="G196" s="2">
        <v>304.22000000000003</v>
      </c>
      <c r="H196" s="8" t="s">
        <v>15</v>
      </c>
      <c r="I196" s="6">
        <v>1</v>
      </c>
      <c r="J196" s="8">
        <v>2017</v>
      </c>
      <c r="K196" s="15" t="str">
        <f>"276.22"</f>
        <v>276.22</v>
      </c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>
      <c r="A197" s="6">
        <v>195</v>
      </c>
      <c r="B197" s="6">
        <v>2694</v>
      </c>
      <c r="C197" s="7" t="s">
        <v>242</v>
      </c>
      <c r="D197" s="6" t="s">
        <v>58</v>
      </c>
      <c r="E197" s="6" t="str">
        <f>"170.17"</f>
        <v>170.17</v>
      </c>
      <c r="F197" s="6"/>
      <c r="G197" s="2">
        <v>306.77999999999997</v>
      </c>
      <c r="H197" s="8"/>
      <c r="I197" s="6">
        <v>3</v>
      </c>
      <c r="J197" s="8">
        <v>2017</v>
      </c>
      <c r="K197" s="15" t="str">
        <f>"179.15"</f>
        <v>179.15</v>
      </c>
      <c r="L197" s="15"/>
      <c r="M197" s="15"/>
      <c r="N197" s="15"/>
      <c r="O197" s="15" t="str">
        <f>"161.18"</f>
        <v>161.18</v>
      </c>
      <c r="P197" s="15"/>
      <c r="Q197" s="15"/>
      <c r="R197" s="15"/>
      <c r="S197" s="15"/>
      <c r="T197" s="15"/>
      <c r="U197" s="15"/>
      <c r="V197" s="15"/>
      <c r="W197" s="15"/>
      <c r="X197" s="15" t="str">
        <f>"452.37"</f>
        <v>452.37</v>
      </c>
      <c r="Y197" s="15"/>
      <c r="Z197" s="15"/>
      <c r="AA197" s="15"/>
    </row>
    <row r="198" spans="1:27">
      <c r="A198" s="6">
        <v>196</v>
      </c>
      <c r="B198" s="6">
        <v>2187</v>
      </c>
      <c r="C198" s="7" t="s">
        <v>305</v>
      </c>
      <c r="D198" s="6" t="s">
        <v>67</v>
      </c>
      <c r="E198" s="6" t="str">
        <f>"278.92"</f>
        <v>278.92</v>
      </c>
      <c r="F198" s="6"/>
      <c r="G198" s="2">
        <v>306.92</v>
      </c>
      <c r="H198" s="8" t="s">
        <v>15</v>
      </c>
      <c r="I198" s="6">
        <v>1</v>
      </c>
      <c r="J198" s="8">
        <v>2018</v>
      </c>
      <c r="K198" s="15" t="str">
        <f>"278.92"</f>
        <v>278.92</v>
      </c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>
      <c r="A199" s="6">
        <v>197</v>
      </c>
      <c r="B199" s="6">
        <v>10743</v>
      </c>
      <c r="C199" s="7" t="s">
        <v>323</v>
      </c>
      <c r="D199" s="6" t="s">
        <v>18</v>
      </c>
      <c r="E199" s="6" t="str">
        <f>"308.54"</f>
        <v>308.54</v>
      </c>
      <c r="F199" s="6"/>
      <c r="G199" s="2">
        <v>308.54000000000002</v>
      </c>
      <c r="H199" s="8" t="s">
        <v>11</v>
      </c>
      <c r="I199" s="6">
        <v>4</v>
      </c>
      <c r="J199" s="8">
        <v>2017</v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 t="str">
        <f>"280.54"</f>
        <v>280.54</v>
      </c>
      <c r="X199" s="15"/>
      <c r="Y199" s="15"/>
      <c r="Z199" s="15"/>
      <c r="AA199" s="15"/>
    </row>
    <row r="200" spans="1:27">
      <c r="A200" s="6">
        <v>198</v>
      </c>
      <c r="B200" s="6">
        <v>1814</v>
      </c>
      <c r="C200" s="7" t="s">
        <v>392</v>
      </c>
      <c r="D200" s="6" t="s">
        <v>32</v>
      </c>
      <c r="E200" s="6" t="str">
        <f>"280.94"</f>
        <v>280.94</v>
      </c>
      <c r="F200" s="6"/>
      <c r="G200" s="2">
        <v>308.94</v>
      </c>
      <c r="H200" s="8" t="s">
        <v>15</v>
      </c>
      <c r="I200" s="6">
        <v>1</v>
      </c>
      <c r="J200" s="8">
        <v>2017</v>
      </c>
      <c r="K200" s="15" t="str">
        <f>"280.94"</f>
        <v>280.94</v>
      </c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>
      <c r="A201" s="6">
        <v>199</v>
      </c>
      <c r="B201" s="6">
        <v>3094</v>
      </c>
      <c r="C201" s="7" t="s">
        <v>243</v>
      </c>
      <c r="D201" s="6" t="s">
        <v>77</v>
      </c>
      <c r="E201" s="6" t="str">
        <f>"282.00"</f>
        <v>282.00</v>
      </c>
      <c r="F201" s="6"/>
      <c r="G201" s="2">
        <v>310</v>
      </c>
      <c r="H201" s="8" t="s">
        <v>15</v>
      </c>
      <c r="I201" s="6">
        <v>1</v>
      </c>
      <c r="J201" s="8">
        <v>2017</v>
      </c>
      <c r="K201" s="15" t="str">
        <f>"282.00"</f>
        <v>282.00</v>
      </c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>
      <c r="A202" s="6">
        <v>200</v>
      </c>
      <c r="B202" s="6">
        <v>11088</v>
      </c>
      <c r="C202" s="7" t="s">
        <v>295</v>
      </c>
      <c r="D202" s="6" t="s">
        <v>18</v>
      </c>
      <c r="E202" s="6" t="str">
        <f>"310.32"</f>
        <v>310.32</v>
      </c>
      <c r="F202" s="6"/>
      <c r="G202" s="2">
        <v>310.32</v>
      </c>
      <c r="H202" s="8"/>
      <c r="I202" s="6">
        <v>3</v>
      </c>
      <c r="J202" s="8">
        <v>2017</v>
      </c>
      <c r="K202" s="15" t="str">
        <f>"398.88"</f>
        <v>398.88</v>
      </c>
      <c r="L202" s="15"/>
      <c r="M202" s="15"/>
      <c r="N202" s="15"/>
      <c r="O202" s="15"/>
      <c r="P202" s="15"/>
      <c r="Q202" s="15" t="str">
        <f>"390.43"</f>
        <v>390.43</v>
      </c>
      <c r="R202" s="15"/>
      <c r="S202" s="15"/>
      <c r="T202" s="15" t="str">
        <f>"576.56"</f>
        <v>576.56</v>
      </c>
      <c r="U202" s="15"/>
      <c r="V202" s="15"/>
      <c r="W202" s="15"/>
      <c r="X202" s="15"/>
      <c r="Y202" s="15" t="str">
        <f>"230.21"</f>
        <v>230.21</v>
      </c>
      <c r="Z202" s="15"/>
      <c r="AA202" s="15"/>
    </row>
    <row r="203" spans="1:27">
      <c r="A203" s="6">
        <v>201</v>
      </c>
      <c r="B203" s="6">
        <v>10322</v>
      </c>
      <c r="C203" s="7" t="s">
        <v>220</v>
      </c>
      <c r="D203" s="6" t="s">
        <v>59</v>
      </c>
      <c r="E203" s="6" t="str">
        <f>"296.81"</f>
        <v>296.81</v>
      </c>
      <c r="F203" s="6"/>
      <c r="G203" s="2">
        <v>311.32</v>
      </c>
      <c r="H203" s="8"/>
      <c r="I203" s="6">
        <v>3</v>
      </c>
      <c r="J203" s="8">
        <v>2017</v>
      </c>
      <c r="K203" s="15" t="str">
        <f>"339.80"</f>
        <v>339.80</v>
      </c>
      <c r="L203" s="15"/>
      <c r="M203" s="15"/>
      <c r="N203" s="15" t="str">
        <f>"368.82"</f>
        <v>368.82</v>
      </c>
      <c r="O203" s="15"/>
      <c r="P203" s="15"/>
      <c r="Q203" s="15"/>
      <c r="R203" s="15"/>
      <c r="S203" s="15"/>
      <c r="T203" s="15"/>
      <c r="U203" s="15"/>
      <c r="V203" s="15"/>
      <c r="W203" s="15" t="str">
        <f>"253.82"</f>
        <v>253.82</v>
      </c>
      <c r="X203" s="15"/>
      <c r="Y203" s="15"/>
      <c r="Z203" s="15"/>
      <c r="AA203" s="15"/>
    </row>
    <row r="204" spans="1:27">
      <c r="A204" s="6">
        <v>202</v>
      </c>
      <c r="B204" s="6">
        <v>11104</v>
      </c>
      <c r="C204" s="7" t="s">
        <v>292</v>
      </c>
      <c r="D204" s="6" t="s">
        <v>27</v>
      </c>
      <c r="E204" s="6" t="str">
        <f>"312.01"</f>
        <v>312.01</v>
      </c>
      <c r="F204" s="6"/>
      <c r="G204" s="2">
        <v>312.01</v>
      </c>
      <c r="H204" s="8" t="s">
        <v>11</v>
      </c>
      <c r="I204" s="6">
        <v>4</v>
      </c>
      <c r="J204" s="8">
        <v>2017</v>
      </c>
      <c r="K204" s="15"/>
      <c r="L204" s="15"/>
      <c r="M204" s="15"/>
      <c r="N204" s="15"/>
      <c r="O204" s="15"/>
      <c r="P204" s="15"/>
      <c r="Q204" s="15"/>
      <c r="R204" s="15" t="str">
        <f>"284.01"</f>
        <v>284.01</v>
      </c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>
      <c r="A205" s="6">
        <v>203</v>
      </c>
      <c r="B205" s="6">
        <v>479</v>
      </c>
      <c r="C205" s="7" t="s">
        <v>308</v>
      </c>
      <c r="D205" s="6" t="s">
        <v>62</v>
      </c>
      <c r="E205" s="6" t="str">
        <f>"312.55"</f>
        <v>312.55</v>
      </c>
      <c r="F205" s="6"/>
      <c r="G205" s="2">
        <v>316.81</v>
      </c>
      <c r="H205" s="8" t="s">
        <v>11</v>
      </c>
      <c r="I205" s="6">
        <v>2</v>
      </c>
      <c r="J205" s="8">
        <v>2017</v>
      </c>
      <c r="K205" s="15" t="str">
        <f>"336.29"</f>
        <v>336.29</v>
      </c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 t="str">
        <f>"288.81"</f>
        <v>288.81</v>
      </c>
      <c r="Z205" s="15"/>
      <c r="AA205" s="15"/>
    </row>
    <row r="206" spans="1:27">
      <c r="A206" s="6">
        <v>204</v>
      </c>
      <c r="B206" s="6">
        <v>7605</v>
      </c>
      <c r="C206" s="7" t="s">
        <v>385</v>
      </c>
      <c r="D206" s="6" t="s">
        <v>61</v>
      </c>
      <c r="E206" s="6" t="str">
        <f>"291.72"</f>
        <v>291.72</v>
      </c>
      <c r="F206" s="6"/>
      <c r="G206" s="2">
        <v>319.72000000000003</v>
      </c>
      <c r="H206" s="8" t="s">
        <v>15</v>
      </c>
      <c r="I206" s="6">
        <v>1</v>
      </c>
      <c r="J206" s="8">
        <v>2017</v>
      </c>
      <c r="K206" s="15" t="str">
        <f>"291.72"</f>
        <v>291.72</v>
      </c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>
      <c r="A207" s="6">
        <v>205</v>
      </c>
      <c r="B207" s="6">
        <v>10878</v>
      </c>
      <c r="C207" s="7" t="s">
        <v>327</v>
      </c>
      <c r="D207" s="6" t="s">
        <v>13</v>
      </c>
      <c r="E207" s="6" t="str">
        <f>"320.93"</f>
        <v>320.93</v>
      </c>
      <c r="F207" s="6"/>
      <c r="G207" s="2">
        <v>320.93</v>
      </c>
      <c r="H207" s="8"/>
      <c r="I207" s="6">
        <v>3</v>
      </c>
      <c r="J207" s="8">
        <v>2017</v>
      </c>
      <c r="K207" s="15" t="str">
        <f>"398.53"</f>
        <v>398.53</v>
      </c>
      <c r="L207" s="15" t="str">
        <f>"416.53"</f>
        <v>416.53</v>
      </c>
      <c r="M207" s="15"/>
      <c r="N207" s="15"/>
      <c r="O207" s="15"/>
      <c r="P207" s="15"/>
      <c r="Q207" s="15"/>
      <c r="R207" s="15"/>
      <c r="S207" s="15"/>
      <c r="T207" s="15"/>
      <c r="U207" s="15" t="str">
        <f>"318.70"</f>
        <v>318.70</v>
      </c>
      <c r="V207" s="15" t="str">
        <f>"422.36"</f>
        <v>422.36</v>
      </c>
      <c r="W207" s="15"/>
      <c r="X207" s="15"/>
      <c r="Y207" s="15"/>
      <c r="Z207" s="15" t="str">
        <f>"323.15"</f>
        <v>323.15</v>
      </c>
      <c r="AA207" s="15" t="str">
        <f>"334.15"</f>
        <v>334.15</v>
      </c>
    </row>
    <row r="208" spans="1:27">
      <c r="A208" s="6">
        <v>206</v>
      </c>
      <c r="B208" s="6">
        <v>10379</v>
      </c>
      <c r="C208" s="7" t="s">
        <v>397</v>
      </c>
      <c r="D208" s="6" t="s">
        <v>19</v>
      </c>
      <c r="E208" s="6" t="str">
        <f>"294.77"</f>
        <v>294.77</v>
      </c>
      <c r="F208" s="6"/>
      <c r="G208" s="2">
        <v>322.77</v>
      </c>
      <c r="H208" s="8" t="s">
        <v>15</v>
      </c>
      <c r="I208" s="6">
        <v>1</v>
      </c>
      <c r="J208" s="8">
        <v>2017</v>
      </c>
      <c r="K208" s="15" t="str">
        <f>"294.77"</f>
        <v>294.77</v>
      </c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>
      <c r="A209" s="6">
        <v>207</v>
      </c>
      <c r="B209" s="6">
        <v>11025</v>
      </c>
      <c r="C209" s="7" t="s">
        <v>309</v>
      </c>
      <c r="D209" s="6" t="s">
        <v>40</v>
      </c>
      <c r="E209" s="6" t="str">
        <f>"327.86"</f>
        <v>327.86</v>
      </c>
      <c r="F209" s="6"/>
      <c r="G209" s="2">
        <v>327.86</v>
      </c>
      <c r="H209" s="8" t="s">
        <v>11</v>
      </c>
      <c r="I209" s="6">
        <v>4</v>
      </c>
      <c r="J209" s="8">
        <v>2017</v>
      </c>
      <c r="K209" s="15"/>
      <c r="L209" s="15"/>
      <c r="M209" s="15"/>
      <c r="N209" s="15"/>
      <c r="O209" s="15"/>
      <c r="P209" s="15" t="str">
        <f>"299.86"</f>
        <v>299.86</v>
      </c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>
      <c r="A210" s="6">
        <v>208</v>
      </c>
      <c r="B210" s="6">
        <v>10353</v>
      </c>
      <c r="C210" s="7" t="s">
        <v>287</v>
      </c>
      <c r="D210" s="6" t="s">
        <v>18</v>
      </c>
      <c r="E210" s="6" t="str">
        <f>"458.69"</f>
        <v>458.69</v>
      </c>
      <c r="F210" s="6"/>
      <c r="G210" s="2">
        <v>328.93</v>
      </c>
      <c r="H210" s="8" t="s">
        <v>11</v>
      </c>
      <c r="I210" s="6">
        <v>2</v>
      </c>
      <c r="J210" s="8">
        <v>2017</v>
      </c>
      <c r="K210" s="15" t="str">
        <f>"616.44"</f>
        <v>616.44</v>
      </c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 t="str">
        <f>"300.93"</f>
        <v>300.93</v>
      </c>
      <c r="Z210" s="15"/>
      <c r="AA210" s="15"/>
    </row>
    <row r="211" spans="1:27">
      <c r="A211" s="6">
        <v>209</v>
      </c>
      <c r="B211" s="6">
        <v>2223</v>
      </c>
      <c r="C211" s="7" t="s">
        <v>219</v>
      </c>
      <c r="D211" s="6" t="s">
        <v>27</v>
      </c>
      <c r="E211" s="6" t="str">
        <f>"289.13"</f>
        <v>289.13</v>
      </c>
      <c r="F211" s="6"/>
      <c r="G211" s="2">
        <v>332.6</v>
      </c>
      <c r="H211" s="8"/>
      <c r="I211" s="6">
        <v>3</v>
      </c>
      <c r="J211" s="8">
        <v>2017</v>
      </c>
      <c r="K211" s="15" t="str">
        <f>"289.13"</f>
        <v>289.13</v>
      </c>
      <c r="L211" s="15"/>
      <c r="M211" s="15"/>
      <c r="N211" s="15" t="str">
        <f>"358.14"</f>
        <v>358.14</v>
      </c>
      <c r="O211" s="15"/>
      <c r="P211" s="15"/>
      <c r="Q211" s="15"/>
      <c r="R211" s="15"/>
      <c r="S211" s="15" t="str">
        <f>"307.05"</f>
        <v>307.05</v>
      </c>
      <c r="T211" s="15"/>
      <c r="U211" s="15"/>
      <c r="V211" s="15"/>
      <c r="W211" s="15"/>
      <c r="X211" s="15"/>
      <c r="Y211" s="15"/>
      <c r="Z211" s="15"/>
      <c r="AA211" s="15"/>
    </row>
    <row r="212" spans="1:27">
      <c r="A212" s="6">
        <v>210</v>
      </c>
      <c r="B212" s="6">
        <v>5923</v>
      </c>
      <c r="C212" s="7" t="s">
        <v>387</v>
      </c>
      <c r="D212" s="6" t="s">
        <v>10</v>
      </c>
      <c r="E212" s="6" t="str">
        <f>"309.74"</f>
        <v>309.74</v>
      </c>
      <c r="F212" s="6"/>
      <c r="G212" s="2">
        <v>337.74</v>
      </c>
      <c r="H212" s="8" t="s">
        <v>15</v>
      </c>
      <c r="I212" s="6">
        <v>1</v>
      </c>
      <c r="J212" s="8">
        <v>2017</v>
      </c>
      <c r="K212" s="15" t="str">
        <f>"309.74"</f>
        <v>309.74</v>
      </c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>
      <c r="A213" s="6">
        <v>211</v>
      </c>
      <c r="B213" s="6">
        <v>9985</v>
      </c>
      <c r="C213" s="7" t="s">
        <v>278</v>
      </c>
      <c r="D213" s="6" t="s">
        <v>27</v>
      </c>
      <c r="E213" s="6" t="str">
        <f>"311.14"</f>
        <v>311.14</v>
      </c>
      <c r="F213" s="6"/>
      <c r="G213" s="2">
        <v>339.14</v>
      </c>
      <c r="H213" s="8" t="s">
        <v>15</v>
      </c>
      <c r="I213" s="6">
        <v>1</v>
      </c>
      <c r="J213" s="8">
        <v>2017</v>
      </c>
      <c r="K213" s="15" t="str">
        <f>"311.14"</f>
        <v>311.14</v>
      </c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>
      <c r="A214" s="6">
        <v>212</v>
      </c>
      <c r="B214" s="6">
        <v>10879</v>
      </c>
      <c r="C214" s="7" t="s">
        <v>233</v>
      </c>
      <c r="D214" s="6" t="s">
        <v>13</v>
      </c>
      <c r="E214" s="6" t="str">
        <f>"324.12"</f>
        <v>324.12</v>
      </c>
      <c r="F214" s="6"/>
      <c r="G214" s="2">
        <v>341.56</v>
      </c>
      <c r="H214" s="8"/>
      <c r="I214" s="6">
        <v>3</v>
      </c>
      <c r="J214" s="8">
        <v>2017</v>
      </c>
      <c r="K214" s="15" t="str">
        <f>"324.12"</f>
        <v>324.12</v>
      </c>
      <c r="L214" s="15" t="str">
        <f>"339.71"</f>
        <v>339.71</v>
      </c>
      <c r="M214" s="15" t="str">
        <f>"405.73"</f>
        <v>405.73</v>
      </c>
      <c r="N214" s="15"/>
      <c r="O214" s="15"/>
      <c r="P214" s="15"/>
      <c r="Q214" s="15"/>
      <c r="R214" s="15"/>
      <c r="S214" s="15"/>
      <c r="T214" s="15"/>
      <c r="U214" s="15" t="str">
        <f>"396.05"</f>
        <v>396.05</v>
      </c>
      <c r="V214" s="15"/>
      <c r="W214" s="15"/>
      <c r="X214" s="15"/>
      <c r="Y214" s="15"/>
      <c r="Z214" s="15" t="str">
        <f>"343.40"</f>
        <v>343.40</v>
      </c>
      <c r="AA214" s="15"/>
    </row>
    <row r="215" spans="1:27">
      <c r="A215" s="6">
        <v>213</v>
      </c>
      <c r="B215" s="6">
        <v>3955</v>
      </c>
      <c r="C215" s="7" t="s">
        <v>288</v>
      </c>
      <c r="D215" s="6" t="s">
        <v>38</v>
      </c>
      <c r="E215" s="6" t="str">
        <f>"232.39"</f>
        <v>232.39</v>
      </c>
      <c r="F215" s="6"/>
      <c r="G215" s="2">
        <v>341.59</v>
      </c>
      <c r="H215" s="8" t="s">
        <v>11</v>
      </c>
      <c r="I215" s="6">
        <v>2</v>
      </c>
      <c r="J215" s="8">
        <v>2017</v>
      </c>
      <c r="K215" s="15" t="str">
        <f>"232.39"</f>
        <v>232.39</v>
      </c>
      <c r="L215" s="15"/>
      <c r="M215" s="15"/>
      <c r="N215" s="15"/>
      <c r="O215" s="15"/>
      <c r="P215" s="15"/>
      <c r="Q215" s="15"/>
      <c r="R215" s="15"/>
      <c r="S215" s="15" t="str">
        <f>"313.59"</f>
        <v>313.59</v>
      </c>
      <c r="T215" s="15"/>
      <c r="U215" s="15"/>
      <c r="V215" s="15"/>
      <c r="W215" s="15"/>
      <c r="X215" s="15"/>
      <c r="Y215" s="15"/>
      <c r="Z215" s="15"/>
      <c r="AA215" s="15"/>
    </row>
    <row r="216" spans="1:27">
      <c r="A216" s="6">
        <v>214</v>
      </c>
      <c r="B216" s="6">
        <v>11149</v>
      </c>
      <c r="C216" s="7" t="s">
        <v>324</v>
      </c>
      <c r="D216" s="6" t="s">
        <v>18</v>
      </c>
      <c r="E216" s="6" t="str">
        <f>"342.20"</f>
        <v>342.20</v>
      </c>
      <c r="F216" s="6"/>
      <c r="G216" s="2">
        <v>342.2</v>
      </c>
      <c r="H216" s="8"/>
      <c r="I216" s="6">
        <v>5</v>
      </c>
      <c r="J216" s="8">
        <v>2017</v>
      </c>
      <c r="K216" s="15"/>
      <c r="L216" s="15"/>
      <c r="M216" s="15"/>
      <c r="N216" s="15"/>
      <c r="O216" s="15"/>
      <c r="P216" s="15"/>
      <c r="Q216" s="15"/>
      <c r="R216" s="15" t="str">
        <f>"458.79"</f>
        <v>458.79</v>
      </c>
      <c r="S216" s="15"/>
      <c r="T216" s="15" t="str">
        <f>"909.66"</f>
        <v>909.66</v>
      </c>
      <c r="U216" s="15"/>
      <c r="V216" s="15"/>
      <c r="W216" s="15" t="str">
        <f>"312.54"</f>
        <v>312.54</v>
      </c>
      <c r="X216" s="15"/>
      <c r="Y216" s="15" t="str">
        <f>"371.85"</f>
        <v>371.85</v>
      </c>
      <c r="Z216" s="15"/>
      <c r="AA216" s="15"/>
    </row>
    <row r="217" spans="1:27">
      <c r="A217" s="6">
        <v>215</v>
      </c>
      <c r="B217" s="6">
        <v>11070</v>
      </c>
      <c r="C217" s="7" t="s">
        <v>269</v>
      </c>
      <c r="D217" s="6" t="s">
        <v>27</v>
      </c>
      <c r="E217" s="6" t="str">
        <f>"339.58"</f>
        <v>339.58</v>
      </c>
      <c r="F217" s="6"/>
      <c r="G217" s="2">
        <v>343.2</v>
      </c>
      <c r="H217" s="8" t="s">
        <v>11</v>
      </c>
      <c r="I217" s="6">
        <v>2</v>
      </c>
      <c r="J217" s="8">
        <v>2017</v>
      </c>
      <c r="K217" s="15" t="str">
        <f>"363.96"</f>
        <v>363.96</v>
      </c>
      <c r="L217" s="15"/>
      <c r="M217" s="15"/>
      <c r="N217" s="15"/>
      <c r="O217" s="15"/>
      <c r="P217" s="15" t="str">
        <f>"315.20"</f>
        <v>315.20</v>
      </c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>
      <c r="A218" s="6">
        <v>216</v>
      </c>
      <c r="B218" s="6">
        <v>10968</v>
      </c>
      <c r="C218" s="7" t="s">
        <v>293</v>
      </c>
      <c r="D218" s="6" t="s">
        <v>16</v>
      </c>
      <c r="E218" s="6" t="str">
        <f>"223.82"</f>
        <v>223.82</v>
      </c>
      <c r="F218" s="6"/>
      <c r="G218" s="2">
        <v>346.2</v>
      </c>
      <c r="H218" s="8" t="s">
        <v>11</v>
      </c>
      <c r="I218" s="6">
        <v>2</v>
      </c>
      <c r="J218" s="8">
        <v>2017</v>
      </c>
      <c r="K218" s="15" t="str">
        <f>"223.82"</f>
        <v>223.82</v>
      </c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 t="str">
        <f>"318.20"</f>
        <v>318.20</v>
      </c>
      <c r="Z218" s="15"/>
      <c r="AA218" s="15"/>
    </row>
    <row r="219" spans="1:27">
      <c r="A219" s="6">
        <v>217</v>
      </c>
      <c r="B219" s="6">
        <v>11427</v>
      </c>
      <c r="C219" s="7" t="s">
        <v>232</v>
      </c>
      <c r="D219" s="6" t="s">
        <v>13</v>
      </c>
      <c r="E219" s="6" t="str">
        <f>"346.77"</f>
        <v>346.77</v>
      </c>
      <c r="F219" s="6"/>
      <c r="G219" s="2">
        <v>346.77</v>
      </c>
      <c r="H219" s="8" t="s">
        <v>11</v>
      </c>
      <c r="I219" s="6">
        <v>4</v>
      </c>
      <c r="J219" s="8">
        <v>2017</v>
      </c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 t="str">
        <f>"318.77"</f>
        <v>318.77</v>
      </c>
      <c r="AA219" s="15"/>
    </row>
    <row r="220" spans="1:27">
      <c r="A220" s="6">
        <v>218</v>
      </c>
      <c r="B220" s="6">
        <v>1385</v>
      </c>
      <c r="C220" s="7" t="s">
        <v>316</v>
      </c>
      <c r="D220" s="6" t="s">
        <v>32</v>
      </c>
      <c r="E220" s="6" t="str">
        <f>"302.91"</f>
        <v>302.91</v>
      </c>
      <c r="F220" s="6"/>
      <c r="G220" s="2">
        <v>347.09</v>
      </c>
      <c r="H220" s="8"/>
      <c r="I220" s="6">
        <v>3</v>
      </c>
      <c r="J220" s="8">
        <v>2017</v>
      </c>
      <c r="K220" s="15" t="str">
        <f>"302.91"</f>
        <v>302.91</v>
      </c>
      <c r="L220" s="15"/>
      <c r="M220" s="15"/>
      <c r="N220" s="15"/>
      <c r="O220" s="15" t="str">
        <f>"350.93"</f>
        <v>350.93</v>
      </c>
      <c r="P220" s="15"/>
      <c r="Q220" s="15"/>
      <c r="R220" s="15"/>
      <c r="S220" s="15" t="str">
        <f>"343.24"</f>
        <v>343.24</v>
      </c>
      <c r="T220" s="15"/>
      <c r="U220" s="15"/>
      <c r="V220" s="15"/>
      <c r="W220" s="15"/>
      <c r="X220" s="15"/>
      <c r="Y220" s="15"/>
      <c r="Z220" s="15"/>
      <c r="AA220" s="15"/>
    </row>
    <row r="221" spans="1:27">
      <c r="A221" s="6">
        <v>219</v>
      </c>
      <c r="B221" s="6">
        <v>8344</v>
      </c>
      <c r="C221" s="7" t="s">
        <v>275</v>
      </c>
      <c r="D221" s="6" t="s">
        <v>18</v>
      </c>
      <c r="E221" s="6" t="str">
        <f>"322.47"</f>
        <v>322.47</v>
      </c>
      <c r="F221" s="6"/>
      <c r="G221" s="2">
        <v>350.47</v>
      </c>
      <c r="H221" s="8" t="s">
        <v>15</v>
      </c>
      <c r="I221" s="6">
        <v>1</v>
      </c>
      <c r="J221" s="8">
        <v>2017</v>
      </c>
      <c r="K221" s="15" t="str">
        <f>"322.47"</f>
        <v>322.47</v>
      </c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>
      <c r="A222" s="6">
        <v>220</v>
      </c>
      <c r="B222" s="6">
        <v>4380</v>
      </c>
      <c r="C222" s="7" t="s">
        <v>306</v>
      </c>
      <c r="D222" s="6" t="s">
        <v>68</v>
      </c>
      <c r="E222" s="6" t="str">
        <f>"246.65"</f>
        <v>246.65</v>
      </c>
      <c r="F222" s="6"/>
      <c r="G222" s="2">
        <v>350.49</v>
      </c>
      <c r="H222" s="8" t="s">
        <v>11</v>
      </c>
      <c r="I222" s="6">
        <v>2</v>
      </c>
      <c r="J222" s="8">
        <v>2017</v>
      </c>
      <c r="K222" s="15" t="str">
        <f>"246.65"</f>
        <v>246.65</v>
      </c>
      <c r="L222" s="15"/>
      <c r="M222" s="15"/>
      <c r="N222" s="15"/>
      <c r="O222" s="15"/>
      <c r="P222" s="15"/>
      <c r="Q222" s="15"/>
      <c r="R222" s="15"/>
      <c r="S222" s="15" t="str">
        <f>"322.49"</f>
        <v>322.49</v>
      </c>
      <c r="T222" s="15"/>
      <c r="U222" s="15"/>
      <c r="V222" s="15"/>
      <c r="W222" s="15"/>
      <c r="X222" s="15"/>
      <c r="Y222" s="15"/>
      <c r="Z222" s="15"/>
      <c r="AA222" s="15"/>
    </row>
    <row r="223" spans="1:27">
      <c r="A223" s="6">
        <v>221</v>
      </c>
      <c r="B223" s="6">
        <v>3047</v>
      </c>
      <c r="C223" s="7" t="s">
        <v>272</v>
      </c>
      <c r="D223" s="6" t="s">
        <v>56</v>
      </c>
      <c r="E223" s="6" t="str">
        <f>"293.24"</f>
        <v>293.24</v>
      </c>
      <c r="F223" s="6"/>
      <c r="G223" s="2">
        <v>351.96</v>
      </c>
      <c r="H223" s="8"/>
      <c r="I223" s="6">
        <v>3</v>
      </c>
      <c r="J223" s="8">
        <v>2017</v>
      </c>
      <c r="K223" s="15" t="str">
        <f>"293.24"</f>
        <v>293.24</v>
      </c>
      <c r="L223" s="15"/>
      <c r="M223" s="15"/>
      <c r="N223" s="15"/>
      <c r="O223" s="15"/>
      <c r="P223" s="15"/>
      <c r="Q223" s="15"/>
      <c r="R223" s="15"/>
      <c r="S223" s="15" t="str">
        <f>"353.44"</f>
        <v>353.44</v>
      </c>
      <c r="T223" s="15"/>
      <c r="U223" s="15"/>
      <c r="V223" s="15"/>
      <c r="W223" s="15" t="str">
        <f>"350.47"</f>
        <v>350.47</v>
      </c>
      <c r="X223" s="15"/>
      <c r="Y223" s="15"/>
      <c r="Z223" s="15"/>
      <c r="AA223" s="15"/>
    </row>
    <row r="224" spans="1:27">
      <c r="A224" s="6">
        <v>222</v>
      </c>
      <c r="B224" s="6">
        <v>10700</v>
      </c>
      <c r="C224" s="7" t="s">
        <v>259</v>
      </c>
      <c r="D224" s="6" t="s">
        <v>16</v>
      </c>
      <c r="E224" s="6" t="str">
        <f>"371.39"</f>
        <v>371.39</v>
      </c>
      <c r="F224" s="6"/>
      <c r="G224" s="2">
        <v>354.7</v>
      </c>
      <c r="H224" s="8" t="s">
        <v>11</v>
      </c>
      <c r="I224" s="6">
        <v>2</v>
      </c>
      <c r="J224" s="8">
        <v>2017</v>
      </c>
      <c r="K224" s="15" t="str">
        <f>"416.08"</f>
        <v>416.08</v>
      </c>
      <c r="L224" s="15"/>
      <c r="M224" s="15"/>
      <c r="N224" s="15"/>
      <c r="O224" s="15"/>
      <c r="P224" s="15" t="str">
        <f>"326.70"</f>
        <v>326.70</v>
      </c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>
      <c r="A225" s="6">
        <v>223</v>
      </c>
      <c r="B225" s="6">
        <v>11051</v>
      </c>
      <c r="C225" s="7" t="s">
        <v>189</v>
      </c>
      <c r="D225" s="6" t="s">
        <v>27</v>
      </c>
      <c r="E225" s="6" t="str">
        <f>"361.69"</f>
        <v>361.69</v>
      </c>
      <c r="F225" s="6"/>
      <c r="G225" s="2">
        <v>355.05</v>
      </c>
      <c r="H225" s="8" t="s">
        <v>11</v>
      </c>
      <c r="I225" s="6">
        <v>2</v>
      </c>
      <c r="J225" s="8">
        <v>2017</v>
      </c>
      <c r="K225" s="15" t="str">
        <f>"396.32"</f>
        <v>396.32</v>
      </c>
      <c r="L225" s="15"/>
      <c r="M225" s="15"/>
      <c r="N225" s="15"/>
      <c r="O225" s="15"/>
      <c r="P225" s="15" t="str">
        <f>"327.05"</f>
        <v>327.05</v>
      </c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>
      <c r="A226" s="6">
        <v>224</v>
      </c>
      <c r="B226" s="6">
        <v>10294</v>
      </c>
      <c r="C226" s="7" t="s">
        <v>335</v>
      </c>
      <c r="D226" s="6" t="s">
        <v>66</v>
      </c>
      <c r="E226" s="6" t="str">
        <f>"330.77"</f>
        <v>330.77</v>
      </c>
      <c r="F226" s="6"/>
      <c r="G226" s="2">
        <v>358.77</v>
      </c>
      <c r="H226" s="8" t="s">
        <v>15</v>
      </c>
      <c r="I226" s="6">
        <v>1</v>
      </c>
      <c r="J226" s="8">
        <v>2017</v>
      </c>
      <c r="K226" s="15" t="str">
        <f>"330.77"</f>
        <v>330.77</v>
      </c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1:27">
      <c r="A227" s="6">
        <v>225</v>
      </c>
      <c r="B227" s="6">
        <v>10358</v>
      </c>
      <c r="C227" s="7" t="s">
        <v>280</v>
      </c>
      <c r="D227" s="6" t="s">
        <v>27</v>
      </c>
      <c r="E227" s="6" t="str">
        <f>"307.42"</f>
        <v>307.42</v>
      </c>
      <c r="F227" s="6"/>
      <c r="G227" s="2">
        <v>358.82</v>
      </c>
      <c r="H227" s="8" t="s">
        <v>11</v>
      </c>
      <c r="I227" s="6">
        <v>2</v>
      </c>
      <c r="J227" s="8">
        <v>2017</v>
      </c>
      <c r="K227" s="15" t="str">
        <f>"307.42"</f>
        <v>307.42</v>
      </c>
      <c r="L227" s="15"/>
      <c r="M227" s="15"/>
      <c r="N227" s="15"/>
      <c r="O227" s="15"/>
      <c r="P227" s="15" t="str">
        <f>"330.82"</f>
        <v>330.82</v>
      </c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>
      <c r="A228" s="6">
        <v>226</v>
      </c>
      <c r="B228" s="6">
        <v>10255</v>
      </c>
      <c r="C228" s="7" t="s">
        <v>345</v>
      </c>
      <c r="D228" s="6" t="s">
        <v>85</v>
      </c>
      <c r="E228" s="6" t="str">
        <f>"337.76"</f>
        <v>337.76</v>
      </c>
      <c r="F228" s="6"/>
      <c r="G228" s="2">
        <v>365.76</v>
      </c>
      <c r="H228" s="8" t="s">
        <v>15</v>
      </c>
      <c r="I228" s="6">
        <v>1</v>
      </c>
      <c r="J228" s="8">
        <v>2017</v>
      </c>
      <c r="K228" s="15" t="str">
        <f>"337.76"</f>
        <v>337.76</v>
      </c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1:27">
      <c r="A229" s="6">
        <v>227</v>
      </c>
      <c r="B229" s="6">
        <v>10366</v>
      </c>
      <c r="C229" s="7" t="s">
        <v>264</v>
      </c>
      <c r="D229" s="6" t="s">
        <v>40</v>
      </c>
      <c r="E229" s="6" t="str">
        <f>"361.99"</f>
        <v>361.99</v>
      </c>
      <c r="F229" s="6"/>
      <c r="G229" s="2">
        <v>367.97</v>
      </c>
      <c r="H229" s="8" t="s">
        <v>11</v>
      </c>
      <c r="I229" s="6">
        <v>2</v>
      </c>
      <c r="J229" s="8">
        <v>2017</v>
      </c>
      <c r="K229" s="15" t="str">
        <f>"384.01"</f>
        <v>384.01</v>
      </c>
      <c r="L229" s="15"/>
      <c r="M229" s="15"/>
      <c r="N229" s="15"/>
      <c r="O229" s="15"/>
      <c r="P229" s="15" t="str">
        <f>"339.97"</f>
        <v>339.97</v>
      </c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>
      <c r="A230" s="6">
        <v>228</v>
      </c>
      <c r="B230" s="6">
        <v>10465</v>
      </c>
      <c r="C230" s="7" t="s">
        <v>254</v>
      </c>
      <c r="D230" s="6" t="s">
        <v>18</v>
      </c>
      <c r="E230" s="6" t="str">
        <f>"368.78"</f>
        <v>368.78</v>
      </c>
      <c r="F230" s="6"/>
      <c r="G230" s="2">
        <v>368.78</v>
      </c>
      <c r="H230" s="8"/>
      <c r="I230" s="6">
        <v>3</v>
      </c>
      <c r="J230" s="8">
        <v>2017</v>
      </c>
      <c r="K230" s="15" t="str">
        <f>"877.34"</f>
        <v>877.34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 t="str">
        <f>"302.64"</f>
        <v>302.64</v>
      </c>
      <c r="AA230" s="15" t="str">
        <f>"434.91"</f>
        <v>434.91</v>
      </c>
    </row>
    <row r="231" spans="1:27">
      <c r="A231" s="6">
        <v>229</v>
      </c>
      <c r="B231" s="6">
        <v>5916</v>
      </c>
      <c r="C231" s="7" t="s">
        <v>353</v>
      </c>
      <c r="D231" s="6" t="s">
        <v>69</v>
      </c>
      <c r="E231" s="6" t="str">
        <f>"342.91"</f>
        <v>342.91</v>
      </c>
      <c r="F231" s="6"/>
      <c r="G231" s="2">
        <v>370.91</v>
      </c>
      <c r="H231" s="8" t="s">
        <v>15</v>
      </c>
      <c r="I231" s="6">
        <v>1</v>
      </c>
      <c r="J231" s="8">
        <v>2017</v>
      </c>
      <c r="K231" s="15" t="str">
        <f>"342.91"</f>
        <v>342.91</v>
      </c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>
      <c r="A232" s="6">
        <v>230</v>
      </c>
      <c r="B232" s="6">
        <v>1217</v>
      </c>
      <c r="C232" s="7" t="s">
        <v>381</v>
      </c>
      <c r="D232" s="6" t="s">
        <v>81</v>
      </c>
      <c r="E232" s="6" t="str">
        <f>"335.27"</f>
        <v>335.27</v>
      </c>
      <c r="F232" s="6"/>
      <c r="G232" s="2">
        <v>375.3</v>
      </c>
      <c r="H232" s="8" t="s">
        <v>11</v>
      </c>
      <c r="I232" s="6">
        <v>2</v>
      </c>
      <c r="J232" s="8">
        <v>2018</v>
      </c>
      <c r="K232" s="15" t="str">
        <f>"335.27"</f>
        <v>335.27</v>
      </c>
      <c r="L232" s="15"/>
      <c r="M232" s="15"/>
      <c r="N232" s="15"/>
      <c r="O232" s="15" t="str">
        <f>"347.30"</f>
        <v>347.30</v>
      </c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1:27">
      <c r="A233" s="6">
        <v>231</v>
      </c>
      <c r="B233" s="6">
        <v>7075</v>
      </c>
      <c r="C233" s="7" t="s">
        <v>342</v>
      </c>
      <c r="D233" s="6" t="s">
        <v>76</v>
      </c>
      <c r="E233" s="6" t="str">
        <f>"350.00"</f>
        <v>350.00</v>
      </c>
      <c r="F233" s="6"/>
      <c r="G233" s="2">
        <v>378</v>
      </c>
      <c r="H233" s="8" t="s">
        <v>15</v>
      </c>
      <c r="I233" s="6">
        <v>1</v>
      </c>
      <c r="J233" s="8">
        <v>2017</v>
      </c>
      <c r="K233" s="15" t="str">
        <f>"350.00"</f>
        <v>350.00</v>
      </c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>
      <c r="A234" s="6">
        <v>232</v>
      </c>
      <c r="B234" s="6">
        <v>10711</v>
      </c>
      <c r="C234" s="7" t="s">
        <v>215</v>
      </c>
      <c r="D234" s="6" t="s">
        <v>18</v>
      </c>
      <c r="E234" s="6" t="str">
        <f>"271.45"</f>
        <v>271.45</v>
      </c>
      <c r="F234" s="6"/>
      <c r="G234" s="2">
        <v>378.91</v>
      </c>
      <c r="H234" s="8"/>
      <c r="I234" s="6">
        <v>3</v>
      </c>
      <c r="J234" s="8">
        <v>2017</v>
      </c>
      <c r="K234" s="15" t="str">
        <f>"271.45"</f>
        <v>271.45</v>
      </c>
      <c r="L234" s="15"/>
      <c r="M234" s="15"/>
      <c r="N234" s="15"/>
      <c r="O234" s="15"/>
      <c r="P234" s="15"/>
      <c r="Q234" s="15"/>
      <c r="R234" s="15" t="str">
        <f>"278.53"</f>
        <v>278.53</v>
      </c>
      <c r="S234" s="15"/>
      <c r="T234" s="15" t="str">
        <f>"479.28"</f>
        <v>479.28</v>
      </c>
      <c r="U234" s="15"/>
      <c r="V234" s="15"/>
      <c r="W234" s="15"/>
      <c r="X234" s="15"/>
      <c r="Y234" s="15"/>
      <c r="Z234" s="15"/>
      <c r="AA234" s="15"/>
    </row>
    <row r="235" spans="1:27">
      <c r="A235" s="6">
        <v>233</v>
      </c>
      <c r="B235" s="6">
        <v>8355</v>
      </c>
      <c r="C235" s="7" t="s">
        <v>297</v>
      </c>
      <c r="D235" s="6" t="s">
        <v>298</v>
      </c>
      <c r="E235" s="6" t="str">
        <f>"351.60"</f>
        <v>351.60</v>
      </c>
      <c r="F235" s="6"/>
      <c r="G235" s="2">
        <v>379.6</v>
      </c>
      <c r="H235" s="8" t="s">
        <v>15</v>
      </c>
      <c r="I235" s="6">
        <v>1</v>
      </c>
      <c r="J235" s="8">
        <v>2017</v>
      </c>
      <c r="K235" s="15" t="str">
        <f>"351.60"</f>
        <v>351.60</v>
      </c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>
      <c r="A236" s="6">
        <v>234</v>
      </c>
      <c r="B236" s="6">
        <v>10953</v>
      </c>
      <c r="C236" s="7" t="s">
        <v>348</v>
      </c>
      <c r="D236" s="6" t="s">
        <v>19</v>
      </c>
      <c r="E236" s="6" t="str">
        <f>"435.27"</f>
        <v>435.27</v>
      </c>
      <c r="F236" s="6"/>
      <c r="G236" s="2">
        <v>383.38</v>
      </c>
      <c r="H236" s="8" t="s">
        <v>11</v>
      </c>
      <c r="I236" s="6">
        <v>2</v>
      </c>
      <c r="J236" s="8">
        <v>2017</v>
      </c>
      <c r="K236" s="15" t="str">
        <f>"515.15"</f>
        <v>515.15</v>
      </c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 t="str">
        <f>"355.38"</f>
        <v>355.38</v>
      </c>
      <c r="Y236" s="15"/>
      <c r="Z236" s="15"/>
      <c r="AA236" s="15"/>
    </row>
    <row r="237" spans="1:27">
      <c r="A237" s="6">
        <v>235</v>
      </c>
      <c r="B237" s="6">
        <v>3109</v>
      </c>
      <c r="C237" s="7" t="s">
        <v>337</v>
      </c>
      <c r="D237" s="6" t="s">
        <v>60</v>
      </c>
      <c r="E237" s="6" t="str">
        <f>"389.91"</f>
        <v>389.91</v>
      </c>
      <c r="F237" s="6"/>
      <c r="G237" s="2">
        <v>389.91</v>
      </c>
      <c r="H237" s="8" t="s">
        <v>11</v>
      </c>
      <c r="I237" s="6">
        <v>4</v>
      </c>
      <c r="J237" s="8">
        <v>2017</v>
      </c>
      <c r="K237" s="15"/>
      <c r="L237" s="15"/>
      <c r="M237" s="15"/>
      <c r="N237" s="15"/>
      <c r="O237" s="15"/>
      <c r="P237" s="15"/>
      <c r="Q237" s="15"/>
      <c r="R237" s="15"/>
      <c r="S237" s="15" t="str">
        <f>"361.91"</f>
        <v>361.91</v>
      </c>
      <c r="T237" s="15"/>
      <c r="U237" s="15"/>
      <c r="V237" s="15"/>
      <c r="W237" s="15"/>
      <c r="X237" s="15"/>
      <c r="Y237" s="15"/>
      <c r="Z237" s="15"/>
      <c r="AA237" s="15"/>
    </row>
    <row r="238" spans="1:27">
      <c r="A238" s="6">
        <v>236</v>
      </c>
      <c r="B238" s="6">
        <v>11249</v>
      </c>
      <c r="C238" s="7" t="s">
        <v>328</v>
      </c>
      <c r="D238" s="6" t="s">
        <v>13</v>
      </c>
      <c r="E238" s="6" t="str">
        <f>"391.78"</f>
        <v>391.78</v>
      </c>
      <c r="F238" s="6"/>
      <c r="G238" s="2">
        <v>391.78</v>
      </c>
      <c r="H238" s="8"/>
      <c r="I238" s="6">
        <v>5</v>
      </c>
      <c r="J238" s="8">
        <v>2017</v>
      </c>
      <c r="K238" s="15"/>
      <c r="L238" s="15" t="str">
        <f>"486.84"</f>
        <v>486.84</v>
      </c>
      <c r="M238" s="15"/>
      <c r="N238" s="15"/>
      <c r="O238" s="15"/>
      <c r="P238" s="15"/>
      <c r="Q238" s="15"/>
      <c r="R238" s="15" t="str">
        <f>"498.62"</f>
        <v>498.62</v>
      </c>
      <c r="S238" s="15"/>
      <c r="T238" s="15"/>
      <c r="U238" s="15" t="str">
        <f>"349.09"</f>
        <v>349.09</v>
      </c>
      <c r="V238" s="15" t="str">
        <f>"434.46"</f>
        <v>434.46</v>
      </c>
      <c r="W238" s="15"/>
      <c r="X238" s="15"/>
      <c r="Y238" s="15"/>
      <c r="Z238" s="15"/>
      <c r="AA238" s="15"/>
    </row>
    <row r="239" spans="1:27">
      <c r="A239" s="6">
        <v>237</v>
      </c>
      <c r="B239" s="6">
        <v>9737</v>
      </c>
      <c r="C239" s="7" t="s">
        <v>340</v>
      </c>
      <c r="D239" s="6" t="s">
        <v>21</v>
      </c>
      <c r="E239" s="6" t="str">
        <f>"364.16"</f>
        <v>364.16</v>
      </c>
      <c r="F239" s="6"/>
      <c r="G239" s="2">
        <v>392.16</v>
      </c>
      <c r="H239" s="8" t="s">
        <v>15</v>
      </c>
      <c r="I239" s="6">
        <v>1</v>
      </c>
      <c r="J239" s="8">
        <v>2017</v>
      </c>
      <c r="K239" s="15" t="str">
        <f>"364.16"</f>
        <v>364.16</v>
      </c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>
      <c r="A240" s="6">
        <v>238</v>
      </c>
      <c r="B240" s="6">
        <v>10712</v>
      </c>
      <c r="C240" s="7" t="s">
        <v>314</v>
      </c>
      <c r="D240" s="6" t="s">
        <v>27</v>
      </c>
      <c r="E240" s="6" t="str">
        <f>"364.89"</f>
        <v>364.89</v>
      </c>
      <c r="F240" s="6"/>
      <c r="G240" s="2">
        <v>392.89</v>
      </c>
      <c r="H240" s="8" t="s">
        <v>15</v>
      </c>
      <c r="I240" s="6">
        <v>1</v>
      </c>
      <c r="J240" s="8">
        <v>2017</v>
      </c>
      <c r="K240" s="15" t="str">
        <f>"364.89"</f>
        <v>364.89</v>
      </c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1:27">
      <c r="A241" s="6">
        <v>239</v>
      </c>
      <c r="B241" s="6">
        <v>10864</v>
      </c>
      <c r="C241" s="7" t="s">
        <v>326</v>
      </c>
      <c r="D241" s="6" t="s">
        <v>13</v>
      </c>
      <c r="E241" s="6" t="str">
        <f>"398.17"</f>
        <v>398.17</v>
      </c>
      <c r="F241" s="6"/>
      <c r="G241" s="2">
        <v>398.17</v>
      </c>
      <c r="H241" s="8"/>
      <c r="I241" s="6">
        <v>5</v>
      </c>
      <c r="J241" s="8">
        <v>2017</v>
      </c>
      <c r="K241" s="15"/>
      <c r="L241" s="15" t="str">
        <f>"505.60"</f>
        <v>505.60</v>
      </c>
      <c r="M241" s="15"/>
      <c r="N241" s="15"/>
      <c r="O241" s="15"/>
      <c r="P241" s="15"/>
      <c r="Q241" s="15"/>
      <c r="R241" s="15"/>
      <c r="S241" s="15"/>
      <c r="T241" s="15"/>
      <c r="U241" s="15" t="str">
        <f>"395.97"</f>
        <v>395.97</v>
      </c>
      <c r="V241" s="15" t="str">
        <f>"501.88"</f>
        <v>501.88</v>
      </c>
      <c r="W241" s="15"/>
      <c r="X241" s="15"/>
      <c r="Y241" s="15"/>
      <c r="Z241" s="15" t="str">
        <f>"400.36"</f>
        <v>400.36</v>
      </c>
      <c r="AA241" s="15"/>
    </row>
    <row r="242" spans="1:27">
      <c r="A242" s="6">
        <v>240</v>
      </c>
      <c r="B242" s="6">
        <v>2163</v>
      </c>
      <c r="C242" s="7" t="s">
        <v>386</v>
      </c>
      <c r="D242" s="6" t="s">
        <v>61</v>
      </c>
      <c r="E242" s="6" t="str">
        <f>"373.83"</f>
        <v>373.83</v>
      </c>
      <c r="F242" s="6"/>
      <c r="G242" s="2">
        <v>401.83</v>
      </c>
      <c r="H242" s="8" t="s">
        <v>15</v>
      </c>
      <c r="I242" s="6">
        <v>1</v>
      </c>
      <c r="J242" s="8">
        <v>2017</v>
      </c>
      <c r="K242" s="15" t="str">
        <f>"373.83"</f>
        <v>373.83</v>
      </c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1:27">
      <c r="A243" s="6">
        <v>241</v>
      </c>
      <c r="B243" s="6">
        <v>10972</v>
      </c>
      <c r="C243" s="7" t="s">
        <v>277</v>
      </c>
      <c r="D243" s="6" t="s">
        <v>16</v>
      </c>
      <c r="E243" s="6" t="str">
        <f>"407.52"</f>
        <v>407.52</v>
      </c>
      <c r="F243" s="6"/>
      <c r="G243" s="2">
        <v>407.52</v>
      </c>
      <c r="H243" s="8" t="s">
        <v>11</v>
      </c>
      <c r="I243" s="6">
        <v>4</v>
      </c>
      <c r="J243" s="8">
        <v>2017</v>
      </c>
      <c r="K243" s="15"/>
      <c r="L243" s="15"/>
      <c r="M243" s="15"/>
      <c r="N243" s="15"/>
      <c r="O243" s="15"/>
      <c r="P243" s="15" t="str">
        <f>"379.52"</f>
        <v>379.52</v>
      </c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>
      <c r="A244" s="6">
        <v>242</v>
      </c>
      <c r="B244" s="6">
        <v>10687</v>
      </c>
      <c r="C244" s="7" t="s">
        <v>346</v>
      </c>
      <c r="D244" s="6" t="s">
        <v>27</v>
      </c>
      <c r="E244" s="6" t="str">
        <f>"352.64"</f>
        <v>352.64</v>
      </c>
      <c r="F244" s="6"/>
      <c r="G244" s="2">
        <v>411.07</v>
      </c>
      <c r="H244" s="8" t="s">
        <v>11</v>
      </c>
      <c r="I244" s="6">
        <v>2</v>
      </c>
      <c r="J244" s="8">
        <v>2017</v>
      </c>
      <c r="K244" s="15" t="str">
        <f>"352.64"</f>
        <v>352.64</v>
      </c>
      <c r="L244" s="15"/>
      <c r="M244" s="15"/>
      <c r="N244" s="15"/>
      <c r="O244" s="15"/>
      <c r="P244" s="15" t="str">
        <f>"383.07"</f>
        <v>383.07</v>
      </c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1:27">
      <c r="A245" s="6">
        <v>243</v>
      </c>
      <c r="B245" s="6">
        <v>5369</v>
      </c>
      <c r="C245" s="7" t="s">
        <v>336</v>
      </c>
      <c r="D245" s="6" t="s">
        <v>68</v>
      </c>
      <c r="E245" s="6" t="str">
        <f>"405.73"</f>
        <v>405.73</v>
      </c>
      <c r="F245" s="6"/>
      <c r="G245" s="2">
        <v>417.68</v>
      </c>
      <c r="H245" s="8"/>
      <c r="I245" s="6">
        <v>3</v>
      </c>
      <c r="J245" s="8">
        <v>2017</v>
      </c>
      <c r="K245" s="15" t="str">
        <f>"405.73"</f>
        <v>405.73</v>
      </c>
      <c r="L245" s="15"/>
      <c r="M245" s="15"/>
      <c r="N245" s="15" t="str">
        <f>"475.86"</f>
        <v>475.86</v>
      </c>
      <c r="O245" s="15"/>
      <c r="P245" s="15"/>
      <c r="Q245" s="15"/>
      <c r="R245" s="15"/>
      <c r="S245" s="15"/>
      <c r="T245" s="15"/>
      <c r="U245" s="15"/>
      <c r="V245" s="15"/>
      <c r="W245" s="15" t="str">
        <f>"428.38"</f>
        <v>428.38</v>
      </c>
      <c r="X245" s="15"/>
      <c r="Y245" s="15" t="str">
        <f>"406.98"</f>
        <v>406.98</v>
      </c>
      <c r="Z245" s="15"/>
      <c r="AA245" s="15"/>
    </row>
    <row r="246" spans="1:27">
      <c r="A246" s="6">
        <v>244</v>
      </c>
      <c r="B246" s="6">
        <v>11307</v>
      </c>
      <c r="C246" s="7" t="s">
        <v>332</v>
      </c>
      <c r="D246" s="6" t="s">
        <v>13</v>
      </c>
      <c r="E246" s="6" t="str">
        <f>"425.09"</f>
        <v>425.09</v>
      </c>
      <c r="F246" s="6"/>
      <c r="G246" s="2">
        <v>425.09</v>
      </c>
      <c r="H246" s="8"/>
      <c r="I246" s="6">
        <v>5</v>
      </c>
      <c r="J246" s="8">
        <v>2017</v>
      </c>
      <c r="K246" s="15"/>
      <c r="L246" s="15" t="str">
        <f>"537.46"</f>
        <v>537.46</v>
      </c>
      <c r="M246" s="15"/>
      <c r="N246" s="15"/>
      <c r="O246" s="15"/>
      <c r="P246" s="15"/>
      <c r="Q246" s="15"/>
      <c r="R246" s="15"/>
      <c r="S246" s="15"/>
      <c r="T246" s="15"/>
      <c r="U246" s="15" t="str">
        <f>"428.80"</f>
        <v>428.80</v>
      </c>
      <c r="V246" s="15"/>
      <c r="W246" s="15"/>
      <c r="X246" s="15"/>
      <c r="Y246" s="15"/>
      <c r="Z246" s="15" t="str">
        <f>"421.38"</f>
        <v>421.38</v>
      </c>
      <c r="AA246" s="15"/>
    </row>
    <row r="247" spans="1:27">
      <c r="A247" s="6">
        <v>245</v>
      </c>
      <c r="B247" s="6">
        <v>10802</v>
      </c>
      <c r="C247" s="7" t="s">
        <v>320</v>
      </c>
      <c r="D247" s="6" t="s">
        <v>18</v>
      </c>
      <c r="E247" s="6" t="str">
        <f>"536.75"</f>
        <v>536.75</v>
      </c>
      <c r="F247" s="6"/>
      <c r="G247" s="2">
        <v>428.86</v>
      </c>
      <c r="H247" s="8" t="s">
        <v>11</v>
      </c>
      <c r="I247" s="6">
        <v>2</v>
      </c>
      <c r="J247" s="8">
        <v>2017</v>
      </c>
      <c r="K247" s="15" t="str">
        <f>"672.64"</f>
        <v>672.64</v>
      </c>
      <c r="L247" s="15"/>
      <c r="M247" s="15"/>
      <c r="N247" s="15"/>
      <c r="O247" s="15"/>
      <c r="P247" s="15"/>
      <c r="Q247" s="15"/>
      <c r="R247" s="15"/>
      <c r="S247" s="15"/>
      <c r="T247" s="15" t="str">
        <f>"400.86"</f>
        <v>400.86</v>
      </c>
      <c r="U247" s="15"/>
      <c r="V247" s="15"/>
      <c r="W247" s="15"/>
      <c r="X247" s="15"/>
      <c r="Y247" s="15"/>
      <c r="Z247" s="15"/>
      <c r="AA247" s="15"/>
    </row>
    <row r="248" spans="1:27">
      <c r="A248" s="6">
        <v>246</v>
      </c>
      <c r="B248" s="6">
        <v>10637</v>
      </c>
      <c r="C248" s="7" t="s">
        <v>317</v>
      </c>
      <c r="D248" s="6" t="s">
        <v>13</v>
      </c>
      <c r="E248" s="6" t="str">
        <f>"436.24"</f>
        <v>436.24</v>
      </c>
      <c r="F248" s="6"/>
      <c r="G248" s="2">
        <v>436.24</v>
      </c>
      <c r="H248" s="8"/>
      <c r="I248" s="6">
        <v>3</v>
      </c>
      <c r="J248" s="8">
        <v>2017</v>
      </c>
      <c r="K248" s="15" t="str">
        <f>"564.68"</f>
        <v>564.68</v>
      </c>
      <c r="L248" s="15" t="str">
        <f>"496.09"</f>
        <v>496.09</v>
      </c>
      <c r="M248" s="15"/>
      <c r="N248" s="15"/>
      <c r="O248" s="15"/>
      <c r="P248" s="15"/>
      <c r="Q248" s="15"/>
      <c r="R248" s="15"/>
      <c r="S248" s="15"/>
      <c r="T248" s="15"/>
      <c r="U248" s="15" t="str">
        <f>"376.39"</f>
        <v>376.39</v>
      </c>
      <c r="V248" s="15"/>
      <c r="W248" s="15"/>
      <c r="X248" s="15"/>
      <c r="Y248" s="15"/>
      <c r="Z248" s="15"/>
      <c r="AA248" s="15"/>
    </row>
    <row r="249" spans="1:27">
      <c r="A249" s="6">
        <v>247</v>
      </c>
      <c r="B249" s="6">
        <v>10466</v>
      </c>
      <c r="C249" s="7" t="s">
        <v>260</v>
      </c>
      <c r="D249" s="6" t="s">
        <v>18</v>
      </c>
      <c r="E249" s="6" t="str">
        <f>"438.79"</f>
        <v>438.79</v>
      </c>
      <c r="F249" s="6"/>
      <c r="G249" s="2">
        <v>438.79</v>
      </c>
      <c r="H249" s="8"/>
      <c r="I249" s="6">
        <v>3</v>
      </c>
      <c r="J249" s="8">
        <v>2017</v>
      </c>
      <c r="K249" s="15" t="str">
        <f>"700.52"</f>
        <v>700.52</v>
      </c>
      <c r="L249" s="15"/>
      <c r="M249" s="15"/>
      <c r="N249" s="15"/>
      <c r="O249" s="15"/>
      <c r="P249" s="15"/>
      <c r="Q249" s="15"/>
      <c r="R249" s="15"/>
      <c r="S249" s="15"/>
      <c r="T249" s="15" t="str">
        <f>"609.56"</f>
        <v>609.56</v>
      </c>
      <c r="U249" s="15"/>
      <c r="V249" s="15"/>
      <c r="W249" s="15"/>
      <c r="X249" s="15"/>
      <c r="Y249" s="15" t="str">
        <f>"268.01"</f>
        <v>268.01</v>
      </c>
      <c r="Z249" s="15"/>
      <c r="AA249" s="15"/>
    </row>
    <row r="250" spans="1:27">
      <c r="A250" s="6">
        <v>248</v>
      </c>
      <c r="B250" s="6">
        <v>11065</v>
      </c>
      <c r="C250" s="7" t="s">
        <v>351</v>
      </c>
      <c r="D250" s="6" t="s">
        <v>66</v>
      </c>
      <c r="E250" s="6" t="str">
        <f>"411.16"</f>
        <v>411.16</v>
      </c>
      <c r="F250" s="6"/>
      <c r="G250" s="2">
        <v>439.16</v>
      </c>
      <c r="H250" s="8" t="s">
        <v>15</v>
      </c>
      <c r="I250" s="6">
        <v>1</v>
      </c>
      <c r="J250" s="8">
        <v>2017</v>
      </c>
      <c r="K250" s="15" t="str">
        <f>"411.16"</f>
        <v>411.16</v>
      </c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>
      <c r="A251" s="6">
        <v>249</v>
      </c>
      <c r="B251" s="6">
        <v>3980</v>
      </c>
      <c r="C251" s="7" t="s">
        <v>395</v>
      </c>
      <c r="D251" s="6" t="s">
        <v>33</v>
      </c>
      <c r="E251" s="6" t="str">
        <f>"414.84"</f>
        <v>414.84</v>
      </c>
      <c r="F251" s="6"/>
      <c r="G251" s="2">
        <v>442.84</v>
      </c>
      <c r="H251" s="8" t="s">
        <v>15</v>
      </c>
      <c r="I251" s="6">
        <v>1</v>
      </c>
      <c r="J251" s="8">
        <v>2017</v>
      </c>
      <c r="K251" s="15" t="str">
        <f>"414.84"</f>
        <v>414.84</v>
      </c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>
      <c r="A252" s="6">
        <v>250</v>
      </c>
      <c r="B252" s="6">
        <v>11027</v>
      </c>
      <c r="C252" s="7" t="s">
        <v>329</v>
      </c>
      <c r="D252" s="6" t="s">
        <v>40</v>
      </c>
      <c r="E252" s="6" t="str">
        <f>"364.95"</f>
        <v>364.95</v>
      </c>
      <c r="F252" s="6"/>
      <c r="G252" s="2">
        <v>443.93</v>
      </c>
      <c r="H252" s="8" t="s">
        <v>11</v>
      </c>
      <c r="I252" s="6">
        <v>2</v>
      </c>
      <c r="J252" s="8">
        <v>2017</v>
      </c>
      <c r="K252" s="15" t="str">
        <f>"364.95"</f>
        <v>364.95</v>
      </c>
      <c r="L252" s="15"/>
      <c r="M252" s="15"/>
      <c r="N252" s="15"/>
      <c r="O252" s="15"/>
      <c r="P252" s="15" t="str">
        <f>"415.93"</f>
        <v>415.93</v>
      </c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>
      <c r="A253" s="6">
        <v>251</v>
      </c>
      <c r="B253" s="6">
        <v>11064</v>
      </c>
      <c r="C253" s="7" t="s">
        <v>315</v>
      </c>
      <c r="D253" s="6" t="s">
        <v>66</v>
      </c>
      <c r="E253" s="6" t="str">
        <f>"444.93"</f>
        <v>444.93</v>
      </c>
      <c r="F253" s="6"/>
      <c r="G253" s="2">
        <v>444.93</v>
      </c>
      <c r="H253" s="8" t="s">
        <v>11</v>
      </c>
      <c r="I253" s="6">
        <v>4</v>
      </c>
      <c r="J253" s="8">
        <v>2017</v>
      </c>
      <c r="K253" s="15"/>
      <c r="L253" s="15"/>
      <c r="M253" s="15"/>
      <c r="N253" s="15"/>
      <c r="O253" s="15"/>
      <c r="P253" s="15" t="str">
        <f>"416.93"</f>
        <v>416.93</v>
      </c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>
      <c r="A254" s="6">
        <v>252</v>
      </c>
      <c r="B254" s="6">
        <v>10925</v>
      </c>
      <c r="C254" s="7" t="s">
        <v>389</v>
      </c>
      <c r="D254" s="6" t="s">
        <v>13</v>
      </c>
      <c r="E254" s="6" t="str">
        <f>"449.65"</f>
        <v>449.65</v>
      </c>
      <c r="F254" s="6"/>
      <c r="G254" s="2">
        <v>449.65</v>
      </c>
      <c r="H254" s="8" t="s">
        <v>11</v>
      </c>
      <c r="I254" s="6">
        <v>4</v>
      </c>
      <c r="J254" s="8">
        <v>2017</v>
      </c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 t="str">
        <f>"421.65"</f>
        <v>421.65</v>
      </c>
      <c r="V254" s="15"/>
      <c r="W254" s="15"/>
      <c r="X254" s="15"/>
      <c r="Y254" s="15"/>
      <c r="Z254" s="15"/>
      <c r="AA254" s="15"/>
    </row>
    <row r="255" spans="1:27">
      <c r="A255" s="6">
        <v>253</v>
      </c>
      <c r="B255" s="6">
        <v>10583</v>
      </c>
      <c r="C255" s="7" t="s">
        <v>370</v>
      </c>
      <c r="D255" s="6" t="s">
        <v>13</v>
      </c>
      <c r="E255" s="6" t="str">
        <f>"423.83"</f>
        <v>423.83</v>
      </c>
      <c r="F255" s="6"/>
      <c r="G255" s="2">
        <v>451.83</v>
      </c>
      <c r="H255" s="8" t="s">
        <v>15</v>
      </c>
      <c r="I255" s="6">
        <v>1</v>
      </c>
      <c r="J255" s="8">
        <v>2017</v>
      </c>
      <c r="K255" s="15" t="str">
        <f>"423.83"</f>
        <v>423.83</v>
      </c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>
      <c r="A256" s="6">
        <v>254</v>
      </c>
      <c r="B256" s="6">
        <v>8444</v>
      </c>
      <c r="C256" s="7" t="s">
        <v>347</v>
      </c>
      <c r="D256" s="6" t="s">
        <v>22</v>
      </c>
      <c r="E256" s="6" t="str">
        <f>"426.18"</f>
        <v>426.18</v>
      </c>
      <c r="F256" s="6"/>
      <c r="G256" s="2">
        <v>454.18</v>
      </c>
      <c r="H256" s="8" t="s">
        <v>15</v>
      </c>
      <c r="I256" s="6">
        <v>1</v>
      </c>
      <c r="J256" s="8">
        <v>2017</v>
      </c>
      <c r="K256" s="15" t="str">
        <f>"426.18"</f>
        <v>426.18</v>
      </c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>
      <c r="A257" s="6">
        <v>255</v>
      </c>
      <c r="B257" s="6">
        <v>2719</v>
      </c>
      <c r="C257" s="7" t="s">
        <v>374</v>
      </c>
      <c r="D257" s="6" t="s">
        <v>31</v>
      </c>
      <c r="E257" s="6" t="str">
        <f>"441.35"</f>
        <v>441.35</v>
      </c>
      <c r="F257" s="6"/>
      <c r="G257" s="2">
        <v>469.35</v>
      </c>
      <c r="H257" s="8" t="s">
        <v>15</v>
      </c>
      <c r="I257" s="6">
        <v>1</v>
      </c>
      <c r="J257" s="8">
        <v>2017</v>
      </c>
      <c r="K257" s="15" t="str">
        <f>"441.35"</f>
        <v>441.35</v>
      </c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>
      <c r="A258" s="6">
        <v>256</v>
      </c>
      <c r="B258" s="6">
        <v>11266</v>
      </c>
      <c r="C258" s="7" t="s">
        <v>354</v>
      </c>
      <c r="D258" s="6" t="s">
        <v>13</v>
      </c>
      <c r="E258" s="6" t="str">
        <f>"469.46"</f>
        <v>469.46</v>
      </c>
      <c r="F258" s="6"/>
      <c r="G258" s="2">
        <v>469.46</v>
      </c>
      <c r="H258" s="8" t="s">
        <v>11</v>
      </c>
      <c r="I258" s="6">
        <v>4</v>
      </c>
      <c r="J258" s="8">
        <v>2017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 t="str">
        <f>"441.46"</f>
        <v>441.46</v>
      </c>
      <c r="AA258" s="15"/>
    </row>
    <row r="259" spans="1:27">
      <c r="A259" s="6">
        <v>257</v>
      </c>
      <c r="B259" s="6">
        <v>10676</v>
      </c>
      <c r="C259" s="7" t="s">
        <v>307</v>
      </c>
      <c r="D259" s="6" t="s">
        <v>53</v>
      </c>
      <c r="E259" s="6" t="str">
        <f>"469.99"</f>
        <v>469.99</v>
      </c>
      <c r="F259" s="6"/>
      <c r="G259" s="2">
        <v>469.99</v>
      </c>
      <c r="H259" s="8" t="s">
        <v>11</v>
      </c>
      <c r="I259" s="6">
        <v>4</v>
      </c>
      <c r="J259" s="8">
        <v>2017</v>
      </c>
      <c r="K259" s="15"/>
      <c r="L259" s="15"/>
      <c r="M259" s="15"/>
      <c r="N259" s="15"/>
      <c r="O259" s="15"/>
      <c r="P259" s="15" t="str">
        <f>"441.99"</f>
        <v>441.99</v>
      </c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>
      <c r="A260" s="6">
        <v>258</v>
      </c>
      <c r="B260" s="6">
        <v>11131</v>
      </c>
      <c r="C260" s="7" t="s">
        <v>331</v>
      </c>
      <c r="D260" s="6" t="s">
        <v>18</v>
      </c>
      <c r="E260" s="6" t="str">
        <f>"477.54"</f>
        <v>477.54</v>
      </c>
      <c r="F260" s="6"/>
      <c r="G260" s="2">
        <v>477.54</v>
      </c>
      <c r="H260" s="8"/>
      <c r="I260" s="6">
        <v>5</v>
      </c>
      <c r="J260" s="8">
        <v>2017</v>
      </c>
      <c r="K260" s="15"/>
      <c r="L260" s="15"/>
      <c r="M260" s="15"/>
      <c r="N260" s="15"/>
      <c r="O260" s="15"/>
      <c r="P260" s="15"/>
      <c r="Q260" s="15" t="str">
        <f>"344.92"</f>
        <v>344.92</v>
      </c>
      <c r="R260" s="15"/>
      <c r="S260" s="15"/>
      <c r="T260" s="15" t="str">
        <f>"610.16"</f>
        <v>610.16</v>
      </c>
      <c r="U260" s="15"/>
      <c r="V260" s="15"/>
      <c r="W260" s="15"/>
      <c r="X260" s="15"/>
      <c r="Y260" s="15"/>
      <c r="Z260" s="15"/>
      <c r="AA260" s="15"/>
    </row>
    <row r="261" spans="1:27">
      <c r="A261" s="6">
        <v>259</v>
      </c>
      <c r="B261" s="6">
        <v>10769</v>
      </c>
      <c r="C261" s="7" t="s">
        <v>311</v>
      </c>
      <c r="D261" s="6" t="s">
        <v>18</v>
      </c>
      <c r="E261" s="6" t="str">
        <f>"556.09"</f>
        <v>556.09</v>
      </c>
      <c r="F261" s="6"/>
      <c r="G261" s="2">
        <v>478.1</v>
      </c>
      <c r="H261" s="8" t="s">
        <v>11</v>
      </c>
      <c r="I261" s="6">
        <v>2</v>
      </c>
      <c r="J261" s="8">
        <v>2017</v>
      </c>
      <c r="K261" s="15" t="str">
        <f>"662.08"</f>
        <v>662.08</v>
      </c>
      <c r="L261" s="15"/>
      <c r="M261" s="15"/>
      <c r="N261" s="15"/>
      <c r="O261" s="15"/>
      <c r="P261" s="15"/>
      <c r="Q261" s="15"/>
      <c r="R261" s="15"/>
      <c r="S261" s="15"/>
      <c r="T261" s="15" t="str">
        <f>"450.10"</f>
        <v>450.10</v>
      </c>
      <c r="U261" s="15"/>
      <c r="V261" s="15"/>
      <c r="W261" s="15"/>
      <c r="X261" s="15"/>
      <c r="Y261" s="15"/>
      <c r="Z261" s="15"/>
      <c r="AA261" s="15"/>
    </row>
    <row r="262" spans="1:27">
      <c r="A262" s="6">
        <v>260</v>
      </c>
      <c r="B262" s="6">
        <v>1432</v>
      </c>
      <c r="C262" s="7" t="s">
        <v>375</v>
      </c>
      <c r="D262" s="6" t="s">
        <v>29</v>
      </c>
      <c r="E262" s="6" t="str">
        <f>"454.37"</f>
        <v>454.37</v>
      </c>
      <c r="F262" s="6"/>
      <c r="G262" s="2">
        <v>482.37</v>
      </c>
      <c r="H262" s="8" t="s">
        <v>15</v>
      </c>
      <c r="I262" s="6">
        <v>1</v>
      </c>
      <c r="J262" s="8">
        <v>2017</v>
      </c>
      <c r="K262" s="15" t="str">
        <f>"454.37"</f>
        <v>454.37</v>
      </c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>
      <c r="A263" s="6">
        <v>261</v>
      </c>
      <c r="B263" s="6">
        <v>11094</v>
      </c>
      <c r="C263" s="7" t="s">
        <v>319</v>
      </c>
      <c r="D263" s="6" t="s">
        <v>66</v>
      </c>
      <c r="E263" s="6" t="str">
        <f>"483.62"</f>
        <v>483.62</v>
      </c>
      <c r="F263" s="6"/>
      <c r="G263" s="2">
        <v>483.62</v>
      </c>
      <c r="H263" s="8" t="s">
        <v>11</v>
      </c>
      <c r="I263" s="6">
        <v>4</v>
      </c>
      <c r="J263" s="8">
        <v>2017</v>
      </c>
      <c r="K263" s="15"/>
      <c r="L263" s="15"/>
      <c r="M263" s="15"/>
      <c r="N263" s="15"/>
      <c r="O263" s="15"/>
      <c r="P263" s="15" t="str">
        <f>"455.62"</f>
        <v>455.62</v>
      </c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>
      <c r="A264" s="6">
        <v>262</v>
      </c>
      <c r="B264" s="6">
        <v>10874</v>
      </c>
      <c r="C264" s="7" t="s">
        <v>363</v>
      </c>
      <c r="D264" s="6" t="s">
        <v>13</v>
      </c>
      <c r="E264" s="6" t="str">
        <f>"484.93"</f>
        <v>484.93</v>
      </c>
      <c r="F264" s="6"/>
      <c r="G264" s="2">
        <v>484.93</v>
      </c>
      <c r="H264" s="8"/>
      <c r="I264" s="6">
        <v>3</v>
      </c>
      <c r="J264" s="8">
        <v>2017</v>
      </c>
      <c r="K264" s="15" t="str">
        <f>"525.92"</f>
        <v>525.92</v>
      </c>
      <c r="L264" s="15"/>
      <c r="M264" s="15"/>
      <c r="N264" s="15"/>
      <c r="O264" s="15"/>
      <c r="P264" s="15"/>
      <c r="Q264" s="15"/>
      <c r="R264" s="15"/>
      <c r="S264" s="15"/>
      <c r="T264" s="15"/>
      <c r="U264" s="15" t="str">
        <f>"445.94"</f>
        <v>445.94</v>
      </c>
      <c r="V264" s="15"/>
      <c r="W264" s="15"/>
      <c r="X264" s="15"/>
      <c r="Y264" s="15"/>
      <c r="Z264" s="15" t="str">
        <f>"523.91"</f>
        <v>523.91</v>
      </c>
      <c r="AA264" s="15"/>
    </row>
    <row r="265" spans="1:27">
      <c r="A265" s="6">
        <v>263</v>
      </c>
      <c r="B265" s="6">
        <v>10880</v>
      </c>
      <c r="C265" s="7" t="s">
        <v>388</v>
      </c>
      <c r="D265" s="6" t="s">
        <v>13</v>
      </c>
      <c r="E265" s="6" t="str">
        <f>"487.80"</f>
        <v>487.80</v>
      </c>
      <c r="F265" s="6"/>
      <c r="G265" s="2">
        <v>487.8</v>
      </c>
      <c r="H265" s="8"/>
      <c r="I265" s="6">
        <v>3</v>
      </c>
      <c r="J265" s="8">
        <v>2017</v>
      </c>
      <c r="K265" s="15" t="str">
        <f>"641.88"</f>
        <v>641.88</v>
      </c>
      <c r="L265" s="15"/>
      <c r="M265" s="15"/>
      <c r="N265" s="15"/>
      <c r="O265" s="15"/>
      <c r="P265" s="15"/>
      <c r="Q265" s="15"/>
      <c r="R265" s="15"/>
      <c r="S265" s="15"/>
      <c r="T265" s="15"/>
      <c r="U265" s="15" t="str">
        <f>"487.54"</f>
        <v>487.54</v>
      </c>
      <c r="V265" s="15"/>
      <c r="W265" s="15"/>
      <c r="X265" s="15"/>
      <c r="Y265" s="15"/>
      <c r="Z265" s="15" t="str">
        <f>"488.05"</f>
        <v>488.05</v>
      </c>
      <c r="AA265" s="15"/>
    </row>
    <row r="266" spans="1:27">
      <c r="A266" s="6">
        <v>264</v>
      </c>
      <c r="B266" s="6">
        <v>10658</v>
      </c>
      <c r="C266" s="7" t="s">
        <v>290</v>
      </c>
      <c r="D266" s="6" t="s">
        <v>16</v>
      </c>
      <c r="E266" s="6" t="str">
        <f>"460.56"</f>
        <v>460.56</v>
      </c>
      <c r="F266" s="6"/>
      <c r="G266" s="2">
        <v>488.56</v>
      </c>
      <c r="H266" s="8" t="s">
        <v>15</v>
      </c>
      <c r="I266" s="6">
        <v>1</v>
      </c>
      <c r="J266" s="8">
        <v>2017</v>
      </c>
      <c r="K266" s="15" t="str">
        <f>"460.56"</f>
        <v>460.56</v>
      </c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>
      <c r="A267" s="6">
        <v>265</v>
      </c>
      <c r="B267" s="6">
        <v>1000</v>
      </c>
      <c r="C267" s="7" t="s">
        <v>325</v>
      </c>
      <c r="D267" s="6" t="s">
        <v>82</v>
      </c>
      <c r="E267" s="6" t="str">
        <f>"462.25"</f>
        <v>462.25</v>
      </c>
      <c r="F267" s="6"/>
      <c r="G267" s="2">
        <v>490.25</v>
      </c>
      <c r="H267" s="8" t="s">
        <v>15</v>
      </c>
      <c r="I267" s="6">
        <v>1</v>
      </c>
      <c r="J267" s="8">
        <v>2017</v>
      </c>
      <c r="K267" s="15" t="str">
        <f>"462.25"</f>
        <v>462.25</v>
      </c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>
      <c r="A268" s="6">
        <v>266</v>
      </c>
      <c r="B268" s="6">
        <v>11036</v>
      </c>
      <c r="C268" s="7" t="s">
        <v>352</v>
      </c>
      <c r="D268" s="6" t="s">
        <v>27</v>
      </c>
      <c r="E268" s="6" t="str">
        <f>"502.15"</f>
        <v>502.15</v>
      </c>
      <c r="F268" s="6"/>
      <c r="G268" s="2">
        <v>502.15</v>
      </c>
      <c r="H268" s="8" t="s">
        <v>11</v>
      </c>
      <c r="I268" s="6">
        <v>4</v>
      </c>
      <c r="J268" s="8">
        <v>2017</v>
      </c>
      <c r="K268" s="15"/>
      <c r="L268" s="15"/>
      <c r="M268" s="15"/>
      <c r="N268" s="15"/>
      <c r="O268" s="15"/>
      <c r="P268" s="15" t="str">
        <f>"474.15"</f>
        <v>474.15</v>
      </c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>
      <c r="A269" s="6">
        <v>267</v>
      </c>
      <c r="B269" s="6">
        <v>11105</v>
      </c>
      <c r="C269" s="7" t="s">
        <v>350</v>
      </c>
      <c r="D269" s="6" t="s">
        <v>13</v>
      </c>
      <c r="E269" s="6" t="str">
        <f>"500.75"</f>
        <v>500.75</v>
      </c>
      <c r="F269" s="6"/>
      <c r="G269" s="2">
        <v>528.75</v>
      </c>
      <c r="H269" s="8" t="s">
        <v>15</v>
      </c>
      <c r="I269" s="6">
        <v>1</v>
      </c>
      <c r="J269" s="8">
        <v>2017</v>
      </c>
      <c r="K269" s="15" t="str">
        <f>"500.75"</f>
        <v>500.75</v>
      </c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>
      <c r="A270" s="6">
        <v>268</v>
      </c>
      <c r="B270" s="6">
        <v>11326</v>
      </c>
      <c r="C270" s="7" t="s">
        <v>355</v>
      </c>
      <c r="D270" s="6" t="s">
        <v>66</v>
      </c>
      <c r="E270" s="6" t="str">
        <f>"530.90"</f>
        <v>530.90</v>
      </c>
      <c r="F270" s="6"/>
      <c r="G270" s="2">
        <v>530.9</v>
      </c>
      <c r="H270" s="8" t="s">
        <v>11</v>
      </c>
      <c r="I270" s="6">
        <v>4</v>
      </c>
      <c r="J270" s="8">
        <v>2017</v>
      </c>
      <c r="K270" s="15"/>
      <c r="L270" s="15"/>
      <c r="M270" s="15"/>
      <c r="N270" s="15"/>
      <c r="O270" s="15"/>
      <c r="P270" s="15" t="str">
        <f>"502.90"</f>
        <v>502.90</v>
      </c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>
      <c r="A271" s="6">
        <v>268</v>
      </c>
      <c r="B271" s="6">
        <v>11095</v>
      </c>
      <c r="C271" s="7" t="s">
        <v>368</v>
      </c>
      <c r="D271" s="6" t="s">
        <v>66</v>
      </c>
      <c r="E271" s="6" t="str">
        <f>"530.90"</f>
        <v>530.90</v>
      </c>
      <c r="F271" s="6"/>
      <c r="G271" s="2">
        <v>530.9</v>
      </c>
      <c r="H271" s="8" t="s">
        <v>11</v>
      </c>
      <c r="I271" s="6">
        <v>4</v>
      </c>
      <c r="J271" s="8">
        <v>2017</v>
      </c>
      <c r="K271" s="15"/>
      <c r="L271" s="15"/>
      <c r="M271" s="15"/>
      <c r="N271" s="15"/>
      <c r="O271" s="15"/>
      <c r="P271" s="15" t="str">
        <f>"502.90"</f>
        <v>502.90</v>
      </c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>
      <c r="A272" s="6">
        <v>270</v>
      </c>
      <c r="B272" s="6">
        <v>7202</v>
      </c>
      <c r="C272" s="7" t="s">
        <v>321</v>
      </c>
      <c r="D272" s="6" t="s">
        <v>19</v>
      </c>
      <c r="E272" s="6" t="str">
        <f>"505.05"</f>
        <v>505.05</v>
      </c>
      <c r="F272" s="6"/>
      <c r="G272" s="2">
        <v>533.04999999999995</v>
      </c>
      <c r="H272" s="8" t="s">
        <v>15</v>
      </c>
      <c r="I272" s="6">
        <v>1</v>
      </c>
      <c r="J272" s="8">
        <v>2017</v>
      </c>
      <c r="K272" s="15" t="str">
        <f>"505.05"</f>
        <v>505.05</v>
      </c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>
      <c r="A273" s="6">
        <v>271</v>
      </c>
      <c r="B273" s="6">
        <v>10959</v>
      </c>
      <c r="C273" s="7" t="s">
        <v>267</v>
      </c>
      <c r="D273" s="6" t="s">
        <v>18</v>
      </c>
      <c r="E273" s="6" t="str">
        <f>"535.78"</f>
        <v>535.78</v>
      </c>
      <c r="F273" s="6"/>
      <c r="G273" s="2">
        <v>535.78</v>
      </c>
      <c r="H273" s="8"/>
      <c r="I273" s="6">
        <v>3</v>
      </c>
      <c r="J273" s="8">
        <v>2017</v>
      </c>
      <c r="K273" s="15" t="str">
        <f>"869.64"</f>
        <v>869.64</v>
      </c>
      <c r="L273" s="15"/>
      <c r="M273" s="15"/>
      <c r="N273" s="15"/>
      <c r="O273" s="15"/>
      <c r="P273" s="15"/>
      <c r="Q273" s="15"/>
      <c r="R273" s="15"/>
      <c r="S273" s="15"/>
      <c r="T273" s="15" t="str">
        <f>"791.74"</f>
        <v>791.74</v>
      </c>
      <c r="U273" s="15"/>
      <c r="V273" s="15"/>
      <c r="W273" s="15"/>
      <c r="X273" s="15"/>
      <c r="Y273" s="15" t="str">
        <f>"279.81"</f>
        <v>279.81</v>
      </c>
      <c r="Z273" s="15"/>
      <c r="AA273" s="15"/>
    </row>
    <row r="274" spans="1:27">
      <c r="A274" s="6">
        <v>272</v>
      </c>
      <c r="B274" s="6">
        <v>10359</v>
      </c>
      <c r="C274" s="7" t="s">
        <v>253</v>
      </c>
      <c r="D274" s="6" t="s">
        <v>27</v>
      </c>
      <c r="E274" s="6" t="str">
        <f>"509.19"</f>
        <v>509.19</v>
      </c>
      <c r="F274" s="6"/>
      <c r="G274" s="2">
        <v>537.19000000000005</v>
      </c>
      <c r="H274" s="8" t="s">
        <v>15</v>
      </c>
      <c r="I274" s="6">
        <v>1</v>
      </c>
      <c r="J274" s="8">
        <v>2017</v>
      </c>
      <c r="K274" s="15" t="str">
        <f>"509.19"</f>
        <v>509.19</v>
      </c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>
      <c r="A275" s="6">
        <v>273</v>
      </c>
      <c r="B275" s="6">
        <v>11028</v>
      </c>
      <c r="C275" s="7" t="s">
        <v>343</v>
      </c>
      <c r="D275" s="6" t="s">
        <v>40</v>
      </c>
      <c r="E275" s="6" t="str">
        <f>"541.12"</f>
        <v>541.12</v>
      </c>
      <c r="F275" s="6"/>
      <c r="G275" s="2">
        <v>541.12</v>
      </c>
      <c r="H275" s="8" t="s">
        <v>11</v>
      </c>
      <c r="I275" s="6">
        <v>4</v>
      </c>
      <c r="J275" s="8">
        <v>2017</v>
      </c>
      <c r="K275" s="15"/>
      <c r="L275" s="15"/>
      <c r="M275" s="15"/>
      <c r="N275" s="15"/>
      <c r="O275" s="15"/>
      <c r="P275" s="15" t="str">
        <f>"513.12"</f>
        <v>513.12</v>
      </c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>
      <c r="A276" s="6">
        <v>274</v>
      </c>
      <c r="B276" s="6">
        <v>11245</v>
      </c>
      <c r="C276" s="7" t="s">
        <v>357</v>
      </c>
      <c r="D276" s="6" t="s">
        <v>13</v>
      </c>
      <c r="E276" s="6" t="str">
        <f>"542.03"</f>
        <v>542.03</v>
      </c>
      <c r="F276" s="6"/>
      <c r="G276" s="2">
        <v>542.03</v>
      </c>
      <c r="H276" s="8"/>
      <c r="I276" s="6">
        <v>5</v>
      </c>
      <c r="J276" s="8">
        <v>2017</v>
      </c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 t="str">
        <f>"518.02"</f>
        <v>518.02</v>
      </c>
      <c r="V276" s="15"/>
      <c r="W276" s="15"/>
      <c r="X276" s="15"/>
      <c r="Y276" s="15"/>
      <c r="Z276" s="15" t="str">
        <f>"566.04"</f>
        <v>566.04</v>
      </c>
      <c r="AA276" s="15"/>
    </row>
    <row r="277" spans="1:27">
      <c r="A277" s="6">
        <v>275</v>
      </c>
      <c r="B277" s="6">
        <v>11324</v>
      </c>
      <c r="C277" s="7" t="s">
        <v>341</v>
      </c>
      <c r="D277" s="6" t="s">
        <v>66</v>
      </c>
      <c r="E277" s="6" t="str">
        <f>"545.60"</f>
        <v>545.60</v>
      </c>
      <c r="F277" s="6"/>
      <c r="G277" s="2">
        <v>545.6</v>
      </c>
      <c r="H277" s="8" t="s">
        <v>11</v>
      </c>
      <c r="I277" s="6">
        <v>4</v>
      </c>
      <c r="J277" s="8">
        <v>2017</v>
      </c>
      <c r="K277" s="15"/>
      <c r="L277" s="15"/>
      <c r="M277" s="15"/>
      <c r="N277" s="15"/>
      <c r="O277" s="15"/>
      <c r="P277" s="15" t="str">
        <f>"517.60"</f>
        <v>517.60</v>
      </c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>
      <c r="A278" s="6">
        <v>276</v>
      </c>
      <c r="B278" s="6">
        <v>7900</v>
      </c>
      <c r="C278" s="7" t="s">
        <v>369</v>
      </c>
      <c r="D278" s="6" t="s">
        <v>80</v>
      </c>
      <c r="E278" s="6" t="str">
        <f>"521.42"</f>
        <v>521.42</v>
      </c>
      <c r="F278" s="6"/>
      <c r="G278" s="2">
        <v>549.41999999999996</v>
      </c>
      <c r="H278" s="8" t="s">
        <v>15</v>
      </c>
      <c r="I278" s="6">
        <v>1</v>
      </c>
      <c r="J278" s="8">
        <v>2017</v>
      </c>
      <c r="K278" s="15" t="str">
        <f>"521.42"</f>
        <v>521.42</v>
      </c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>
      <c r="A279" s="6">
        <v>277</v>
      </c>
      <c r="B279" s="6">
        <v>10808</v>
      </c>
      <c r="C279" s="7" t="s">
        <v>330</v>
      </c>
      <c r="D279" s="6" t="s">
        <v>18</v>
      </c>
      <c r="E279" s="6" t="str">
        <f>"551.27"</f>
        <v>551.27</v>
      </c>
      <c r="F279" s="6"/>
      <c r="G279" s="2">
        <v>551.27</v>
      </c>
      <c r="H279" s="8"/>
      <c r="I279" s="6">
        <v>3</v>
      </c>
      <c r="J279" s="8">
        <v>2017</v>
      </c>
      <c r="K279" s="15" t="str">
        <f>"801.90"</f>
        <v>801.90</v>
      </c>
      <c r="L279" s="15"/>
      <c r="M279" s="15"/>
      <c r="N279" s="15"/>
      <c r="O279" s="15"/>
      <c r="P279" s="15"/>
      <c r="Q279" s="15"/>
      <c r="R279" s="15"/>
      <c r="S279" s="15"/>
      <c r="T279" s="15" t="str">
        <f>"739.86"</f>
        <v>739.86</v>
      </c>
      <c r="U279" s="15"/>
      <c r="V279" s="15"/>
      <c r="W279" s="15" t="str">
        <f>"362.68"</f>
        <v>362.68</v>
      </c>
      <c r="X279" s="15"/>
      <c r="Y279" s="15"/>
      <c r="Z279" s="15"/>
      <c r="AA279" s="15"/>
    </row>
    <row r="280" spans="1:27">
      <c r="A280" s="6">
        <v>278</v>
      </c>
      <c r="B280" s="6">
        <v>11155</v>
      </c>
      <c r="C280" s="7" t="s">
        <v>190</v>
      </c>
      <c r="D280" s="6" t="s">
        <v>18</v>
      </c>
      <c r="E280" s="6" t="str">
        <f>"567.12"</f>
        <v>567.12</v>
      </c>
      <c r="F280" s="6"/>
      <c r="G280" s="2">
        <v>567.12</v>
      </c>
      <c r="H280" s="8" t="s">
        <v>11</v>
      </c>
      <c r="I280" s="6">
        <v>4</v>
      </c>
      <c r="J280" s="8">
        <v>2017</v>
      </c>
      <c r="K280" s="15"/>
      <c r="L280" s="15"/>
      <c r="M280" s="15"/>
      <c r="N280" s="15"/>
      <c r="O280" s="15"/>
      <c r="P280" s="15"/>
      <c r="Q280" s="15"/>
      <c r="R280" s="15"/>
      <c r="S280" s="15"/>
      <c r="T280" s="15" t="str">
        <f>"539.12"</f>
        <v>539.12</v>
      </c>
      <c r="U280" s="15"/>
      <c r="V280" s="15"/>
      <c r="W280" s="15"/>
      <c r="X280" s="15"/>
      <c r="Y280" s="15"/>
      <c r="Z280" s="15"/>
      <c r="AA280" s="15"/>
    </row>
    <row r="281" spans="1:27">
      <c r="A281" s="6">
        <v>279</v>
      </c>
      <c r="B281" s="6">
        <v>11263</v>
      </c>
      <c r="C281" s="7" t="s">
        <v>364</v>
      </c>
      <c r="D281" s="6" t="s">
        <v>13</v>
      </c>
      <c r="E281" s="6" t="str">
        <f>"576.65"</f>
        <v>576.65</v>
      </c>
      <c r="F281" s="6"/>
      <c r="G281" s="2">
        <v>576.65</v>
      </c>
      <c r="H281" s="8" t="s">
        <v>11</v>
      </c>
      <c r="I281" s="6">
        <v>4</v>
      </c>
      <c r="J281" s="8">
        <v>2017</v>
      </c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 t="str">
        <f>"548.65"</f>
        <v>548.65</v>
      </c>
      <c r="V281" s="15"/>
      <c r="W281" s="15"/>
      <c r="X281" s="15"/>
      <c r="Y281" s="15"/>
      <c r="Z281" s="15"/>
      <c r="AA281" s="15"/>
    </row>
    <row r="282" spans="1:27">
      <c r="A282" s="6">
        <v>280</v>
      </c>
      <c r="B282" s="6">
        <v>11089</v>
      </c>
      <c r="C282" s="7" t="s">
        <v>371</v>
      </c>
      <c r="D282" s="6" t="s">
        <v>16</v>
      </c>
      <c r="E282" s="6" t="str">
        <f>"583.20"</f>
        <v>583.20</v>
      </c>
      <c r="F282" s="6"/>
      <c r="G282" s="2">
        <v>583.20000000000005</v>
      </c>
      <c r="H282" s="8" t="s">
        <v>11</v>
      </c>
      <c r="I282" s="6">
        <v>4</v>
      </c>
      <c r="J282" s="8">
        <v>2017</v>
      </c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 t="str">
        <f>"555.20"</f>
        <v>555.20</v>
      </c>
      <c r="Z282" s="15"/>
      <c r="AA282" s="15"/>
    </row>
    <row r="283" spans="1:27">
      <c r="A283" s="6">
        <v>281</v>
      </c>
      <c r="B283" s="6">
        <v>11261</v>
      </c>
      <c r="C283" s="7" t="s">
        <v>356</v>
      </c>
      <c r="D283" s="6" t="s">
        <v>13</v>
      </c>
      <c r="E283" s="6" t="str">
        <f>"583.96"</f>
        <v>583.96</v>
      </c>
      <c r="F283" s="6"/>
      <c r="G283" s="2">
        <v>583.96</v>
      </c>
      <c r="H283" s="8"/>
      <c r="I283" s="6">
        <v>5</v>
      </c>
      <c r="J283" s="8">
        <v>2017</v>
      </c>
      <c r="K283" s="15"/>
      <c r="L283" s="15" t="str">
        <f>"689.56"</f>
        <v>689.56</v>
      </c>
      <c r="M283" s="15"/>
      <c r="N283" s="15"/>
      <c r="O283" s="15"/>
      <c r="P283" s="15"/>
      <c r="Q283" s="15"/>
      <c r="R283" s="15"/>
      <c r="S283" s="15"/>
      <c r="T283" s="15"/>
      <c r="U283" s="15" t="str">
        <f>"478.36"</f>
        <v>478.36</v>
      </c>
      <c r="V283" s="15"/>
      <c r="W283" s="15"/>
      <c r="X283" s="15"/>
      <c r="Y283" s="15"/>
      <c r="Z283" s="15"/>
      <c r="AA283" s="15"/>
    </row>
    <row r="284" spans="1:27">
      <c r="A284" s="6">
        <v>282</v>
      </c>
      <c r="B284" s="6">
        <v>11247</v>
      </c>
      <c r="C284" s="7" t="s">
        <v>372</v>
      </c>
      <c r="D284" s="6" t="s">
        <v>13</v>
      </c>
      <c r="E284" s="6" t="str">
        <f>"585.66"</f>
        <v>585.66</v>
      </c>
      <c r="F284" s="6"/>
      <c r="G284" s="2">
        <v>585.66</v>
      </c>
      <c r="H284" s="8"/>
      <c r="I284" s="6">
        <v>5</v>
      </c>
      <c r="J284" s="8">
        <v>2017</v>
      </c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 t="str">
        <f>"586.92"</f>
        <v>586.92</v>
      </c>
      <c r="V284" s="15"/>
      <c r="W284" s="15"/>
      <c r="X284" s="15"/>
      <c r="Y284" s="15"/>
      <c r="Z284" s="15" t="str">
        <f>"584.40"</f>
        <v>584.40</v>
      </c>
      <c r="AA284" s="15"/>
    </row>
    <row r="285" spans="1:27">
      <c r="A285" s="6">
        <v>283</v>
      </c>
      <c r="B285" s="6">
        <v>10480</v>
      </c>
      <c r="C285" s="7" t="s">
        <v>310</v>
      </c>
      <c r="D285" s="6" t="s">
        <v>18</v>
      </c>
      <c r="E285" s="6" t="str">
        <f>"409.86"</f>
        <v>409.86</v>
      </c>
      <c r="F285" s="6"/>
      <c r="G285" s="2">
        <v>589.52</v>
      </c>
      <c r="H285" s="8" t="s">
        <v>11</v>
      </c>
      <c r="I285" s="6">
        <v>2</v>
      </c>
      <c r="J285" s="8">
        <v>2017</v>
      </c>
      <c r="K285" s="15" t="str">
        <f>"409.86"</f>
        <v>409.86</v>
      </c>
      <c r="L285" s="15"/>
      <c r="M285" s="15"/>
      <c r="N285" s="15"/>
      <c r="O285" s="15"/>
      <c r="P285" s="15"/>
      <c r="Q285" s="15"/>
      <c r="R285" s="15"/>
      <c r="S285" s="15"/>
      <c r="T285" s="15" t="str">
        <f>"561.52"</f>
        <v>561.52</v>
      </c>
      <c r="U285" s="15"/>
      <c r="V285" s="15"/>
      <c r="W285" s="15"/>
      <c r="X285" s="15"/>
      <c r="Y285" s="15"/>
      <c r="Z285" s="15"/>
      <c r="AA285" s="15"/>
    </row>
    <row r="286" spans="1:27">
      <c r="A286" s="6">
        <v>284</v>
      </c>
      <c r="B286" s="6">
        <v>10768</v>
      </c>
      <c r="C286" s="7" t="s">
        <v>313</v>
      </c>
      <c r="D286" s="6" t="s">
        <v>18</v>
      </c>
      <c r="E286" s="6" t="str">
        <f>"594.37"</f>
        <v>594.37</v>
      </c>
      <c r="F286" s="6"/>
      <c r="G286" s="2">
        <v>594.37</v>
      </c>
      <c r="H286" s="8"/>
      <c r="I286" s="6">
        <v>3</v>
      </c>
      <c r="J286" s="8">
        <v>2017</v>
      </c>
      <c r="K286" s="15" t="str">
        <f>"792.76"</f>
        <v>792.76</v>
      </c>
      <c r="L286" s="15"/>
      <c r="M286" s="15"/>
      <c r="N286" s="15"/>
      <c r="O286" s="15"/>
      <c r="P286" s="15"/>
      <c r="Q286" s="15"/>
      <c r="R286" s="15" t="str">
        <f>"485.44"</f>
        <v>485.44</v>
      </c>
      <c r="S286" s="15"/>
      <c r="T286" s="15" t="str">
        <f>"703.30"</f>
        <v>703.30</v>
      </c>
      <c r="U286" s="15"/>
      <c r="V286" s="15"/>
      <c r="W286" s="15"/>
      <c r="X286" s="15"/>
      <c r="Y286" s="15"/>
      <c r="Z286" s="15"/>
      <c r="AA286" s="15"/>
    </row>
    <row r="287" spans="1:27">
      <c r="A287" s="6">
        <v>285</v>
      </c>
      <c r="B287" s="6">
        <v>5403</v>
      </c>
      <c r="C287" s="7" t="s">
        <v>303</v>
      </c>
      <c r="D287" s="6" t="s">
        <v>18</v>
      </c>
      <c r="E287" s="6" t="str">
        <f>"595.12"</f>
        <v>595.12</v>
      </c>
      <c r="F287" s="6"/>
      <c r="G287" s="2">
        <v>595.12</v>
      </c>
      <c r="H287" s="8" t="s">
        <v>11</v>
      </c>
      <c r="I287" s="6">
        <v>4</v>
      </c>
      <c r="J287" s="8">
        <v>2017</v>
      </c>
      <c r="K287" s="15"/>
      <c r="L287" s="15"/>
      <c r="M287" s="15"/>
      <c r="N287" s="15"/>
      <c r="O287" s="15"/>
      <c r="P287" s="15"/>
      <c r="Q287" s="15"/>
      <c r="R287" s="15"/>
      <c r="S287" s="15"/>
      <c r="T287" s="15" t="str">
        <f>"567.12"</f>
        <v>567.12</v>
      </c>
      <c r="U287" s="15"/>
      <c r="V287" s="15"/>
      <c r="W287" s="15"/>
      <c r="X287" s="15"/>
      <c r="Y287" s="15"/>
      <c r="Z287" s="15"/>
      <c r="AA287" s="15"/>
    </row>
    <row r="288" spans="1:27">
      <c r="A288" s="6">
        <v>286</v>
      </c>
      <c r="B288" s="6">
        <v>10716</v>
      </c>
      <c r="C288" s="7" t="s">
        <v>365</v>
      </c>
      <c r="D288" s="6" t="s">
        <v>13</v>
      </c>
      <c r="E288" s="6" t="str">
        <f>"648.42"</f>
        <v>648.42</v>
      </c>
      <c r="F288" s="6"/>
      <c r="G288" s="2">
        <v>596.39</v>
      </c>
      <c r="H288" s="8" t="s">
        <v>11</v>
      </c>
      <c r="I288" s="6">
        <v>2</v>
      </c>
      <c r="J288" s="8">
        <v>2017</v>
      </c>
      <c r="K288" s="15" t="str">
        <f>"728.44"</f>
        <v>728.44</v>
      </c>
      <c r="L288" s="15"/>
      <c r="M288" s="15"/>
      <c r="N288" s="15"/>
      <c r="O288" s="15"/>
      <c r="P288" s="15"/>
      <c r="Q288" s="15"/>
      <c r="R288" s="15"/>
      <c r="S288" s="15"/>
      <c r="T288" s="15"/>
      <c r="U288" s="15" t="str">
        <f>"568.39"</f>
        <v>568.39</v>
      </c>
      <c r="V288" s="15"/>
      <c r="W288" s="15"/>
      <c r="X288" s="15"/>
      <c r="Y288" s="15"/>
      <c r="Z288" s="15"/>
      <c r="AA288" s="15"/>
    </row>
    <row r="289" spans="1:27">
      <c r="A289" s="6">
        <v>287</v>
      </c>
      <c r="B289" s="6">
        <v>2891</v>
      </c>
      <c r="C289" s="7" t="s">
        <v>362</v>
      </c>
      <c r="D289" s="6" t="s">
        <v>32</v>
      </c>
      <c r="E289" s="6" t="str">
        <f>"574.20"</f>
        <v>574.20</v>
      </c>
      <c r="F289" s="6"/>
      <c r="G289" s="2">
        <v>602.20000000000005</v>
      </c>
      <c r="H289" s="8" t="s">
        <v>15</v>
      </c>
      <c r="I289" s="6">
        <v>1</v>
      </c>
      <c r="J289" s="8">
        <v>2017</v>
      </c>
      <c r="K289" s="15" t="str">
        <f>"574.20"</f>
        <v>574.20</v>
      </c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>
      <c r="A290" s="6">
        <v>288</v>
      </c>
      <c r="B290" s="6">
        <v>10697</v>
      </c>
      <c r="C290" s="7" t="s">
        <v>318</v>
      </c>
      <c r="D290" s="6" t="s">
        <v>18</v>
      </c>
      <c r="E290" s="6" t="str">
        <f>"676.25"</f>
        <v>676.25</v>
      </c>
      <c r="F290" s="6"/>
      <c r="G290" s="2">
        <v>617.52</v>
      </c>
      <c r="H290" s="8" t="s">
        <v>11</v>
      </c>
      <c r="I290" s="6">
        <v>2</v>
      </c>
      <c r="J290" s="8">
        <v>2017</v>
      </c>
      <c r="K290" s="15" t="str">
        <f>"762.98"</f>
        <v>762.98</v>
      </c>
      <c r="L290" s="15"/>
      <c r="M290" s="15"/>
      <c r="N290" s="15"/>
      <c r="O290" s="15"/>
      <c r="P290" s="15"/>
      <c r="Q290" s="15"/>
      <c r="R290" s="15"/>
      <c r="S290" s="15"/>
      <c r="T290" s="15" t="str">
        <f>"589.52"</f>
        <v>589.52</v>
      </c>
      <c r="U290" s="15"/>
      <c r="V290" s="15"/>
      <c r="W290" s="15"/>
      <c r="X290" s="15"/>
      <c r="Y290" s="15"/>
      <c r="Z290" s="15"/>
      <c r="AA290" s="15"/>
    </row>
    <row r="291" spans="1:27">
      <c r="A291" s="6">
        <v>289</v>
      </c>
      <c r="B291" s="6">
        <v>10783</v>
      </c>
      <c r="C291" s="7" t="s">
        <v>359</v>
      </c>
      <c r="D291" s="6" t="s">
        <v>18</v>
      </c>
      <c r="E291" s="6" t="str">
        <f>"632.59"</f>
        <v>632.59</v>
      </c>
      <c r="F291" s="6"/>
      <c r="G291" s="2">
        <v>632.59</v>
      </c>
      <c r="H291" s="8"/>
      <c r="I291" s="6">
        <v>3</v>
      </c>
      <c r="J291" s="8">
        <v>2017</v>
      </c>
      <c r="K291" s="15" t="str">
        <f>"1480.82"</f>
        <v>1480.82</v>
      </c>
      <c r="L291" s="15"/>
      <c r="M291" s="15"/>
      <c r="N291" s="15"/>
      <c r="O291" s="15"/>
      <c r="P291" s="15"/>
      <c r="Q291" s="15"/>
      <c r="R291" s="15"/>
      <c r="S291" s="15"/>
      <c r="T291" s="15" t="str">
        <f>"948.86"</f>
        <v>948.86</v>
      </c>
      <c r="U291" s="15"/>
      <c r="V291" s="15"/>
      <c r="W291" s="15"/>
      <c r="X291" s="15"/>
      <c r="Y291" s="15" t="str">
        <f>"316.31"</f>
        <v>316.31</v>
      </c>
      <c r="Z291" s="15"/>
      <c r="AA291" s="15"/>
    </row>
    <row r="292" spans="1:27">
      <c r="A292" s="6">
        <v>290</v>
      </c>
      <c r="B292" s="6">
        <v>11246</v>
      </c>
      <c r="C292" s="7" t="s">
        <v>378</v>
      </c>
      <c r="D292" s="6" t="s">
        <v>13</v>
      </c>
      <c r="E292" s="6" t="str">
        <f>"637.24"</f>
        <v>637.24</v>
      </c>
      <c r="F292" s="6"/>
      <c r="G292" s="2">
        <v>637.24</v>
      </c>
      <c r="H292" s="8"/>
      <c r="I292" s="6">
        <v>5</v>
      </c>
      <c r="J292" s="8">
        <v>2017</v>
      </c>
      <c r="K292" s="15"/>
      <c r="L292" s="15" t="str">
        <f>"715.42"</f>
        <v>715.42</v>
      </c>
      <c r="M292" s="15"/>
      <c r="N292" s="15"/>
      <c r="O292" s="15"/>
      <c r="P292" s="15"/>
      <c r="Q292" s="15"/>
      <c r="R292" s="15"/>
      <c r="S292" s="15"/>
      <c r="T292" s="15"/>
      <c r="U292" s="15" t="str">
        <f>"559.05"</f>
        <v>559.05</v>
      </c>
      <c r="V292" s="15"/>
      <c r="W292" s="15"/>
      <c r="X292" s="15"/>
      <c r="Y292" s="15"/>
      <c r="Z292" s="15" t="str">
        <f>"732.05"</f>
        <v>732.05</v>
      </c>
      <c r="AA292" s="15"/>
    </row>
    <row r="293" spans="1:27">
      <c r="A293" s="6">
        <v>291</v>
      </c>
      <c r="B293" s="6">
        <v>3657</v>
      </c>
      <c r="C293" s="7" t="s">
        <v>376</v>
      </c>
      <c r="D293" s="6" t="s">
        <v>32</v>
      </c>
      <c r="E293" s="6" t="str">
        <f>"611.77"</f>
        <v>611.77</v>
      </c>
      <c r="F293" s="6"/>
      <c r="G293" s="2">
        <v>639.77</v>
      </c>
      <c r="H293" s="8" t="s">
        <v>15</v>
      </c>
      <c r="I293" s="6">
        <v>1</v>
      </c>
      <c r="J293" s="8">
        <v>2017</v>
      </c>
      <c r="K293" s="15" t="str">
        <f>"611.77"</f>
        <v>611.77</v>
      </c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>
      <c r="A294" s="6">
        <v>292</v>
      </c>
      <c r="B294" s="6">
        <v>10429</v>
      </c>
      <c r="C294" s="7" t="s">
        <v>304</v>
      </c>
      <c r="D294" s="6" t="s">
        <v>18</v>
      </c>
      <c r="E294" s="6" t="str">
        <f>"672.61"</f>
        <v>672.61</v>
      </c>
      <c r="F294" s="6"/>
      <c r="G294" s="2">
        <v>640.52</v>
      </c>
      <c r="H294" s="8" t="s">
        <v>11</v>
      </c>
      <c r="I294" s="6">
        <v>2</v>
      </c>
      <c r="J294" s="8">
        <v>2017</v>
      </c>
      <c r="K294" s="15" t="str">
        <f>"732.70"</f>
        <v>732.70</v>
      </c>
      <c r="L294" s="15"/>
      <c r="M294" s="15"/>
      <c r="N294" s="15"/>
      <c r="O294" s="15"/>
      <c r="P294" s="15"/>
      <c r="Q294" s="15"/>
      <c r="R294" s="15"/>
      <c r="S294" s="15"/>
      <c r="T294" s="15" t="str">
        <f>"612.52"</f>
        <v>612.52</v>
      </c>
      <c r="U294" s="15"/>
      <c r="V294" s="15"/>
      <c r="W294" s="15"/>
      <c r="X294" s="15"/>
      <c r="Y294" s="15"/>
      <c r="Z294" s="15"/>
      <c r="AA294" s="15"/>
    </row>
    <row r="295" spans="1:27">
      <c r="A295" s="6">
        <v>293</v>
      </c>
      <c r="B295" s="6">
        <v>10767</v>
      </c>
      <c r="C295" s="7" t="s">
        <v>296</v>
      </c>
      <c r="D295" s="6" t="s">
        <v>18</v>
      </c>
      <c r="E295" s="6" t="str">
        <f>"837.00"</f>
        <v>837.00</v>
      </c>
      <c r="F295" s="6"/>
      <c r="G295" s="2">
        <v>681.48</v>
      </c>
      <c r="H295" s="8" t="s">
        <v>11</v>
      </c>
      <c r="I295" s="6">
        <v>2</v>
      </c>
      <c r="J295" s="8">
        <v>2017</v>
      </c>
      <c r="K295" s="15" t="str">
        <f>"1020.52"</f>
        <v>1020.52</v>
      </c>
      <c r="L295" s="15"/>
      <c r="M295" s="15"/>
      <c r="N295" s="15"/>
      <c r="O295" s="15"/>
      <c r="P295" s="15"/>
      <c r="Q295" s="15"/>
      <c r="R295" s="15"/>
      <c r="S295" s="15"/>
      <c r="T295" s="15" t="str">
        <f>"653.48"</f>
        <v>653.48</v>
      </c>
      <c r="U295" s="15"/>
      <c r="V295" s="15"/>
      <c r="W295" s="15"/>
      <c r="X295" s="15"/>
      <c r="Y295" s="15"/>
      <c r="Z295" s="15"/>
      <c r="AA295" s="15"/>
    </row>
    <row r="296" spans="1:27">
      <c r="A296" s="6">
        <v>294</v>
      </c>
      <c r="B296" s="6">
        <v>11172</v>
      </c>
      <c r="C296" s="7" t="s">
        <v>377</v>
      </c>
      <c r="D296" s="6" t="s">
        <v>18</v>
      </c>
      <c r="E296" s="6" t="str">
        <f>"707.52"</f>
        <v>707.52</v>
      </c>
      <c r="F296" s="6"/>
      <c r="G296" s="2">
        <v>707.52</v>
      </c>
      <c r="H296" s="8"/>
      <c r="I296" s="6">
        <v>5</v>
      </c>
      <c r="J296" s="8">
        <v>2017</v>
      </c>
      <c r="K296" s="15"/>
      <c r="L296" s="15"/>
      <c r="M296" s="15"/>
      <c r="N296" s="15"/>
      <c r="O296" s="15"/>
      <c r="P296" s="15"/>
      <c r="Q296" s="15"/>
      <c r="R296" s="15"/>
      <c r="S296" s="15"/>
      <c r="T296" s="15" t="str">
        <f>"1618.90"</f>
        <v>1618.90</v>
      </c>
      <c r="U296" s="15"/>
      <c r="V296" s="15"/>
      <c r="W296" s="15"/>
      <c r="X296" s="15" t="str">
        <f>"835.46"</f>
        <v>835.46</v>
      </c>
      <c r="Y296" s="15" t="str">
        <f>"579.58"</f>
        <v>579.58</v>
      </c>
      <c r="Z296" s="15"/>
      <c r="AA296" s="15"/>
    </row>
    <row r="297" spans="1:27">
      <c r="A297" s="6">
        <v>295</v>
      </c>
      <c r="B297" s="6">
        <v>10784</v>
      </c>
      <c r="C297" s="7" t="s">
        <v>344</v>
      </c>
      <c r="D297" s="6" t="s">
        <v>18</v>
      </c>
      <c r="E297" s="6" t="str">
        <f>"733.21"</f>
        <v>733.21</v>
      </c>
      <c r="F297" s="6"/>
      <c r="G297" s="2">
        <v>733.21</v>
      </c>
      <c r="H297" s="8"/>
      <c r="I297" s="6">
        <v>3</v>
      </c>
      <c r="J297" s="8">
        <v>2017</v>
      </c>
      <c r="K297" s="15" t="str">
        <f>"1242.98"</f>
        <v>1242.98</v>
      </c>
      <c r="L297" s="15"/>
      <c r="M297" s="15"/>
      <c r="N297" s="15"/>
      <c r="O297" s="15"/>
      <c r="P297" s="15"/>
      <c r="Q297" s="15"/>
      <c r="R297" s="15"/>
      <c r="S297" s="15"/>
      <c r="T297" s="15" t="str">
        <f>"1125.14"</f>
        <v>1125.14</v>
      </c>
      <c r="U297" s="15"/>
      <c r="V297" s="15"/>
      <c r="W297" s="15"/>
      <c r="X297" s="15"/>
      <c r="Y297" s="15" t="str">
        <f>"341.28"</f>
        <v>341.28</v>
      </c>
      <c r="Z297" s="15"/>
      <c r="AA297" s="15"/>
    </row>
    <row r="298" spans="1:27">
      <c r="A298" s="6">
        <v>296</v>
      </c>
      <c r="B298" s="6">
        <v>10501</v>
      </c>
      <c r="C298" s="7" t="s">
        <v>358</v>
      </c>
      <c r="D298" s="6" t="s">
        <v>18</v>
      </c>
      <c r="E298" s="6" t="str">
        <f>"709.64"</f>
        <v>709.64</v>
      </c>
      <c r="F298" s="6"/>
      <c r="G298" s="2">
        <v>737.64</v>
      </c>
      <c r="H298" s="8" t="s">
        <v>15</v>
      </c>
      <c r="I298" s="6">
        <v>1</v>
      </c>
      <c r="J298" s="8">
        <v>2017</v>
      </c>
      <c r="K298" s="15" t="str">
        <f>"709.64"</f>
        <v>709.64</v>
      </c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>
      <c r="A299" s="6">
        <v>297</v>
      </c>
      <c r="B299" s="6">
        <v>11170</v>
      </c>
      <c r="C299" s="7" t="s">
        <v>383</v>
      </c>
      <c r="D299" s="6" t="s">
        <v>18</v>
      </c>
      <c r="E299" s="6" t="str">
        <f>"774.68"</f>
        <v>774.68</v>
      </c>
      <c r="F299" s="6"/>
      <c r="G299" s="2">
        <v>774.68</v>
      </c>
      <c r="H299" s="8" t="s">
        <v>11</v>
      </c>
      <c r="I299" s="6">
        <v>4</v>
      </c>
      <c r="J299" s="8">
        <v>2017</v>
      </c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 t="str">
        <f>"746.68"</f>
        <v>746.68</v>
      </c>
      <c r="Y299" s="15"/>
      <c r="Z299" s="15"/>
      <c r="AA299" s="15"/>
    </row>
    <row r="300" spans="1:27">
      <c r="A300" s="6">
        <v>298</v>
      </c>
      <c r="B300" s="6">
        <v>11199</v>
      </c>
      <c r="C300" s="7" t="s">
        <v>338</v>
      </c>
      <c r="D300" s="6" t="s">
        <v>18</v>
      </c>
      <c r="E300" s="6" t="str">
        <f>"804.12"</f>
        <v>804.12</v>
      </c>
      <c r="F300" s="6"/>
      <c r="G300" s="2">
        <v>804.12</v>
      </c>
      <c r="H300" s="8" t="s">
        <v>11</v>
      </c>
      <c r="I300" s="6">
        <v>4</v>
      </c>
      <c r="J300" s="8">
        <v>2017</v>
      </c>
      <c r="K300" s="15"/>
      <c r="L300" s="15"/>
      <c r="M300" s="15"/>
      <c r="N300" s="15"/>
      <c r="O300" s="15"/>
      <c r="P300" s="15"/>
      <c r="Q300" s="15"/>
      <c r="R300" s="15"/>
      <c r="S300" s="15"/>
      <c r="T300" s="15" t="str">
        <f>"776.12"</f>
        <v>776.12</v>
      </c>
      <c r="U300" s="15"/>
      <c r="V300" s="15"/>
      <c r="W300" s="15"/>
      <c r="X300" s="15"/>
      <c r="Y300" s="15"/>
      <c r="Z300" s="15"/>
      <c r="AA300" s="15"/>
    </row>
    <row r="301" spans="1:27">
      <c r="A301" s="6">
        <v>299</v>
      </c>
      <c r="B301" s="6">
        <v>10785</v>
      </c>
      <c r="C301" s="7" t="s">
        <v>367</v>
      </c>
      <c r="D301" s="6" t="s">
        <v>18</v>
      </c>
      <c r="E301" s="6" t="str">
        <f>"809.57"</f>
        <v>809.57</v>
      </c>
      <c r="F301" s="6"/>
      <c r="G301" s="2">
        <v>809.57</v>
      </c>
      <c r="H301" s="8"/>
      <c r="I301" s="6">
        <v>5</v>
      </c>
      <c r="J301" s="8">
        <v>2017</v>
      </c>
      <c r="K301" s="15"/>
      <c r="L301" s="15"/>
      <c r="M301" s="15"/>
      <c r="N301" s="15"/>
      <c r="O301" s="15"/>
      <c r="P301" s="15"/>
      <c r="Q301" s="15"/>
      <c r="R301" s="15"/>
      <c r="S301" s="15"/>
      <c r="T301" s="15" t="str">
        <f>"1019.60"</f>
        <v>1019.60</v>
      </c>
      <c r="U301" s="15"/>
      <c r="V301" s="15"/>
      <c r="W301" s="15"/>
      <c r="X301" s="15"/>
      <c r="Y301" s="15" t="str">
        <f>"599.53"</f>
        <v>599.53</v>
      </c>
      <c r="Z301" s="15"/>
      <c r="AA301" s="15"/>
    </row>
    <row r="302" spans="1:27">
      <c r="A302" s="6">
        <v>300</v>
      </c>
      <c r="B302" s="6">
        <v>10431</v>
      </c>
      <c r="C302" s="7" t="s">
        <v>349</v>
      </c>
      <c r="D302" s="6" t="s">
        <v>18</v>
      </c>
      <c r="E302" s="6" t="str">
        <f>"869.42"</f>
        <v>869.42</v>
      </c>
      <c r="F302" s="6"/>
      <c r="G302" s="2">
        <v>824.16</v>
      </c>
      <c r="H302" s="8" t="s">
        <v>11</v>
      </c>
      <c r="I302" s="6">
        <v>2</v>
      </c>
      <c r="J302" s="8">
        <v>2017</v>
      </c>
      <c r="K302" s="15" t="str">
        <f>"942.68"</f>
        <v>942.68</v>
      </c>
      <c r="L302" s="15"/>
      <c r="M302" s="15"/>
      <c r="N302" s="15"/>
      <c r="O302" s="15"/>
      <c r="P302" s="15"/>
      <c r="Q302" s="15"/>
      <c r="R302" s="15"/>
      <c r="S302" s="15"/>
      <c r="T302" s="15" t="str">
        <f>"796.16"</f>
        <v>796.16</v>
      </c>
      <c r="U302" s="15"/>
      <c r="V302" s="15"/>
      <c r="W302" s="15"/>
      <c r="X302" s="15"/>
      <c r="Y302" s="15"/>
      <c r="Z302" s="15"/>
      <c r="AA302" s="15"/>
    </row>
    <row r="303" spans="1:27">
      <c r="A303" s="6">
        <v>301</v>
      </c>
      <c r="B303" s="6">
        <v>10782</v>
      </c>
      <c r="C303" s="7" t="s">
        <v>322</v>
      </c>
      <c r="D303" s="6" t="s">
        <v>18</v>
      </c>
      <c r="E303" s="6" t="str">
        <f>"1002.15"</f>
        <v>1002.15</v>
      </c>
      <c r="F303" s="6"/>
      <c r="G303" s="2">
        <v>904.64</v>
      </c>
      <c r="H303" s="8" t="s">
        <v>11</v>
      </c>
      <c r="I303" s="6">
        <v>2</v>
      </c>
      <c r="J303" s="8">
        <v>2017</v>
      </c>
      <c r="K303" s="15" t="str">
        <f>"1127.66"</f>
        <v>1127.66</v>
      </c>
      <c r="L303" s="15"/>
      <c r="M303" s="15"/>
      <c r="N303" s="15"/>
      <c r="O303" s="15"/>
      <c r="P303" s="15"/>
      <c r="Q303" s="15"/>
      <c r="R303" s="15"/>
      <c r="S303" s="15"/>
      <c r="T303" s="15" t="str">
        <f>"876.64"</f>
        <v>876.64</v>
      </c>
      <c r="U303" s="15"/>
      <c r="V303" s="15"/>
      <c r="W303" s="15"/>
      <c r="X303" s="15"/>
      <c r="Y303" s="15"/>
      <c r="Z303" s="15"/>
      <c r="AA303" s="15"/>
    </row>
    <row r="304" spans="1:27">
      <c r="A304" s="6">
        <v>302</v>
      </c>
      <c r="B304" s="6">
        <v>10777</v>
      </c>
      <c r="C304" s="7" t="s">
        <v>382</v>
      </c>
      <c r="D304" s="6" t="s">
        <v>18</v>
      </c>
      <c r="E304" s="6" t="str">
        <f>"1206.74"</f>
        <v>1206.74</v>
      </c>
      <c r="F304" s="6"/>
      <c r="G304" s="2">
        <v>1004.86</v>
      </c>
      <c r="H304" s="8" t="s">
        <v>11</v>
      </c>
      <c r="I304" s="6">
        <v>2</v>
      </c>
      <c r="J304" s="8">
        <v>2017</v>
      </c>
      <c r="K304" s="15" t="str">
        <f>"1436.62"</f>
        <v>1436.62</v>
      </c>
      <c r="L304" s="15"/>
      <c r="M304" s="15"/>
      <c r="N304" s="15"/>
      <c r="O304" s="15"/>
      <c r="P304" s="15"/>
      <c r="Q304" s="15"/>
      <c r="R304" s="15"/>
      <c r="S304" s="15"/>
      <c r="T304" s="15" t="str">
        <f>"976.86"</f>
        <v>976.86</v>
      </c>
      <c r="U304" s="15"/>
      <c r="V304" s="15"/>
      <c r="W304" s="15"/>
      <c r="X304" s="15"/>
      <c r="Y304" s="15"/>
      <c r="Z304" s="15"/>
      <c r="AA304" s="15"/>
    </row>
    <row r="305" spans="1:27">
      <c r="A305" s="6">
        <v>303</v>
      </c>
      <c r="B305" s="6">
        <v>10500</v>
      </c>
      <c r="C305" s="7" t="s">
        <v>361</v>
      </c>
      <c r="D305" s="6" t="s">
        <v>18</v>
      </c>
      <c r="E305" s="6" t="str">
        <f>"941.24"</f>
        <v>941.24</v>
      </c>
      <c r="F305" s="6"/>
      <c r="G305" s="2">
        <v>1027.26</v>
      </c>
      <c r="H305" s="8" t="s">
        <v>11</v>
      </c>
      <c r="I305" s="6">
        <v>2</v>
      </c>
      <c r="J305" s="8">
        <v>2017</v>
      </c>
      <c r="K305" s="15" t="str">
        <f>"941.24"</f>
        <v>941.24</v>
      </c>
      <c r="L305" s="15"/>
      <c r="M305" s="15"/>
      <c r="N305" s="15"/>
      <c r="O305" s="15"/>
      <c r="P305" s="15"/>
      <c r="Q305" s="15"/>
      <c r="R305" s="15"/>
      <c r="S305" s="15"/>
      <c r="T305" s="15" t="str">
        <f>"999.26"</f>
        <v>999.26</v>
      </c>
      <c r="U305" s="15"/>
      <c r="V305" s="15"/>
      <c r="W305" s="15"/>
      <c r="X305" s="15"/>
      <c r="Y305" s="15"/>
      <c r="Z305" s="15"/>
      <c r="AA305" s="15"/>
    </row>
    <row r="306" spans="1:27">
      <c r="A306" s="6">
        <v>304</v>
      </c>
      <c r="B306" s="6">
        <v>10821</v>
      </c>
      <c r="C306" s="7" t="s">
        <v>366</v>
      </c>
      <c r="D306" s="6" t="s">
        <v>18</v>
      </c>
      <c r="E306" s="6" t="str">
        <f>"1149.76"</f>
        <v>1149.76</v>
      </c>
      <c r="F306" s="6"/>
      <c r="G306" s="2">
        <v>1177.76</v>
      </c>
      <c r="H306" s="8" t="s">
        <v>15</v>
      </c>
      <c r="I306" s="6">
        <v>1</v>
      </c>
      <c r="J306" s="8">
        <v>2017</v>
      </c>
      <c r="K306" s="15" t="str">
        <f>"1149.76"</f>
        <v>1149.76</v>
      </c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>
      <c r="A307" s="6">
        <v>305</v>
      </c>
      <c r="B307" s="6">
        <v>11218</v>
      </c>
      <c r="C307" s="7" t="s">
        <v>373</v>
      </c>
      <c r="D307" s="6" t="s">
        <v>18</v>
      </c>
      <c r="E307" s="6" t="str">
        <f>"1365.08"</f>
        <v>1365.08</v>
      </c>
      <c r="F307" s="6"/>
      <c r="G307" s="2">
        <v>1365.08</v>
      </c>
      <c r="H307" s="8" t="s">
        <v>11</v>
      </c>
      <c r="I307" s="6">
        <v>4</v>
      </c>
      <c r="J307" s="8">
        <v>2017</v>
      </c>
      <c r="K307" s="15"/>
      <c r="L307" s="15"/>
      <c r="M307" s="15"/>
      <c r="N307" s="15"/>
      <c r="O307" s="15"/>
      <c r="P307" s="15"/>
      <c r="Q307" s="15"/>
      <c r="R307" s="15"/>
      <c r="S307" s="15"/>
      <c r="T307" s="15" t="str">
        <f>"1337.08"</f>
        <v>1337.08</v>
      </c>
      <c r="U307" s="15"/>
      <c r="V307" s="15"/>
      <c r="W307" s="15"/>
      <c r="X307" s="15"/>
      <c r="Y307" s="15"/>
      <c r="Z307" s="15"/>
      <c r="AA307" s="15"/>
    </row>
    <row r="308" spans="1:27">
      <c r="A308" s="6">
        <v>306</v>
      </c>
      <c r="B308" s="6">
        <v>10775</v>
      </c>
      <c r="C308" s="7" t="s">
        <v>379</v>
      </c>
      <c r="D308" s="6" t="s">
        <v>18</v>
      </c>
      <c r="E308" s="6" t="str">
        <f>"1418.36"</f>
        <v>1418.36</v>
      </c>
      <c r="F308" s="6"/>
      <c r="G308" s="2">
        <v>1731.2</v>
      </c>
      <c r="H308" s="8" t="s">
        <v>11</v>
      </c>
      <c r="I308" s="6">
        <v>2</v>
      </c>
      <c r="J308" s="8">
        <v>2017</v>
      </c>
      <c r="K308" s="15" t="str">
        <f>"1418.36"</f>
        <v>1418.36</v>
      </c>
      <c r="L308" s="15"/>
      <c r="M308" s="15"/>
      <c r="N308" s="15"/>
      <c r="O308" s="15"/>
      <c r="P308" s="15"/>
      <c r="Q308" s="15"/>
      <c r="R308" s="15"/>
      <c r="S308" s="15"/>
      <c r="T308" s="15" t="str">
        <f>"1703.20"</f>
        <v>1703.20</v>
      </c>
      <c r="U308" s="15"/>
      <c r="V308" s="15"/>
      <c r="W308" s="15"/>
      <c r="X308" s="15"/>
      <c r="Y308" s="15"/>
      <c r="Z308" s="15"/>
      <c r="AA308" s="15"/>
    </row>
    <row r="309" spans="1:27">
      <c r="A309" s="6">
        <v>307</v>
      </c>
      <c r="B309" s="6">
        <v>10776</v>
      </c>
      <c r="C309" s="7" t="s">
        <v>380</v>
      </c>
      <c r="D309" s="6" t="s">
        <v>18</v>
      </c>
      <c r="E309" s="6" t="str">
        <f>"1606.22"</f>
        <v>1606.22</v>
      </c>
      <c r="F309" s="6"/>
      <c r="G309" s="2">
        <v>1755.96</v>
      </c>
      <c r="H309" s="8" t="s">
        <v>11</v>
      </c>
      <c r="I309" s="6">
        <v>2</v>
      </c>
      <c r="J309" s="8">
        <v>2017</v>
      </c>
      <c r="K309" s="15" t="str">
        <f>"1606.22"</f>
        <v>1606.22</v>
      </c>
      <c r="L309" s="15"/>
      <c r="M309" s="15"/>
      <c r="N309" s="15"/>
      <c r="O309" s="15"/>
      <c r="P309" s="15"/>
      <c r="Q309" s="15"/>
      <c r="R309" s="15"/>
      <c r="S309" s="15"/>
      <c r="T309" s="15" t="str">
        <f>"1727.96"</f>
        <v>1727.96</v>
      </c>
      <c r="U309" s="15"/>
      <c r="V309" s="15"/>
      <c r="W309" s="15"/>
      <c r="X309" s="15"/>
      <c r="Y309" s="15"/>
      <c r="Z309" s="15"/>
      <c r="AA309" s="15"/>
    </row>
    <row r="310" spans="1:27">
      <c r="A310" s="6">
        <v>308</v>
      </c>
      <c r="B310" s="6">
        <v>10698</v>
      </c>
      <c r="C310" s="7" t="s">
        <v>360</v>
      </c>
      <c r="D310" s="6" t="s">
        <v>46</v>
      </c>
      <c r="E310" s="6" t="str">
        <f>"1763.21"</f>
        <v>1763.21</v>
      </c>
      <c r="F310" s="6"/>
      <c r="G310" s="2">
        <v>1791.21</v>
      </c>
      <c r="H310" s="8" t="s">
        <v>15</v>
      </c>
      <c r="I310" s="6">
        <v>1</v>
      </c>
      <c r="J310" s="8">
        <v>2017</v>
      </c>
      <c r="K310" s="15" t="str">
        <f>"1763.21"</f>
        <v>1763.21</v>
      </c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</sheetData>
  <sheetProtection password="8FA1" sheet="1" objects="1" scenarios="1" sort="0" autoFilter="0"/>
  <autoFilter ref="A2:AA310" xr:uid="{00000000-0009-0000-0000-000002000000}"/>
  <phoneticPr fontId="18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女子ＳＬ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NewSAT4</cp:lastModifiedBy>
  <cp:lastPrinted>2017-09-09T07:37:49Z</cp:lastPrinted>
  <dcterms:created xsi:type="dcterms:W3CDTF">2017-09-09T01:32:56Z</dcterms:created>
  <dcterms:modified xsi:type="dcterms:W3CDTF">2017-09-12T06:55:03Z</dcterms:modified>
</cp:coreProperties>
</file>