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男子ＧＳ" sheetId="2" r:id="rId1"/>
  </sheets>
  <definedNames>
    <definedName name="_xlnm._FilterDatabase" localSheetId="0" hidden="1">男子ＧＳ!$A$4:$G$4</definedName>
    <definedName name="_xlnm.Print_Area" localSheetId="0">男子ＧＳ!$A$1:$H$1703</definedName>
    <definedName name="_xlnm.Print_Titles" localSheetId="0">男子ＧＳ!$1:$4</definedName>
  </definedNames>
  <calcPr calcId="145621"/>
</workbook>
</file>

<file path=xl/calcChain.xml><?xml version="1.0" encoding="utf-8"?>
<calcChain xmlns="http://schemas.openxmlformats.org/spreadsheetml/2006/main">
  <c r="G1143" i="2" l="1"/>
  <c r="F1143" i="2"/>
  <c r="G1142" i="2"/>
  <c r="F1142" i="2"/>
  <c r="G1141" i="2"/>
  <c r="F1141" i="2"/>
  <c r="G1140" i="2"/>
  <c r="F1140" i="2"/>
  <c r="G1139" i="2"/>
  <c r="F1139" i="2"/>
  <c r="G1138" i="2"/>
  <c r="F1138" i="2"/>
  <c r="G1137" i="2"/>
  <c r="F1137" i="2"/>
  <c r="G1135" i="2"/>
  <c r="F1135" i="2"/>
  <c r="G1134" i="2"/>
  <c r="F1134" i="2"/>
  <c r="F1136" i="2"/>
  <c r="G1133" i="2"/>
  <c r="F1133" i="2"/>
  <c r="G1132" i="2"/>
  <c r="F1132" i="2"/>
  <c r="G1131" i="2"/>
  <c r="F1131" i="2"/>
  <c r="G1130" i="2"/>
  <c r="F1130" i="2"/>
  <c r="G1129" i="2"/>
  <c r="F1129" i="2"/>
  <c r="G1128" i="2"/>
  <c r="F1128" i="2"/>
  <c r="F1127" i="2"/>
  <c r="G1123" i="2"/>
  <c r="F1123" i="2"/>
  <c r="G1121" i="2"/>
  <c r="F1121" i="2"/>
  <c r="G1120" i="2"/>
  <c r="F1120" i="2"/>
  <c r="G1118" i="2"/>
  <c r="F1118" i="2"/>
  <c r="F1126" i="2"/>
  <c r="G1117" i="2"/>
  <c r="F1117" i="2"/>
  <c r="G1116" i="2"/>
  <c r="F1116" i="2"/>
  <c r="G1115" i="2"/>
  <c r="F1115" i="2"/>
  <c r="F1124" i="2"/>
  <c r="G1113" i="2"/>
  <c r="F1113" i="2"/>
  <c r="G1112" i="2"/>
  <c r="F1112" i="2"/>
  <c r="G1111" i="2"/>
  <c r="F1111" i="2"/>
  <c r="G1110" i="2"/>
  <c r="F1110" i="2"/>
  <c r="F1119" i="2"/>
  <c r="G1109" i="2"/>
  <c r="F1109" i="2"/>
  <c r="G1114" i="2"/>
  <c r="F1114" i="2"/>
  <c r="G1108" i="2"/>
  <c r="F1108" i="2"/>
  <c r="G1107" i="2"/>
  <c r="F1107" i="2"/>
  <c r="G1105" i="2"/>
  <c r="F1105" i="2"/>
  <c r="G1104" i="2"/>
  <c r="F1104" i="2"/>
  <c r="G1103" i="2"/>
  <c r="F1103" i="2"/>
  <c r="G1101" i="2"/>
  <c r="F1101" i="2"/>
  <c r="G1099" i="2"/>
  <c r="F1099" i="2"/>
  <c r="G1097" i="2"/>
  <c r="F1097" i="2"/>
  <c r="G1096" i="2"/>
  <c r="F1096" i="2"/>
  <c r="F1106" i="2"/>
  <c r="G1094" i="2"/>
  <c r="F1094" i="2"/>
  <c r="G1093" i="2"/>
  <c r="F1093" i="2"/>
  <c r="G1092" i="2"/>
  <c r="F1092" i="2"/>
  <c r="G1091" i="2"/>
  <c r="F1091" i="2"/>
  <c r="G1090" i="2"/>
  <c r="F1090" i="2"/>
  <c r="G1088" i="2"/>
  <c r="F1088" i="2"/>
  <c r="G1087" i="2"/>
  <c r="F1087" i="2"/>
  <c r="G1086" i="2"/>
  <c r="F1086" i="2"/>
  <c r="F1102" i="2"/>
  <c r="G1080" i="2"/>
  <c r="F1080" i="2"/>
  <c r="G1084" i="2"/>
  <c r="F1084" i="2"/>
  <c r="F1098" i="2"/>
  <c r="G1083" i="2"/>
  <c r="F1083" i="2"/>
  <c r="G1082" i="2"/>
  <c r="F1082" i="2"/>
  <c r="G1081" i="2"/>
  <c r="F1081" i="2"/>
  <c r="F1095" i="2"/>
  <c r="F1089" i="2"/>
  <c r="G1078" i="2"/>
  <c r="F1078" i="2"/>
  <c r="G1075" i="2"/>
  <c r="F1075" i="2"/>
  <c r="F1085" i="2"/>
  <c r="G1074" i="2"/>
  <c r="F1074" i="2"/>
  <c r="G1073" i="2"/>
  <c r="F1073" i="2"/>
  <c r="G1072" i="2"/>
  <c r="F1072" i="2"/>
  <c r="G1071" i="2"/>
  <c r="F1071" i="2"/>
  <c r="G1000" i="2"/>
  <c r="F1000" i="2"/>
  <c r="G1070" i="2"/>
  <c r="F1070" i="2"/>
  <c r="G1069" i="2"/>
  <c r="F1069" i="2"/>
  <c r="G1068" i="2"/>
  <c r="F1068" i="2"/>
  <c r="G978" i="2"/>
  <c r="F978" i="2"/>
  <c r="F1079" i="2"/>
  <c r="G1063" i="2"/>
  <c r="F1063" i="2"/>
  <c r="G1057" i="2"/>
  <c r="F1057" i="2"/>
  <c r="G1056" i="2"/>
  <c r="F1056" i="2"/>
  <c r="F1077" i="2"/>
  <c r="G1054" i="2"/>
  <c r="F1054" i="2"/>
  <c r="G1053" i="2"/>
  <c r="F1053" i="2"/>
  <c r="G1059" i="2"/>
  <c r="F1059" i="2"/>
  <c r="G1050" i="2"/>
  <c r="F1050" i="2"/>
  <c r="G1122" i="2"/>
  <c r="F1122" i="2"/>
  <c r="G1048" i="2"/>
  <c r="F1048" i="2"/>
  <c r="G1047" i="2"/>
  <c r="F1047" i="2"/>
  <c r="G1046" i="2"/>
  <c r="F1046" i="2"/>
  <c r="G1045" i="2"/>
  <c r="F1045" i="2"/>
  <c r="F1067" i="2"/>
  <c r="F1066" i="2"/>
  <c r="G1044" i="2"/>
  <c r="F1044" i="2"/>
  <c r="F1064" i="2"/>
  <c r="G1042" i="2"/>
  <c r="F1042" i="2"/>
  <c r="G1041" i="2"/>
  <c r="F1041" i="2"/>
  <c r="G1040" i="2"/>
  <c r="F1040" i="2"/>
  <c r="F1062" i="2"/>
  <c r="G1052" i="2"/>
  <c r="F1052" i="2"/>
  <c r="F1060" i="2"/>
  <c r="G1036" i="2"/>
  <c r="F1036" i="2"/>
  <c r="G1033" i="2"/>
  <c r="F1033" i="2"/>
  <c r="G1032" i="2"/>
  <c r="F1032" i="2"/>
  <c r="G910" i="2"/>
  <c r="F910" i="2"/>
  <c r="G1031" i="2"/>
  <c r="F1031" i="2"/>
  <c r="G1030" i="2"/>
  <c r="F1030" i="2"/>
  <c r="F1051" i="2"/>
  <c r="G1029" i="2"/>
  <c r="F1029" i="2"/>
  <c r="G1028" i="2"/>
  <c r="F1028" i="2"/>
  <c r="G1100" i="2"/>
  <c r="F1100" i="2"/>
  <c r="G1043" i="2"/>
  <c r="F1043" i="2"/>
  <c r="G1026" i="2"/>
  <c r="F1026" i="2"/>
  <c r="G1125" i="2"/>
  <c r="F1125" i="2"/>
  <c r="G1021" i="2"/>
  <c r="F1021" i="2"/>
  <c r="G1055" i="2"/>
  <c r="F1055" i="2"/>
  <c r="G1020" i="2"/>
  <c r="F1020" i="2"/>
  <c r="G1019" i="2"/>
  <c r="F1019" i="2"/>
  <c r="G1038" i="2"/>
  <c r="F1038" i="2"/>
  <c r="G1018" i="2"/>
  <c r="F1018" i="2"/>
  <c r="G1017" i="2"/>
  <c r="F1017" i="2"/>
  <c r="G1016" i="2"/>
  <c r="F1016" i="2"/>
  <c r="G1015" i="2"/>
  <c r="F1015" i="2"/>
  <c r="G1014" i="2"/>
  <c r="F1014" i="2"/>
  <c r="G1027" i="2"/>
  <c r="F1027" i="2"/>
  <c r="G1012" i="2"/>
  <c r="F1012" i="2"/>
  <c r="G1009" i="2"/>
  <c r="F1009" i="2"/>
  <c r="G1008" i="2"/>
  <c r="F1008" i="2"/>
  <c r="G1007" i="2"/>
  <c r="F1007" i="2"/>
  <c r="G1006" i="2"/>
  <c r="F1006" i="2"/>
  <c r="F1039" i="2"/>
  <c r="G1005" i="2"/>
  <c r="F1005" i="2"/>
  <c r="F1037" i="2"/>
  <c r="G925" i="2"/>
  <c r="F925" i="2"/>
  <c r="G1004" i="2"/>
  <c r="F1004" i="2"/>
  <c r="G1003" i="2"/>
  <c r="F1003" i="2"/>
  <c r="F1035" i="2"/>
  <c r="F1034" i="2"/>
  <c r="G1002" i="2"/>
  <c r="F1002" i="2"/>
  <c r="G1058" i="2"/>
  <c r="F1058" i="2"/>
  <c r="G1025" i="2"/>
  <c r="F1025" i="2"/>
  <c r="G1001" i="2"/>
  <c r="F1001" i="2"/>
  <c r="G999" i="2"/>
  <c r="F999" i="2"/>
  <c r="G998" i="2"/>
  <c r="F998" i="2"/>
  <c r="G996" i="2"/>
  <c r="F996" i="2"/>
  <c r="F1023" i="2"/>
  <c r="G993" i="2"/>
  <c r="F993" i="2"/>
  <c r="G1076" i="2"/>
  <c r="F1076" i="2"/>
  <c r="G907" i="2"/>
  <c r="F907" i="2"/>
  <c r="G848" i="2"/>
  <c r="F848" i="2"/>
  <c r="G992" i="2"/>
  <c r="F992" i="2"/>
  <c r="G990" i="2"/>
  <c r="F990" i="2"/>
  <c r="G989" i="2"/>
  <c r="F989" i="2"/>
  <c r="F1013" i="2"/>
  <c r="G987" i="2"/>
  <c r="F987" i="2"/>
  <c r="G1061" i="2"/>
  <c r="F1061" i="2"/>
  <c r="G984" i="2"/>
  <c r="F984" i="2"/>
  <c r="G983" i="2"/>
  <c r="F983" i="2"/>
  <c r="G977" i="2"/>
  <c r="F977" i="2"/>
  <c r="G976" i="2"/>
  <c r="F976" i="2"/>
  <c r="G969" i="2"/>
  <c r="F969" i="2"/>
  <c r="G979" i="2"/>
  <c r="F979" i="2"/>
  <c r="G974" i="2"/>
  <c r="F974" i="2"/>
  <c r="G1024" i="2"/>
  <c r="F1024" i="2"/>
  <c r="G972" i="2"/>
  <c r="F972" i="2"/>
  <c r="G971" i="2"/>
  <c r="F971" i="2"/>
  <c r="G746" i="2"/>
  <c r="F746" i="2"/>
  <c r="G970" i="2"/>
  <c r="F970" i="2"/>
  <c r="G945" i="2"/>
  <c r="F945" i="2"/>
  <c r="G966" i="2"/>
  <c r="F966" i="2"/>
  <c r="G965" i="2"/>
  <c r="F965" i="2"/>
  <c r="G964" i="2"/>
  <c r="F964" i="2"/>
  <c r="G963" i="2"/>
  <c r="F963" i="2"/>
  <c r="G962" i="2"/>
  <c r="F962" i="2"/>
  <c r="G961" i="2"/>
  <c r="F961" i="2"/>
  <c r="G960" i="2"/>
  <c r="F960" i="2"/>
  <c r="G959" i="2"/>
  <c r="F959" i="2"/>
  <c r="F994" i="2"/>
  <c r="G958" i="2"/>
  <c r="F958" i="2"/>
  <c r="G957" i="2"/>
  <c r="F957" i="2"/>
  <c r="G1011" i="2"/>
  <c r="F1011" i="2"/>
  <c r="G956" i="2"/>
  <c r="F956" i="2"/>
  <c r="G1049" i="2"/>
  <c r="F1049" i="2"/>
  <c r="G952" i="2"/>
  <c r="F952" i="2"/>
  <c r="G975" i="2"/>
  <c r="F975" i="2"/>
  <c r="G935" i="2"/>
  <c r="F935" i="2"/>
  <c r="G951" i="2"/>
  <c r="F951" i="2"/>
  <c r="G950" i="2"/>
  <c r="F950" i="2"/>
  <c r="G954" i="2"/>
  <c r="F954" i="2"/>
  <c r="G949" i="2"/>
  <c r="F949" i="2"/>
  <c r="F988" i="2"/>
  <c r="G1010" i="2"/>
  <c r="F1010" i="2"/>
  <c r="G1065" i="2"/>
  <c r="F1065" i="2"/>
  <c r="G948" i="2"/>
  <c r="F948" i="2"/>
  <c r="F982" i="2"/>
  <c r="G986" i="2"/>
  <c r="F986" i="2"/>
  <c r="F980" i="2"/>
  <c r="G944" i="2"/>
  <c r="F944" i="2"/>
  <c r="G943" i="2"/>
  <c r="F943" i="2"/>
  <c r="G942" i="2"/>
  <c r="F942" i="2"/>
  <c r="G997" i="2"/>
  <c r="F997" i="2"/>
  <c r="G1022" i="2"/>
  <c r="F1022" i="2"/>
  <c r="G940" i="2"/>
  <c r="F940" i="2"/>
  <c r="G939" i="2"/>
  <c r="F939" i="2"/>
  <c r="G938" i="2"/>
  <c r="F938" i="2"/>
  <c r="G793" i="2"/>
  <c r="F793" i="2"/>
  <c r="G874" i="2"/>
  <c r="F874" i="2"/>
  <c r="G929" i="2"/>
  <c r="F929" i="2"/>
  <c r="G936" i="2"/>
  <c r="F936" i="2"/>
  <c r="G953" i="2"/>
  <c r="F953" i="2"/>
  <c r="G933" i="2"/>
  <c r="F933" i="2"/>
  <c r="G932" i="2"/>
  <c r="F932" i="2"/>
  <c r="G973" i="2"/>
  <c r="F973" i="2"/>
  <c r="G930" i="2"/>
  <c r="F930" i="2"/>
  <c r="G905" i="2"/>
  <c r="F905" i="2"/>
  <c r="F967" i="2"/>
  <c r="G849" i="2"/>
  <c r="F849" i="2"/>
  <c r="G878" i="2"/>
  <c r="F878" i="2"/>
  <c r="G926" i="2"/>
  <c r="F926" i="2"/>
  <c r="G864" i="2"/>
  <c r="F864" i="2"/>
  <c r="G955" i="2"/>
  <c r="F955" i="2"/>
  <c r="G924" i="2"/>
  <c r="F924" i="2"/>
  <c r="G981" i="2"/>
  <c r="F981" i="2"/>
  <c r="G923" i="2"/>
  <c r="F923" i="2"/>
  <c r="G922" i="2"/>
  <c r="F922" i="2"/>
  <c r="G868" i="2"/>
  <c r="F868" i="2"/>
  <c r="G921" i="2"/>
  <c r="F921" i="2"/>
  <c r="G919" i="2"/>
  <c r="F919" i="2"/>
  <c r="G920" i="2"/>
  <c r="F920" i="2"/>
  <c r="G917" i="2"/>
  <c r="F917" i="2"/>
  <c r="G915" i="2"/>
  <c r="F915" i="2"/>
  <c r="G937" i="2"/>
  <c r="F937" i="2"/>
  <c r="G640" i="2"/>
  <c r="F640" i="2"/>
  <c r="G985" i="2"/>
  <c r="F985" i="2"/>
  <c r="G912" i="2"/>
  <c r="F912" i="2"/>
  <c r="G911" i="2"/>
  <c r="F911" i="2"/>
  <c r="G909" i="2"/>
  <c r="F909" i="2"/>
  <c r="G908" i="2"/>
  <c r="F908" i="2"/>
  <c r="G995" i="2"/>
  <c r="F995" i="2"/>
  <c r="F946" i="2"/>
  <c r="G903" i="2"/>
  <c r="F903" i="2"/>
  <c r="G901" i="2"/>
  <c r="F901" i="2"/>
  <c r="G900" i="2"/>
  <c r="F900" i="2"/>
  <c r="F941" i="2"/>
  <c r="G899" i="2"/>
  <c r="F899" i="2"/>
  <c r="G898" i="2"/>
  <c r="F898" i="2"/>
  <c r="G896" i="2"/>
  <c r="F896" i="2"/>
  <c r="G934" i="2"/>
  <c r="F934" i="2"/>
  <c r="G891" i="2"/>
  <c r="F891" i="2"/>
  <c r="F931" i="2"/>
  <c r="G889" i="2"/>
  <c r="F889" i="2"/>
  <c r="G888" i="2"/>
  <c r="F888" i="2"/>
  <c r="G991" i="2"/>
  <c r="F991" i="2"/>
  <c r="G886" i="2"/>
  <c r="F886" i="2"/>
  <c r="G885" i="2"/>
  <c r="F885" i="2"/>
  <c r="G968" i="2"/>
  <c r="F968" i="2"/>
  <c r="G884" i="2"/>
  <c r="F884" i="2"/>
  <c r="G927" i="2"/>
  <c r="F927" i="2"/>
  <c r="G830" i="2"/>
  <c r="F830" i="2"/>
  <c r="G882" i="2"/>
  <c r="F882" i="2"/>
  <c r="G814" i="2"/>
  <c r="F814" i="2"/>
  <c r="G854" i="2"/>
  <c r="F854" i="2"/>
  <c r="G881" i="2"/>
  <c r="F881" i="2"/>
  <c r="G756" i="2"/>
  <c r="F756" i="2"/>
  <c r="G880" i="2"/>
  <c r="F880" i="2"/>
  <c r="G621" i="2"/>
  <c r="F621" i="2"/>
  <c r="G877" i="2"/>
  <c r="F877" i="2"/>
  <c r="G876" i="2"/>
  <c r="F876" i="2"/>
  <c r="G690" i="2"/>
  <c r="F690" i="2"/>
  <c r="G873" i="2"/>
  <c r="F873" i="2"/>
  <c r="G872" i="2"/>
  <c r="F872" i="2"/>
  <c r="G827" i="2"/>
  <c r="F827" i="2"/>
  <c r="G918" i="2"/>
  <c r="F918" i="2"/>
  <c r="G871" i="2"/>
  <c r="F871" i="2"/>
  <c r="F916" i="2"/>
  <c r="G869" i="2"/>
  <c r="F869" i="2"/>
  <c r="G697" i="2"/>
  <c r="F697" i="2"/>
  <c r="F914" i="2"/>
  <c r="G716" i="2"/>
  <c r="F716" i="2"/>
  <c r="G883" i="2"/>
  <c r="F883" i="2"/>
  <c r="G867" i="2"/>
  <c r="F867" i="2"/>
  <c r="F913" i="2"/>
  <c r="G928" i="2"/>
  <c r="F928" i="2"/>
  <c r="G865" i="2"/>
  <c r="F865" i="2"/>
  <c r="G735" i="2"/>
  <c r="F735" i="2"/>
  <c r="G862" i="2"/>
  <c r="F862" i="2"/>
  <c r="F906" i="2"/>
  <c r="G861" i="2"/>
  <c r="F861" i="2"/>
  <c r="G860" i="2"/>
  <c r="F860" i="2"/>
  <c r="G890" i="2"/>
  <c r="F890" i="2"/>
  <c r="G859" i="2"/>
  <c r="F859" i="2"/>
  <c r="G851" i="2"/>
  <c r="F851" i="2"/>
  <c r="G858" i="2"/>
  <c r="F858" i="2"/>
  <c r="G856" i="2"/>
  <c r="F856" i="2"/>
  <c r="F904" i="2"/>
  <c r="G855" i="2"/>
  <c r="F855" i="2"/>
  <c r="G902" i="2"/>
  <c r="F902" i="2"/>
  <c r="G852" i="2"/>
  <c r="F852" i="2"/>
  <c r="G719" i="2"/>
  <c r="F719" i="2"/>
  <c r="G664" i="2"/>
  <c r="F664" i="2"/>
  <c r="G817" i="2"/>
  <c r="F817" i="2"/>
  <c r="G845" i="2"/>
  <c r="F845" i="2"/>
  <c r="G844" i="2"/>
  <c r="F844" i="2"/>
  <c r="G768" i="2"/>
  <c r="F768" i="2"/>
  <c r="G843" i="2"/>
  <c r="F843" i="2"/>
  <c r="G842" i="2"/>
  <c r="F842" i="2"/>
  <c r="G841" i="2"/>
  <c r="F841" i="2"/>
  <c r="G892" i="2"/>
  <c r="F892" i="2"/>
  <c r="F895" i="2"/>
  <c r="F894" i="2"/>
  <c r="G839" i="2"/>
  <c r="F839" i="2"/>
  <c r="G838" i="2"/>
  <c r="F838" i="2"/>
  <c r="F893" i="2"/>
  <c r="G755" i="2"/>
  <c r="F755" i="2"/>
  <c r="G947" i="2"/>
  <c r="F947" i="2"/>
  <c r="G835" i="2"/>
  <c r="F835" i="2"/>
  <c r="G834" i="2"/>
  <c r="F834" i="2"/>
  <c r="G833" i="2"/>
  <c r="F833" i="2"/>
  <c r="G832" i="2"/>
  <c r="F832" i="2"/>
  <c r="G829" i="2"/>
  <c r="F829" i="2"/>
  <c r="G870" i="2"/>
  <c r="F870" i="2"/>
  <c r="G828" i="2"/>
  <c r="F828" i="2"/>
  <c r="F887" i="2"/>
  <c r="G826" i="2"/>
  <c r="F826" i="2"/>
  <c r="G836" i="2"/>
  <c r="F836" i="2"/>
  <c r="G825" i="2"/>
  <c r="F825" i="2"/>
  <c r="G784" i="2"/>
  <c r="F784" i="2"/>
  <c r="G824" i="2"/>
  <c r="F824" i="2"/>
  <c r="G823" i="2"/>
  <c r="F823" i="2"/>
  <c r="G821" i="2"/>
  <c r="F821" i="2"/>
  <c r="G820" i="2"/>
  <c r="F820" i="2"/>
  <c r="G819" i="2"/>
  <c r="F819" i="2"/>
  <c r="G750" i="2"/>
  <c r="F750" i="2"/>
  <c r="G815" i="2"/>
  <c r="F815" i="2"/>
  <c r="G813" i="2"/>
  <c r="F813" i="2"/>
  <c r="G812" i="2"/>
  <c r="F812" i="2"/>
  <c r="G420" i="2"/>
  <c r="F420" i="2"/>
  <c r="G811" i="2"/>
  <c r="F811" i="2"/>
  <c r="G863" i="2"/>
  <c r="F863" i="2"/>
  <c r="G706" i="2"/>
  <c r="F706" i="2"/>
  <c r="G809" i="2"/>
  <c r="F809" i="2"/>
  <c r="G808" i="2"/>
  <c r="F808" i="2"/>
  <c r="G879" i="2"/>
  <c r="F879" i="2"/>
  <c r="G807" i="2"/>
  <c r="F807" i="2"/>
  <c r="G875" i="2"/>
  <c r="F875" i="2"/>
  <c r="G805" i="2"/>
  <c r="F805" i="2"/>
  <c r="G804" i="2"/>
  <c r="F804" i="2"/>
  <c r="G803" i="2"/>
  <c r="F803" i="2"/>
  <c r="G711" i="2"/>
  <c r="F711" i="2"/>
  <c r="G850" i="2"/>
  <c r="F850" i="2"/>
  <c r="G802" i="2"/>
  <c r="F802" i="2"/>
  <c r="G800" i="2"/>
  <c r="F800" i="2"/>
  <c r="G799" i="2"/>
  <c r="F799" i="2"/>
  <c r="G798" i="2"/>
  <c r="F798" i="2"/>
  <c r="G794" i="2"/>
  <c r="F794" i="2"/>
  <c r="G866" i="2"/>
  <c r="F866" i="2"/>
  <c r="G897" i="2"/>
  <c r="F897" i="2"/>
  <c r="G790" i="2"/>
  <c r="F790" i="2"/>
  <c r="G806" i="2"/>
  <c r="F806" i="2"/>
  <c r="G788" i="2"/>
  <c r="F788" i="2"/>
  <c r="G787" i="2"/>
  <c r="F787" i="2"/>
  <c r="G786" i="2"/>
  <c r="F786" i="2"/>
  <c r="G783" i="2"/>
  <c r="F783" i="2"/>
  <c r="G853" i="2"/>
  <c r="F853" i="2"/>
  <c r="G857" i="2"/>
  <c r="F857" i="2"/>
  <c r="G776" i="2"/>
  <c r="F776" i="2"/>
  <c r="G775" i="2"/>
  <c r="F775" i="2"/>
  <c r="G774" i="2"/>
  <c r="F774" i="2"/>
  <c r="G773" i="2"/>
  <c r="F773" i="2"/>
  <c r="G772" i="2"/>
  <c r="F772" i="2"/>
  <c r="G847" i="2"/>
  <c r="F847" i="2"/>
  <c r="F846" i="2"/>
  <c r="G771" i="2"/>
  <c r="F771" i="2"/>
  <c r="G770" i="2"/>
  <c r="F770" i="2"/>
  <c r="G671" i="2"/>
  <c r="F671" i="2"/>
  <c r="G544" i="2"/>
  <c r="F544" i="2"/>
  <c r="G769" i="2"/>
  <c r="F769" i="2"/>
  <c r="G797" i="2"/>
  <c r="F797" i="2"/>
  <c r="G767" i="2"/>
  <c r="F767" i="2"/>
  <c r="G765" i="2"/>
  <c r="F765" i="2"/>
  <c r="F840" i="2"/>
  <c r="G764" i="2"/>
  <c r="F764" i="2"/>
  <c r="G762" i="2"/>
  <c r="F762" i="2"/>
  <c r="G761" i="2"/>
  <c r="F761" i="2"/>
  <c r="F837" i="2"/>
  <c r="G754" i="2"/>
  <c r="F754" i="2"/>
  <c r="F831" i="2"/>
  <c r="G380" i="2"/>
  <c r="F380" i="2"/>
  <c r="G753" i="2"/>
  <c r="F753" i="2"/>
  <c r="G705" i="2"/>
  <c r="F705" i="2"/>
  <c r="G751" i="2"/>
  <c r="F751" i="2"/>
  <c r="G749" i="2"/>
  <c r="F749" i="2"/>
  <c r="G748" i="2"/>
  <c r="F748" i="2"/>
  <c r="G744" i="2"/>
  <c r="F744" i="2"/>
  <c r="G743" i="2"/>
  <c r="F743" i="2"/>
  <c r="G742" i="2"/>
  <c r="F742" i="2"/>
  <c r="G741" i="2"/>
  <c r="F741" i="2"/>
  <c r="G822" i="2"/>
  <c r="F822" i="2"/>
  <c r="G779" i="2"/>
  <c r="F779" i="2"/>
  <c r="G740" i="2"/>
  <c r="F740" i="2"/>
  <c r="F818" i="2"/>
  <c r="F816" i="2"/>
  <c r="G739" i="2"/>
  <c r="F739" i="2"/>
  <c r="G752" i="2"/>
  <c r="F752" i="2"/>
  <c r="G738" i="2"/>
  <c r="F738" i="2"/>
  <c r="G795" i="2"/>
  <c r="F795" i="2"/>
  <c r="G700" i="2"/>
  <c r="F700" i="2"/>
  <c r="G689" i="2"/>
  <c r="F689" i="2"/>
  <c r="G810" i="2"/>
  <c r="F810" i="2"/>
  <c r="G680" i="2"/>
  <c r="F680" i="2"/>
  <c r="G720" i="2"/>
  <c r="F720" i="2"/>
  <c r="G701" i="2"/>
  <c r="F701" i="2"/>
  <c r="G734" i="2"/>
  <c r="F734" i="2"/>
  <c r="G737" i="2"/>
  <c r="F737" i="2"/>
  <c r="G736" i="2"/>
  <c r="F736" i="2"/>
  <c r="G733" i="2"/>
  <c r="F733" i="2"/>
  <c r="G732" i="2"/>
  <c r="F732" i="2"/>
  <c r="G730" i="2"/>
  <c r="F730" i="2"/>
  <c r="G763" i="2"/>
  <c r="F763" i="2"/>
  <c r="G796" i="2"/>
  <c r="F796" i="2"/>
  <c r="G728" i="2"/>
  <c r="F728" i="2"/>
  <c r="G785" i="2"/>
  <c r="F785" i="2"/>
  <c r="G727" i="2"/>
  <c r="F727" i="2"/>
  <c r="G726" i="2"/>
  <c r="F726" i="2"/>
  <c r="G766" i="2"/>
  <c r="F766" i="2"/>
  <c r="G725" i="2"/>
  <c r="F725" i="2"/>
  <c r="G724" i="2"/>
  <c r="F724" i="2"/>
  <c r="G582" i="2"/>
  <c r="F582" i="2"/>
  <c r="F801" i="2"/>
  <c r="G717" i="2"/>
  <c r="F717" i="2"/>
  <c r="G642" i="2"/>
  <c r="F642" i="2"/>
  <c r="G480" i="2"/>
  <c r="F480" i="2"/>
  <c r="G789" i="2"/>
  <c r="F789" i="2"/>
  <c r="G715" i="2"/>
  <c r="F715" i="2"/>
  <c r="G691" i="2"/>
  <c r="F691" i="2"/>
  <c r="G714" i="2"/>
  <c r="F714" i="2"/>
  <c r="F792" i="2"/>
  <c r="F791" i="2"/>
  <c r="G658" i="2"/>
  <c r="F658" i="2"/>
  <c r="G647" i="2"/>
  <c r="F647" i="2"/>
  <c r="G782" i="2"/>
  <c r="F782" i="2"/>
  <c r="G710" i="2"/>
  <c r="F710" i="2"/>
  <c r="F781" i="2"/>
  <c r="F780" i="2"/>
  <c r="G707" i="2"/>
  <c r="F707" i="2"/>
  <c r="G532" i="2"/>
  <c r="F532" i="2"/>
  <c r="G650" i="2"/>
  <c r="F650" i="2"/>
  <c r="G699" i="2"/>
  <c r="F699" i="2"/>
  <c r="G698" i="2"/>
  <c r="F698" i="2"/>
  <c r="G695" i="2"/>
  <c r="F695" i="2"/>
  <c r="G694" i="2"/>
  <c r="F694" i="2"/>
  <c r="G693" i="2"/>
  <c r="F693" i="2"/>
  <c r="G778" i="2"/>
  <c r="F778" i="2"/>
  <c r="G777" i="2"/>
  <c r="F777" i="2"/>
  <c r="G747" i="2"/>
  <c r="F747" i="2"/>
  <c r="G731" i="2"/>
  <c r="F731" i="2"/>
  <c r="G687" i="2"/>
  <c r="F687" i="2"/>
  <c r="G615" i="2"/>
  <c r="F615" i="2"/>
  <c r="G723" i="2"/>
  <c r="F723" i="2"/>
  <c r="G760" i="2"/>
  <c r="F760" i="2"/>
  <c r="G681" i="2"/>
  <c r="F681" i="2"/>
  <c r="G676" i="2"/>
  <c r="F676" i="2"/>
  <c r="G675" i="2"/>
  <c r="F675" i="2"/>
  <c r="G703" i="2"/>
  <c r="F703" i="2"/>
  <c r="G721" i="2"/>
  <c r="F721" i="2"/>
  <c r="G696" i="2"/>
  <c r="F696" i="2"/>
  <c r="G673" i="2"/>
  <c r="F673" i="2"/>
  <c r="G672" i="2"/>
  <c r="F672" i="2"/>
  <c r="G670" i="2"/>
  <c r="F670" i="2"/>
  <c r="F759" i="2"/>
  <c r="G758" i="2"/>
  <c r="F758" i="2"/>
  <c r="F757" i="2"/>
  <c r="G669" i="2"/>
  <c r="F669" i="2"/>
  <c r="G668" i="2"/>
  <c r="F668" i="2"/>
  <c r="G667" i="2"/>
  <c r="F667" i="2"/>
  <c r="G666" i="2"/>
  <c r="F666" i="2"/>
  <c r="G638" i="2"/>
  <c r="F638" i="2"/>
  <c r="G663" i="2"/>
  <c r="F663" i="2"/>
  <c r="G662" i="2"/>
  <c r="F662" i="2"/>
  <c r="G661" i="2"/>
  <c r="F661" i="2"/>
  <c r="G722" i="2"/>
  <c r="F722" i="2"/>
  <c r="G659" i="2"/>
  <c r="F659" i="2"/>
  <c r="G657" i="2"/>
  <c r="F657" i="2"/>
  <c r="G316" i="2"/>
  <c r="F316" i="2"/>
  <c r="G745" i="2"/>
  <c r="F745" i="2"/>
  <c r="G677" i="2"/>
  <c r="F677" i="2"/>
  <c r="G679" i="2"/>
  <c r="F679" i="2"/>
  <c r="G655" i="2"/>
  <c r="F655" i="2"/>
  <c r="G653" i="2"/>
  <c r="F653" i="2"/>
  <c r="G651" i="2"/>
  <c r="F651" i="2"/>
  <c r="G649" i="2"/>
  <c r="F649" i="2"/>
  <c r="G648" i="2"/>
  <c r="F648" i="2"/>
  <c r="G729" i="2"/>
  <c r="F729" i="2"/>
  <c r="G644" i="2"/>
  <c r="F644" i="2"/>
  <c r="G643" i="2"/>
  <c r="F643" i="2"/>
  <c r="G641" i="2"/>
  <c r="F641" i="2"/>
  <c r="G639" i="2"/>
  <c r="F639" i="2"/>
  <c r="G564" i="2"/>
  <c r="F564" i="2"/>
  <c r="G683" i="2"/>
  <c r="F683" i="2"/>
  <c r="G637" i="2"/>
  <c r="F637" i="2"/>
  <c r="G622" i="2"/>
  <c r="F622" i="2"/>
  <c r="G566" i="2"/>
  <c r="F566" i="2"/>
  <c r="G635" i="2"/>
  <c r="F635" i="2"/>
  <c r="G633" i="2"/>
  <c r="F633" i="2"/>
  <c r="G632" i="2"/>
  <c r="F632" i="2"/>
  <c r="G628" i="2"/>
  <c r="F628" i="2"/>
  <c r="G626" i="2"/>
  <c r="F626" i="2"/>
  <c r="G625" i="2"/>
  <c r="F625" i="2"/>
  <c r="G627" i="2"/>
  <c r="F627" i="2"/>
  <c r="G610" i="2"/>
  <c r="F610" i="2"/>
  <c r="G654" i="2"/>
  <c r="F654" i="2"/>
  <c r="G618" i="2"/>
  <c r="F618" i="2"/>
  <c r="G440" i="2"/>
  <c r="F440" i="2"/>
  <c r="G616" i="2"/>
  <c r="F616" i="2"/>
  <c r="G613" i="2"/>
  <c r="F613" i="2"/>
  <c r="G611" i="2"/>
  <c r="F611" i="2"/>
  <c r="G609" i="2"/>
  <c r="F609" i="2"/>
  <c r="G619" i="2"/>
  <c r="F619" i="2"/>
  <c r="G606" i="2"/>
  <c r="F606" i="2"/>
  <c r="G605" i="2"/>
  <c r="F605" i="2"/>
  <c r="G603" i="2"/>
  <c r="F603" i="2"/>
  <c r="G712" i="2"/>
  <c r="F712" i="2"/>
  <c r="G602" i="2"/>
  <c r="F602" i="2"/>
  <c r="G713" i="2"/>
  <c r="F713" i="2"/>
  <c r="G600" i="2"/>
  <c r="F600" i="2"/>
  <c r="G597" i="2"/>
  <c r="F597" i="2"/>
  <c r="G709" i="2"/>
  <c r="F709" i="2"/>
  <c r="G594" i="2"/>
  <c r="F594" i="2"/>
  <c r="G593" i="2"/>
  <c r="F593" i="2"/>
  <c r="G704" i="2"/>
  <c r="F704" i="2"/>
  <c r="F708" i="2"/>
  <c r="G586" i="2"/>
  <c r="F586" i="2"/>
  <c r="G592" i="2"/>
  <c r="F592" i="2"/>
  <c r="G591" i="2"/>
  <c r="F591" i="2"/>
  <c r="F702" i="2"/>
  <c r="G623" i="2"/>
  <c r="F623" i="2"/>
  <c r="G612" i="2"/>
  <c r="F612" i="2"/>
  <c r="G589" i="2"/>
  <c r="F589" i="2"/>
  <c r="G588" i="2"/>
  <c r="F588" i="2"/>
  <c r="G228" i="2"/>
  <c r="F228" i="2"/>
  <c r="G585" i="2"/>
  <c r="F585" i="2"/>
  <c r="G584" i="2"/>
  <c r="F584" i="2"/>
  <c r="G692" i="2"/>
  <c r="F692" i="2"/>
  <c r="G583" i="2"/>
  <c r="F583" i="2"/>
  <c r="G590" i="2"/>
  <c r="F590" i="2"/>
  <c r="G472" i="2"/>
  <c r="F472" i="2"/>
  <c r="G580" i="2"/>
  <c r="F580" i="2"/>
  <c r="G636" i="2"/>
  <c r="F636" i="2"/>
  <c r="G646" i="2"/>
  <c r="F646" i="2"/>
  <c r="G575" i="2"/>
  <c r="F575" i="2"/>
  <c r="G573" i="2"/>
  <c r="F573" i="2"/>
  <c r="G688" i="2"/>
  <c r="F688" i="2"/>
  <c r="G572" i="2"/>
  <c r="F572" i="2"/>
  <c r="G548" i="2"/>
  <c r="F548" i="2"/>
  <c r="G682" i="2"/>
  <c r="F682" i="2"/>
  <c r="G570" i="2"/>
  <c r="F570" i="2"/>
  <c r="G686" i="2"/>
  <c r="F686" i="2"/>
  <c r="G685" i="2"/>
  <c r="F685" i="2"/>
  <c r="G569" i="2"/>
  <c r="F569" i="2"/>
  <c r="G568" i="2"/>
  <c r="F568" i="2"/>
  <c r="F684" i="2"/>
  <c r="G567" i="2"/>
  <c r="F567" i="2"/>
  <c r="G498" i="2"/>
  <c r="F498" i="2"/>
  <c r="G370" i="2"/>
  <c r="F370" i="2"/>
  <c r="G563" i="2"/>
  <c r="F563" i="2"/>
  <c r="G678" i="2"/>
  <c r="F678" i="2"/>
  <c r="G562" i="2"/>
  <c r="F562" i="2"/>
  <c r="G497" i="2"/>
  <c r="F497" i="2"/>
  <c r="G561" i="2"/>
  <c r="F561" i="2"/>
  <c r="G581" i="2"/>
  <c r="F581" i="2"/>
  <c r="G656" i="2"/>
  <c r="F656" i="2"/>
  <c r="G557" i="2"/>
  <c r="F557" i="2"/>
  <c r="G556" i="2"/>
  <c r="F556" i="2"/>
  <c r="G479" i="2"/>
  <c r="F479" i="2"/>
  <c r="G554" i="2"/>
  <c r="F554" i="2"/>
  <c r="G674" i="2"/>
  <c r="F674" i="2"/>
  <c r="G553" i="2"/>
  <c r="F553" i="2"/>
  <c r="G552" i="2"/>
  <c r="F552" i="2"/>
  <c r="G551" i="2"/>
  <c r="F551" i="2"/>
  <c r="F665" i="2"/>
  <c r="G652" i="2"/>
  <c r="F652" i="2"/>
  <c r="G560" i="2"/>
  <c r="F560" i="2"/>
  <c r="G574" i="2"/>
  <c r="F574" i="2"/>
  <c r="G660" i="2"/>
  <c r="F660" i="2"/>
  <c r="G546" i="2"/>
  <c r="F546" i="2"/>
  <c r="G325" i="2"/>
  <c r="F325" i="2"/>
  <c r="G543" i="2"/>
  <c r="F543" i="2"/>
  <c r="G541" i="2"/>
  <c r="F541" i="2"/>
  <c r="G538" i="2"/>
  <c r="F538" i="2"/>
  <c r="G536" i="2"/>
  <c r="F536" i="2"/>
  <c r="G535" i="2"/>
  <c r="F535" i="2"/>
  <c r="G599" i="2"/>
  <c r="F599" i="2"/>
  <c r="G533" i="2"/>
  <c r="F533" i="2"/>
  <c r="G565" i="2"/>
  <c r="F565" i="2"/>
  <c r="G601" i="2"/>
  <c r="F601" i="2"/>
  <c r="G631" i="2"/>
  <c r="F631" i="2"/>
  <c r="G530" i="2"/>
  <c r="F530" i="2"/>
  <c r="G529" i="2"/>
  <c r="F529" i="2"/>
  <c r="G617" i="2"/>
  <c r="F617" i="2"/>
  <c r="G528" i="2"/>
  <c r="F528" i="2"/>
  <c r="G527" i="2"/>
  <c r="F527" i="2"/>
  <c r="G542" i="2"/>
  <c r="F542" i="2"/>
  <c r="G526" i="2"/>
  <c r="F526" i="2"/>
  <c r="G308" i="2"/>
  <c r="F308" i="2"/>
  <c r="G524" i="2"/>
  <c r="F524" i="2"/>
  <c r="G523" i="2"/>
  <c r="F523" i="2"/>
  <c r="G522" i="2"/>
  <c r="F522" i="2"/>
  <c r="F645" i="2"/>
  <c r="G521" i="2"/>
  <c r="F521" i="2"/>
  <c r="G520" i="2"/>
  <c r="F520" i="2"/>
  <c r="G519" i="2"/>
  <c r="F519" i="2"/>
  <c r="G518" i="2"/>
  <c r="F518" i="2"/>
  <c r="G517" i="2"/>
  <c r="F517" i="2"/>
  <c r="G516" i="2"/>
  <c r="F516" i="2"/>
  <c r="G514" i="2"/>
  <c r="F514" i="2"/>
  <c r="G513" i="2"/>
  <c r="F513" i="2"/>
  <c r="G404" i="2"/>
  <c r="F404" i="2"/>
  <c r="G356" i="2"/>
  <c r="F356" i="2"/>
  <c r="G262" i="2"/>
  <c r="F262" i="2"/>
  <c r="G510" i="2"/>
  <c r="F510" i="2"/>
  <c r="G508" i="2"/>
  <c r="F508" i="2"/>
  <c r="G630" i="2"/>
  <c r="F630" i="2"/>
  <c r="G507" i="2"/>
  <c r="F507" i="2"/>
  <c r="G504" i="2"/>
  <c r="F504" i="2"/>
  <c r="G624" i="2"/>
  <c r="F624" i="2"/>
  <c r="G502" i="2"/>
  <c r="F502" i="2"/>
  <c r="G579" i="2"/>
  <c r="F579" i="2"/>
  <c r="G500" i="2"/>
  <c r="F500" i="2"/>
  <c r="G499" i="2"/>
  <c r="F499" i="2"/>
  <c r="F620" i="2"/>
  <c r="G495" i="2"/>
  <c r="F495" i="2"/>
  <c r="G494" i="2"/>
  <c r="F494" i="2"/>
  <c r="G366" i="2"/>
  <c r="F366" i="2"/>
  <c r="G493" i="2"/>
  <c r="F493" i="2"/>
  <c r="G414" i="2"/>
  <c r="F414" i="2"/>
  <c r="G490" i="2"/>
  <c r="F490" i="2"/>
  <c r="F614" i="2"/>
  <c r="G488" i="2"/>
  <c r="F488" i="2"/>
  <c r="G487" i="2"/>
  <c r="F487" i="2"/>
  <c r="G608" i="2"/>
  <c r="F608" i="2"/>
  <c r="G607" i="2"/>
  <c r="F607" i="2"/>
  <c r="G604" i="2"/>
  <c r="F604" i="2"/>
  <c r="G485" i="2"/>
  <c r="F485" i="2"/>
  <c r="G483" i="2"/>
  <c r="F483" i="2"/>
  <c r="G478" i="2"/>
  <c r="F478" i="2"/>
  <c r="G476" i="2"/>
  <c r="F476" i="2"/>
  <c r="G396" i="2"/>
  <c r="F396" i="2"/>
  <c r="F598" i="2"/>
  <c r="G475" i="2"/>
  <c r="F475" i="2"/>
  <c r="G474" i="2"/>
  <c r="F474" i="2"/>
  <c r="F596" i="2"/>
  <c r="G595" i="2"/>
  <c r="F595" i="2"/>
  <c r="G470" i="2"/>
  <c r="F470" i="2"/>
  <c r="G634" i="2"/>
  <c r="F634" i="2"/>
  <c r="G469" i="2"/>
  <c r="F469" i="2"/>
  <c r="G468" i="2"/>
  <c r="F468" i="2"/>
  <c r="G467" i="2"/>
  <c r="F467" i="2"/>
  <c r="G464" i="2"/>
  <c r="F464" i="2"/>
  <c r="G463" i="2"/>
  <c r="F463" i="2"/>
  <c r="G587" i="2"/>
  <c r="F587" i="2"/>
  <c r="G462" i="2"/>
  <c r="F462" i="2"/>
  <c r="G525" i="2"/>
  <c r="F525" i="2"/>
  <c r="G461" i="2"/>
  <c r="F461" i="2"/>
  <c r="G459" i="2"/>
  <c r="F459" i="2"/>
  <c r="G458" i="2"/>
  <c r="F458" i="2"/>
  <c r="G455" i="2"/>
  <c r="F455" i="2"/>
  <c r="G401" i="2"/>
  <c r="F401" i="2"/>
  <c r="G547" i="2"/>
  <c r="F547" i="2"/>
  <c r="G577" i="2"/>
  <c r="F577" i="2"/>
  <c r="G189" i="2"/>
  <c r="F189" i="2"/>
  <c r="G452" i="2"/>
  <c r="F452" i="2"/>
  <c r="F576" i="2"/>
  <c r="G394" i="2"/>
  <c r="F394" i="2"/>
  <c r="G450" i="2"/>
  <c r="F450" i="2"/>
  <c r="G571" i="2"/>
  <c r="F571" i="2"/>
  <c r="G449" i="2"/>
  <c r="F449" i="2"/>
  <c r="G258" i="2"/>
  <c r="F258" i="2"/>
  <c r="G446" i="2"/>
  <c r="F446" i="2"/>
  <c r="G445" i="2"/>
  <c r="F445" i="2"/>
  <c r="G444" i="2"/>
  <c r="F444" i="2"/>
  <c r="G281" i="2"/>
  <c r="F281" i="2"/>
  <c r="G443" i="2"/>
  <c r="F443" i="2"/>
  <c r="G484" i="2"/>
  <c r="F484" i="2"/>
  <c r="G454" i="2"/>
  <c r="F454" i="2"/>
  <c r="G503" i="2"/>
  <c r="F503" i="2"/>
  <c r="G559" i="2"/>
  <c r="F559" i="2"/>
  <c r="G491" i="2"/>
  <c r="F491" i="2"/>
  <c r="G435" i="2"/>
  <c r="F435" i="2"/>
  <c r="G434" i="2"/>
  <c r="F434" i="2"/>
  <c r="F558" i="2"/>
  <c r="G473" i="2"/>
  <c r="F473" i="2"/>
  <c r="G555" i="2"/>
  <c r="F555" i="2"/>
  <c r="G432" i="2"/>
  <c r="F432" i="2"/>
  <c r="G384" i="2"/>
  <c r="F384" i="2"/>
  <c r="G255" i="2"/>
  <c r="F255" i="2"/>
  <c r="G431" i="2"/>
  <c r="F431" i="2"/>
  <c r="G326" i="2"/>
  <c r="F326" i="2"/>
  <c r="G430" i="2"/>
  <c r="F430" i="2"/>
  <c r="G429" i="2"/>
  <c r="F429" i="2"/>
  <c r="G427" i="2"/>
  <c r="F427" i="2"/>
  <c r="G718" i="2"/>
  <c r="F718" i="2"/>
  <c r="G453" i="2"/>
  <c r="F453" i="2"/>
  <c r="G550" i="2"/>
  <c r="F550" i="2"/>
  <c r="G629" i="2"/>
  <c r="F629" i="2"/>
  <c r="G423" i="2"/>
  <c r="F423" i="2"/>
  <c r="G422" i="2"/>
  <c r="F422" i="2"/>
  <c r="G329" i="2"/>
  <c r="F329" i="2"/>
  <c r="G531" i="2"/>
  <c r="F531" i="2"/>
  <c r="G549" i="2"/>
  <c r="F549" i="2"/>
  <c r="G400" i="2"/>
  <c r="F400" i="2"/>
  <c r="G421" i="2"/>
  <c r="F421" i="2"/>
  <c r="G419" i="2"/>
  <c r="F419" i="2"/>
  <c r="G417" i="2"/>
  <c r="F417" i="2"/>
  <c r="G277" i="2"/>
  <c r="F277" i="2"/>
  <c r="G415" i="2"/>
  <c r="F415" i="2"/>
  <c r="G482" i="2"/>
  <c r="F482" i="2"/>
  <c r="G412" i="2"/>
  <c r="F412" i="2"/>
  <c r="G545" i="2"/>
  <c r="F545" i="2"/>
  <c r="G410" i="2"/>
  <c r="F410" i="2"/>
  <c r="G202" i="2"/>
  <c r="F202" i="2"/>
  <c r="G406" i="2"/>
  <c r="F406" i="2"/>
  <c r="G413" i="2"/>
  <c r="F413" i="2"/>
  <c r="G399" i="2"/>
  <c r="F399" i="2"/>
  <c r="F540" i="2"/>
  <c r="F539" i="2"/>
  <c r="G537" i="2"/>
  <c r="F537" i="2"/>
  <c r="G534" i="2"/>
  <c r="F534" i="2"/>
  <c r="G391" i="2"/>
  <c r="F391" i="2"/>
  <c r="G390" i="2"/>
  <c r="F390" i="2"/>
  <c r="G388" i="2"/>
  <c r="F388" i="2"/>
  <c r="G386" i="2"/>
  <c r="F386" i="2"/>
  <c r="G383" i="2"/>
  <c r="F383" i="2"/>
  <c r="G515" i="2"/>
  <c r="F515" i="2"/>
  <c r="G456" i="2"/>
  <c r="F456" i="2"/>
  <c r="G433" i="2"/>
  <c r="F433" i="2"/>
  <c r="G382" i="2"/>
  <c r="F382" i="2"/>
  <c r="G339" i="2"/>
  <c r="F339" i="2"/>
  <c r="G381" i="2"/>
  <c r="F381" i="2"/>
  <c r="G512" i="2"/>
  <c r="F512" i="2"/>
  <c r="G378" i="2"/>
  <c r="F378" i="2"/>
  <c r="G377" i="2"/>
  <c r="F377" i="2"/>
  <c r="G376" i="2"/>
  <c r="F376" i="2"/>
  <c r="G375" i="2"/>
  <c r="F375" i="2"/>
  <c r="G418" i="2"/>
  <c r="F418" i="2"/>
  <c r="G319" i="2"/>
  <c r="F319" i="2"/>
  <c r="F511" i="2"/>
  <c r="G373" i="2"/>
  <c r="F373" i="2"/>
  <c r="G379" i="2"/>
  <c r="F379" i="2"/>
  <c r="G372" i="2"/>
  <c r="F372" i="2"/>
  <c r="G428" i="2"/>
  <c r="F428" i="2"/>
  <c r="G509" i="2"/>
  <c r="F509" i="2"/>
  <c r="G506" i="2"/>
  <c r="F506" i="2"/>
  <c r="G489" i="2"/>
  <c r="F489" i="2"/>
  <c r="G505" i="2"/>
  <c r="F505" i="2"/>
  <c r="G323" i="2"/>
  <c r="F323" i="2"/>
  <c r="G365" i="2"/>
  <c r="F365" i="2"/>
  <c r="G501" i="2"/>
  <c r="F501" i="2"/>
  <c r="G296" i="2"/>
  <c r="F296" i="2"/>
  <c r="G363" i="2"/>
  <c r="F363" i="2"/>
  <c r="G362" i="2"/>
  <c r="F362" i="2"/>
  <c r="G411" i="2"/>
  <c r="F411" i="2"/>
  <c r="G361" i="2"/>
  <c r="F361" i="2"/>
  <c r="G358" i="2"/>
  <c r="F358" i="2"/>
  <c r="G496" i="2"/>
  <c r="F496" i="2"/>
  <c r="G355" i="2"/>
  <c r="F355" i="2"/>
  <c r="G354" i="2"/>
  <c r="F354" i="2"/>
  <c r="G352" i="2"/>
  <c r="F352" i="2"/>
  <c r="G294" i="2"/>
  <c r="F294" i="2"/>
  <c r="G492" i="2"/>
  <c r="F492" i="2"/>
  <c r="G350" i="2"/>
  <c r="F350" i="2"/>
  <c r="G466" i="2"/>
  <c r="F466" i="2"/>
  <c r="G250" i="2"/>
  <c r="F250" i="2"/>
  <c r="G349" i="2"/>
  <c r="F349" i="2"/>
  <c r="G437" i="2"/>
  <c r="F437" i="2"/>
  <c r="G387" i="2"/>
  <c r="F387" i="2"/>
  <c r="G346" i="2"/>
  <c r="F346" i="2"/>
  <c r="G344" i="2"/>
  <c r="F344" i="2"/>
  <c r="F486" i="2"/>
  <c r="G451" i="2"/>
  <c r="F451" i="2"/>
  <c r="G274" i="2"/>
  <c r="F274" i="2"/>
  <c r="G481" i="2"/>
  <c r="F481" i="2"/>
  <c r="G341" i="2"/>
  <c r="F341" i="2"/>
  <c r="G340" i="2"/>
  <c r="F340" i="2"/>
  <c r="G477" i="2"/>
  <c r="F477" i="2"/>
  <c r="G389" i="2"/>
  <c r="F389" i="2"/>
  <c r="G338" i="2"/>
  <c r="F338" i="2"/>
  <c r="G259" i="2"/>
  <c r="F259" i="2"/>
  <c r="G471" i="2"/>
  <c r="F471" i="2"/>
  <c r="G336" i="2"/>
  <c r="F336" i="2"/>
  <c r="G335" i="2"/>
  <c r="F335" i="2"/>
  <c r="G334" i="2"/>
  <c r="F334" i="2"/>
  <c r="F465" i="2"/>
  <c r="G333" i="2"/>
  <c r="F333" i="2"/>
  <c r="G271" i="2"/>
  <c r="F271" i="2"/>
  <c r="G460" i="2"/>
  <c r="F460" i="2"/>
  <c r="G441" i="2"/>
  <c r="F441" i="2"/>
  <c r="G330" i="2"/>
  <c r="F330" i="2"/>
  <c r="G327" i="2"/>
  <c r="F327" i="2"/>
  <c r="G324" i="2"/>
  <c r="F324" i="2"/>
  <c r="G348" i="2"/>
  <c r="F348" i="2"/>
  <c r="G322" i="2"/>
  <c r="F322" i="2"/>
  <c r="G321" i="2"/>
  <c r="F321" i="2"/>
  <c r="G320" i="2"/>
  <c r="F320" i="2"/>
  <c r="G457" i="2"/>
  <c r="F457" i="2"/>
  <c r="G318" i="2"/>
  <c r="F318" i="2"/>
  <c r="G416" i="2"/>
  <c r="F416" i="2"/>
  <c r="G351" i="2"/>
  <c r="F351" i="2"/>
  <c r="G167" i="2"/>
  <c r="F167" i="2"/>
  <c r="G448" i="2"/>
  <c r="F448" i="2"/>
  <c r="G306" i="2"/>
  <c r="F306" i="2"/>
  <c r="G447" i="2"/>
  <c r="F447" i="2"/>
  <c r="G305" i="2"/>
  <c r="F305" i="2"/>
  <c r="G304" i="2"/>
  <c r="F304" i="2"/>
  <c r="G301" i="2"/>
  <c r="F301" i="2"/>
  <c r="G298" i="2"/>
  <c r="F298" i="2"/>
  <c r="G442" i="2"/>
  <c r="F442" i="2"/>
  <c r="G439" i="2"/>
  <c r="F439" i="2"/>
  <c r="G297" i="2"/>
  <c r="F297" i="2"/>
  <c r="G295" i="2"/>
  <c r="F295" i="2"/>
  <c r="G438" i="2"/>
  <c r="F438" i="2"/>
  <c r="G436" i="2"/>
  <c r="F436" i="2"/>
  <c r="G293" i="2"/>
  <c r="F293" i="2"/>
  <c r="G292" i="2"/>
  <c r="F292" i="2"/>
  <c r="G291" i="2"/>
  <c r="F291" i="2"/>
  <c r="G254" i="2"/>
  <c r="F254" i="2"/>
  <c r="G314" i="2"/>
  <c r="F314" i="2"/>
  <c r="G288" i="2"/>
  <c r="F288" i="2"/>
  <c r="F426" i="2"/>
  <c r="G313" i="2"/>
  <c r="F313" i="2"/>
  <c r="G286" i="2"/>
  <c r="F286" i="2"/>
  <c r="G425" i="2"/>
  <c r="F425" i="2"/>
  <c r="G424" i="2"/>
  <c r="F424" i="2"/>
  <c r="G285" i="2"/>
  <c r="F285" i="2"/>
  <c r="G284" i="2"/>
  <c r="F284" i="2"/>
  <c r="G283" i="2"/>
  <c r="F283" i="2"/>
  <c r="G176" i="2"/>
  <c r="F176" i="2"/>
  <c r="G280" i="2"/>
  <c r="F280" i="2"/>
  <c r="G279" i="2"/>
  <c r="F279" i="2"/>
  <c r="G393" i="2"/>
  <c r="F393" i="2"/>
  <c r="G194" i="2"/>
  <c r="F194" i="2"/>
  <c r="G347" i="2"/>
  <c r="F347" i="2"/>
  <c r="G402" i="2"/>
  <c r="F402" i="2"/>
  <c r="G99" i="2"/>
  <c r="F99" i="2"/>
  <c r="G275" i="2"/>
  <c r="F275" i="2"/>
  <c r="G395" i="2"/>
  <c r="F395" i="2"/>
  <c r="G374" i="2"/>
  <c r="F374" i="2"/>
  <c r="G409" i="2"/>
  <c r="F409" i="2"/>
  <c r="G408" i="2"/>
  <c r="F408" i="2"/>
  <c r="G407" i="2"/>
  <c r="F407" i="2"/>
  <c r="G328" i="2"/>
  <c r="F328" i="2"/>
  <c r="G405" i="2"/>
  <c r="F405" i="2"/>
  <c r="G403" i="2"/>
  <c r="F403" i="2"/>
  <c r="G216" i="2"/>
  <c r="F216" i="2"/>
  <c r="G398" i="2"/>
  <c r="F398" i="2"/>
  <c r="G385" i="2"/>
  <c r="F385" i="2"/>
  <c r="G397" i="2"/>
  <c r="F397" i="2"/>
  <c r="G269" i="2"/>
  <c r="F269" i="2"/>
  <c r="G302" i="2"/>
  <c r="F302" i="2"/>
  <c r="G268" i="2"/>
  <c r="F268" i="2"/>
  <c r="G267" i="2"/>
  <c r="F267" i="2"/>
  <c r="G578" i="2"/>
  <c r="F578" i="2"/>
  <c r="G264" i="2"/>
  <c r="F264" i="2"/>
  <c r="G392" i="2"/>
  <c r="F392" i="2"/>
  <c r="G290" i="2"/>
  <c r="F290" i="2"/>
  <c r="G353" i="2"/>
  <c r="F353" i="2"/>
  <c r="G213" i="2"/>
  <c r="F213" i="2"/>
  <c r="G257" i="2"/>
  <c r="F257" i="2"/>
  <c r="G332" i="2"/>
  <c r="F332" i="2"/>
  <c r="G256" i="2"/>
  <c r="F256" i="2"/>
  <c r="G253" i="2"/>
  <c r="F253" i="2"/>
  <c r="G311" i="2"/>
  <c r="F311" i="2"/>
  <c r="G251" i="2"/>
  <c r="F251" i="2"/>
  <c r="G206" i="2"/>
  <c r="F206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371" i="2"/>
  <c r="F371" i="2"/>
  <c r="G369" i="2"/>
  <c r="F369" i="2"/>
  <c r="G242" i="2"/>
  <c r="F242" i="2"/>
  <c r="G190" i="2"/>
  <c r="F190" i="2"/>
  <c r="G368" i="2"/>
  <c r="F368" i="2"/>
  <c r="G367" i="2"/>
  <c r="F367" i="2"/>
  <c r="G240" i="2"/>
  <c r="F240" i="2"/>
  <c r="G238" i="2"/>
  <c r="F238" i="2"/>
  <c r="G303" i="2"/>
  <c r="F303" i="2"/>
  <c r="G364" i="2"/>
  <c r="F364" i="2"/>
  <c r="G342" i="2"/>
  <c r="F342" i="2"/>
  <c r="G235" i="2"/>
  <c r="F235" i="2"/>
  <c r="G360" i="2"/>
  <c r="F360" i="2"/>
  <c r="G359" i="2"/>
  <c r="F359" i="2"/>
  <c r="G357" i="2"/>
  <c r="F357" i="2"/>
  <c r="G232" i="2"/>
  <c r="F232" i="2"/>
  <c r="G317" i="2"/>
  <c r="F317" i="2"/>
  <c r="G231" i="2"/>
  <c r="F231" i="2"/>
  <c r="G147" i="2"/>
  <c r="F147" i="2"/>
  <c r="G345" i="2"/>
  <c r="F345" i="2"/>
  <c r="G96" i="2"/>
  <c r="F96" i="2"/>
  <c r="G237" i="2"/>
  <c r="F237" i="2"/>
  <c r="G343" i="2"/>
  <c r="F343" i="2"/>
  <c r="G145" i="2"/>
  <c r="F145" i="2"/>
  <c r="G224" i="2"/>
  <c r="F224" i="2"/>
  <c r="G169" i="2"/>
  <c r="F169" i="2"/>
  <c r="G229" i="2"/>
  <c r="F229" i="2"/>
  <c r="G223" i="2"/>
  <c r="F223" i="2"/>
  <c r="G239" i="2"/>
  <c r="F239" i="2"/>
  <c r="G299" i="2"/>
  <c r="F299" i="2"/>
  <c r="G221" i="2"/>
  <c r="F221" i="2"/>
  <c r="G152" i="2"/>
  <c r="F152" i="2"/>
  <c r="G219" i="2"/>
  <c r="F219" i="2"/>
  <c r="G337" i="2"/>
  <c r="F337" i="2"/>
  <c r="G218" i="2"/>
  <c r="F218" i="2"/>
  <c r="G273" i="2"/>
  <c r="F273" i="2"/>
  <c r="G215" i="2"/>
  <c r="F215" i="2"/>
  <c r="G331" i="2"/>
  <c r="F331" i="2"/>
  <c r="G265" i="2"/>
  <c r="F265" i="2"/>
  <c r="G212" i="2"/>
  <c r="F212" i="2"/>
  <c r="G315" i="2"/>
  <c r="F315" i="2"/>
  <c r="G210" i="2"/>
  <c r="F210" i="2"/>
  <c r="G233" i="2"/>
  <c r="F233" i="2"/>
  <c r="G312" i="2"/>
  <c r="F312" i="2"/>
  <c r="G310" i="2"/>
  <c r="F310" i="2"/>
  <c r="G309" i="2"/>
  <c r="F309" i="2"/>
  <c r="G209" i="2"/>
  <c r="F209" i="2"/>
  <c r="G307" i="2"/>
  <c r="F307" i="2"/>
  <c r="G208" i="2"/>
  <c r="F208" i="2"/>
  <c r="G266" i="2"/>
  <c r="F266" i="2"/>
  <c r="G203" i="2"/>
  <c r="F203" i="2"/>
  <c r="F300" i="2"/>
  <c r="G272" i="2"/>
  <c r="F272" i="2"/>
  <c r="G129" i="2"/>
  <c r="F129" i="2"/>
  <c r="G260" i="2"/>
  <c r="F260" i="2"/>
  <c r="G195" i="2"/>
  <c r="F195" i="2"/>
  <c r="G192" i="2"/>
  <c r="F192" i="2"/>
  <c r="G175" i="2"/>
  <c r="F175" i="2"/>
  <c r="G241" i="2"/>
  <c r="F241" i="2"/>
  <c r="G230" i="2"/>
  <c r="F230" i="2"/>
  <c r="G131" i="2"/>
  <c r="F131" i="2"/>
  <c r="G289" i="2"/>
  <c r="F289" i="2"/>
  <c r="G166" i="2"/>
  <c r="F166" i="2"/>
  <c r="G287" i="2"/>
  <c r="F287" i="2"/>
  <c r="G186" i="2"/>
  <c r="F186" i="2"/>
  <c r="G184" i="2"/>
  <c r="F184" i="2"/>
  <c r="G282" i="2"/>
  <c r="F282" i="2"/>
  <c r="G227" i="2"/>
  <c r="F227" i="2"/>
  <c r="G205" i="2"/>
  <c r="F205" i="2"/>
  <c r="G143" i="2"/>
  <c r="F143" i="2"/>
  <c r="G278" i="2"/>
  <c r="F278" i="2"/>
  <c r="G180" i="2"/>
  <c r="F180" i="2"/>
  <c r="G276" i="2"/>
  <c r="F276" i="2"/>
  <c r="G183" i="2"/>
  <c r="F183" i="2"/>
  <c r="G178" i="2"/>
  <c r="F178" i="2"/>
  <c r="G135" i="2"/>
  <c r="F135" i="2"/>
  <c r="G270" i="2"/>
  <c r="F270" i="2"/>
  <c r="G173" i="2"/>
  <c r="F173" i="2"/>
  <c r="G263" i="2"/>
  <c r="F263" i="2"/>
  <c r="G165" i="2"/>
  <c r="F165" i="2"/>
  <c r="G162" i="2"/>
  <c r="F162" i="2"/>
  <c r="G226" i="2"/>
  <c r="F226" i="2"/>
  <c r="G159" i="2"/>
  <c r="F159" i="2"/>
  <c r="G261" i="2"/>
  <c r="F261" i="2"/>
  <c r="G236" i="2"/>
  <c r="F236" i="2"/>
  <c r="G252" i="2"/>
  <c r="F252" i="2"/>
  <c r="G150" i="2"/>
  <c r="F150" i="2"/>
  <c r="G220" i="2"/>
  <c r="F220" i="2"/>
  <c r="G149" i="2"/>
  <c r="F149" i="2"/>
  <c r="G81" i="2"/>
  <c r="F81" i="2"/>
  <c r="G249" i="2"/>
  <c r="F249" i="2"/>
  <c r="G200" i="2"/>
  <c r="F200" i="2"/>
  <c r="G148" i="2"/>
  <c r="F148" i="2"/>
  <c r="G199" i="2"/>
  <c r="F199" i="2"/>
  <c r="G141" i="2"/>
  <c r="F141" i="2"/>
  <c r="G140" i="2"/>
  <c r="F140" i="2"/>
  <c r="G163" i="2"/>
  <c r="F163" i="2"/>
  <c r="G138" i="2"/>
  <c r="F138" i="2"/>
  <c r="G137" i="2"/>
  <c r="F137" i="2"/>
  <c r="G174" i="2"/>
  <c r="F174" i="2"/>
  <c r="G217" i="2"/>
  <c r="F217" i="2"/>
  <c r="G130" i="2"/>
  <c r="F130" i="2"/>
  <c r="G92" i="2"/>
  <c r="F92" i="2"/>
  <c r="F234" i="2"/>
  <c r="G188" i="2"/>
  <c r="F188" i="2"/>
  <c r="G164" i="2"/>
  <c r="F164" i="2"/>
  <c r="G127" i="2"/>
  <c r="F127" i="2"/>
  <c r="G124" i="2"/>
  <c r="F124" i="2"/>
  <c r="G225" i="2"/>
  <c r="F225" i="2"/>
  <c r="G196" i="2"/>
  <c r="F196" i="2"/>
  <c r="G222" i="2"/>
  <c r="F222" i="2"/>
  <c r="G177" i="2"/>
  <c r="F177" i="2"/>
  <c r="G211" i="2"/>
  <c r="F211" i="2"/>
  <c r="G117" i="2"/>
  <c r="F117" i="2"/>
  <c r="G115" i="2"/>
  <c r="F115" i="2"/>
  <c r="G114" i="2"/>
  <c r="F114" i="2"/>
  <c r="G112" i="2"/>
  <c r="F112" i="2"/>
  <c r="G214" i="2"/>
  <c r="F214" i="2"/>
  <c r="G172" i="2"/>
  <c r="F172" i="2"/>
  <c r="G110" i="2"/>
  <c r="F110" i="2"/>
  <c r="G201" i="2"/>
  <c r="F201" i="2"/>
  <c r="G193" i="2"/>
  <c r="F193" i="2"/>
  <c r="G191" i="2"/>
  <c r="F191" i="2"/>
  <c r="G119" i="2"/>
  <c r="F119" i="2"/>
  <c r="G207" i="2"/>
  <c r="F207" i="2"/>
  <c r="G155" i="2"/>
  <c r="F155" i="2"/>
  <c r="G106" i="2"/>
  <c r="F106" i="2"/>
  <c r="G123" i="2"/>
  <c r="F123" i="2"/>
  <c r="G185" i="2"/>
  <c r="F185" i="2"/>
  <c r="G187" i="2"/>
  <c r="F187" i="2"/>
  <c r="G102" i="2"/>
  <c r="F102" i="2"/>
  <c r="G198" i="2"/>
  <c r="F198" i="2"/>
  <c r="G197" i="2"/>
  <c r="F197" i="2"/>
  <c r="G98" i="2"/>
  <c r="F98" i="2"/>
  <c r="G111" i="2"/>
  <c r="F111" i="2"/>
  <c r="G95" i="2"/>
  <c r="F95" i="2"/>
  <c r="G94" i="2"/>
  <c r="F94" i="2"/>
  <c r="G93" i="2"/>
  <c r="F93" i="2"/>
  <c r="G181" i="2"/>
  <c r="F181" i="2"/>
  <c r="G91" i="2"/>
  <c r="F91" i="2"/>
  <c r="G90" i="2"/>
  <c r="F90" i="2"/>
  <c r="G78" i="2"/>
  <c r="F78" i="2"/>
  <c r="G9" i="2"/>
  <c r="F9" i="2"/>
  <c r="F182" i="2"/>
  <c r="G179" i="2"/>
  <c r="F179" i="2"/>
  <c r="G86" i="2"/>
  <c r="F86" i="2"/>
  <c r="G82" i="2"/>
  <c r="F82" i="2"/>
  <c r="G105" i="2"/>
  <c r="F105" i="2"/>
  <c r="G136" i="2"/>
  <c r="F136" i="2"/>
  <c r="G204" i="2"/>
  <c r="F204" i="2"/>
  <c r="G171" i="2"/>
  <c r="F171" i="2"/>
  <c r="G170" i="2"/>
  <c r="F170" i="2"/>
  <c r="G168" i="2"/>
  <c r="F168" i="2"/>
  <c r="G151" i="2"/>
  <c r="F151" i="2"/>
  <c r="G154" i="2"/>
  <c r="F154" i="2"/>
  <c r="G160" i="2"/>
  <c r="F160" i="2"/>
  <c r="G85" i="2"/>
  <c r="F85" i="2"/>
  <c r="G158" i="2"/>
  <c r="F158" i="2"/>
  <c r="G157" i="2"/>
  <c r="F157" i="2"/>
  <c r="G156" i="2"/>
  <c r="F156" i="2"/>
  <c r="G153" i="2"/>
  <c r="F153" i="2"/>
  <c r="G72" i="2"/>
  <c r="F72" i="2"/>
  <c r="G118" i="2"/>
  <c r="F118" i="2"/>
  <c r="G146" i="2"/>
  <c r="F146" i="2"/>
  <c r="G89" i="2"/>
  <c r="F89" i="2"/>
  <c r="G144" i="2"/>
  <c r="F144" i="2"/>
  <c r="G100" i="2"/>
  <c r="F100" i="2"/>
  <c r="G76" i="2"/>
  <c r="F76" i="2"/>
  <c r="G69" i="2"/>
  <c r="F69" i="2"/>
  <c r="G142" i="2"/>
  <c r="F142" i="2"/>
  <c r="G139" i="2"/>
  <c r="F139" i="2"/>
  <c r="G134" i="2"/>
  <c r="F134" i="2"/>
  <c r="G68" i="2"/>
  <c r="F68" i="2"/>
  <c r="G132" i="2"/>
  <c r="F132" i="2"/>
  <c r="G133" i="2"/>
  <c r="F133" i="2"/>
  <c r="G120" i="2"/>
  <c r="F120" i="2"/>
  <c r="G65" i="2"/>
  <c r="F65" i="2"/>
  <c r="G75" i="2"/>
  <c r="F75" i="2"/>
  <c r="G121" i="2"/>
  <c r="F121" i="2"/>
  <c r="G128" i="2"/>
  <c r="F128" i="2"/>
  <c r="G126" i="2"/>
  <c r="F126" i="2"/>
  <c r="G125" i="2"/>
  <c r="F125" i="2"/>
  <c r="G58" i="2"/>
  <c r="F58" i="2"/>
  <c r="G116" i="2"/>
  <c r="F116" i="2"/>
  <c r="G97" i="2"/>
  <c r="F97" i="2"/>
  <c r="G57" i="2"/>
  <c r="F57" i="2"/>
  <c r="G122" i="2"/>
  <c r="F122" i="2"/>
  <c r="G161" i="2"/>
  <c r="F161" i="2"/>
  <c r="G74" i="2"/>
  <c r="F74" i="2"/>
  <c r="G113" i="2"/>
  <c r="F113" i="2"/>
  <c r="G34" i="2"/>
  <c r="F34" i="2"/>
  <c r="G109" i="2"/>
  <c r="F109" i="2"/>
  <c r="G107" i="2"/>
  <c r="F107" i="2"/>
  <c r="G108" i="2"/>
  <c r="F108" i="2"/>
  <c r="G73" i="2"/>
  <c r="F73" i="2"/>
  <c r="G43" i="2"/>
  <c r="F43" i="2"/>
  <c r="G104" i="2"/>
  <c r="F104" i="2"/>
  <c r="G103" i="2"/>
  <c r="F103" i="2"/>
  <c r="G44" i="2"/>
  <c r="F44" i="2"/>
  <c r="G101" i="2"/>
  <c r="F101" i="2"/>
  <c r="G29" i="2"/>
  <c r="F29" i="2"/>
  <c r="G66" i="2"/>
  <c r="F66" i="2"/>
  <c r="G87" i="2"/>
  <c r="F87" i="2"/>
  <c r="G88" i="2"/>
  <c r="F88" i="2"/>
  <c r="G54" i="2"/>
  <c r="F54" i="2"/>
  <c r="G48" i="2"/>
  <c r="F48" i="2"/>
  <c r="G84" i="2"/>
  <c r="F84" i="2"/>
  <c r="G31" i="2"/>
  <c r="F31" i="2"/>
  <c r="G83" i="2"/>
  <c r="F83" i="2"/>
  <c r="G80" i="2"/>
  <c r="F80" i="2"/>
  <c r="G79" i="2"/>
  <c r="F79" i="2"/>
  <c r="F77" i="2"/>
  <c r="G61" i="2"/>
  <c r="F61" i="2"/>
  <c r="G42" i="2"/>
  <c r="F42" i="2"/>
  <c r="G46" i="2"/>
  <c r="F46" i="2"/>
  <c r="G71" i="2"/>
  <c r="F71" i="2"/>
  <c r="G70" i="2"/>
  <c r="F70" i="2"/>
  <c r="G40" i="2"/>
  <c r="F40" i="2"/>
  <c r="G67" i="2"/>
  <c r="F67" i="2"/>
  <c r="G64" i="2"/>
  <c r="F64" i="2"/>
  <c r="G63" i="2"/>
  <c r="F63" i="2"/>
  <c r="G62" i="2"/>
  <c r="F62" i="2"/>
  <c r="G56" i="2"/>
  <c r="F56" i="2"/>
  <c r="G60" i="2"/>
  <c r="F60" i="2"/>
  <c r="G59" i="2"/>
  <c r="F59" i="2"/>
  <c r="G55" i="2"/>
  <c r="F55" i="2"/>
  <c r="G51" i="2"/>
  <c r="F51" i="2"/>
  <c r="G15" i="2"/>
  <c r="F15" i="2"/>
  <c r="G52" i="2"/>
  <c r="F52" i="2"/>
  <c r="G18" i="2"/>
  <c r="F18" i="2"/>
  <c r="G30" i="2"/>
  <c r="F30" i="2"/>
  <c r="G49" i="2"/>
  <c r="F49" i="2"/>
  <c r="G25" i="2"/>
  <c r="F25" i="2"/>
  <c r="G47" i="2"/>
  <c r="F47" i="2"/>
  <c r="G45" i="2"/>
  <c r="F45" i="2"/>
  <c r="G13" i="2"/>
  <c r="F13" i="2"/>
  <c r="G36" i="2"/>
  <c r="F36" i="2"/>
  <c r="G27" i="2"/>
  <c r="F27" i="2"/>
  <c r="G41" i="2"/>
  <c r="F41" i="2"/>
  <c r="G39" i="2"/>
  <c r="F39" i="2"/>
  <c r="G37" i="2"/>
  <c r="F37" i="2"/>
  <c r="G38" i="2"/>
  <c r="F38" i="2"/>
  <c r="G7" i="2"/>
  <c r="F7" i="2"/>
  <c r="G6" i="2"/>
  <c r="F6" i="2"/>
  <c r="G14" i="2"/>
  <c r="F14" i="2"/>
  <c r="G35" i="2"/>
  <c r="F35" i="2"/>
  <c r="G33" i="2"/>
  <c r="F33" i="2"/>
  <c r="G32" i="2"/>
  <c r="F32" i="2"/>
  <c r="G53" i="2"/>
  <c r="F53" i="2"/>
  <c r="G22" i="2"/>
  <c r="F22" i="2"/>
  <c r="G8" i="2"/>
  <c r="F8" i="2"/>
  <c r="G28" i="2"/>
  <c r="F28" i="2"/>
  <c r="G19" i="2"/>
  <c r="F19" i="2"/>
  <c r="G16" i="2"/>
  <c r="F16" i="2"/>
  <c r="F24" i="2"/>
  <c r="G23" i="2"/>
  <c r="F23" i="2"/>
  <c r="G50" i="2"/>
  <c r="F50" i="2"/>
  <c r="G21" i="2"/>
  <c r="F21" i="2"/>
  <c r="G17" i="2"/>
  <c r="F17" i="2"/>
  <c r="G20" i="2"/>
  <c r="F20" i="2"/>
  <c r="G12" i="2"/>
  <c r="F12" i="2"/>
  <c r="G10" i="2"/>
  <c r="F10" i="2"/>
  <c r="G11" i="2"/>
  <c r="F11" i="2"/>
  <c r="G26" i="2"/>
  <c r="F26" i="2"/>
  <c r="G5" i="2"/>
  <c r="F5" i="2"/>
</calcChain>
</file>

<file path=xl/sharedStrings.xml><?xml version="1.0" encoding="utf-8"?>
<sst xmlns="http://schemas.openxmlformats.org/spreadsheetml/2006/main" count="5103" uniqueCount="1893">
  <si>
    <t>SAT競技者番号</t>
  </si>
  <si>
    <t>団体名</t>
  </si>
  <si>
    <t>Ｎｏ２</t>
    <phoneticPr fontId="1"/>
  </si>
  <si>
    <t>Ｎｏ１</t>
    <phoneticPr fontId="1"/>
  </si>
  <si>
    <t>ラッチ（RACH)</t>
  </si>
  <si>
    <t>東京都高等学校体育連盟スキー部</t>
  </si>
  <si>
    <t>カンダハートライブ レーシング</t>
  </si>
  <si>
    <t>八王子スキー連盟</t>
  </si>
  <si>
    <t>ＩＣＩ石井スポーツスキークラブ</t>
  </si>
  <si>
    <t>スノースケープ</t>
  </si>
  <si>
    <t>サンダーグスキークラブ</t>
  </si>
  <si>
    <t>野辺山スキークラブ</t>
  </si>
  <si>
    <t>アスペンスキークラブ</t>
  </si>
  <si>
    <t>エスプーマスキーチーム</t>
  </si>
  <si>
    <t>ディップス スキークラブ</t>
  </si>
  <si>
    <t>東京カモシカスキークラブ</t>
  </si>
  <si>
    <t>ステューピッドスキークラブ</t>
  </si>
  <si>
    <t>ゲインレーシングチーム</t>
  </si>
  <si>
    <t>武蔵野市スキー連盟</t>
  </si>
  <si>
    <t>東京都中学校体育連盟スキー部</t>
  </si>
  <si>
    <t>エーデル・スキー・クラブ</t>
  </si>
  <si>
    <t>北区スキー連盟</t>
  </si>
  <si>
    <t>浅貝スキークラブ</t>
  </si>
  <si>
    <t>若葉スキークラブ</t>
  </si>
  <si>
    <t>練馬区スキー協会</t>
  </si>
  <si>
    <t>東京デフスキークラブ</t>
  </si>
  <si>
    <t>ホリディスキークラブ</t>
  </si>
  <si>
    <t>チーム　ラッシュ</t>
  </si>
  <si>
    <t>東京アマチュア・スキー・クラブ</t>
  </si>
  <si>
    <t>ＭＡＸＩＭＵＭスキーチーム</t>
  </si>
  <si>
    <t>ジャスク</t>
  </si>
  <si>
    <t>ＵＮＯスキークラブ</t>
  </si>
  <si>
    <t>杉並区スキー連盟</t>
  </si>
  <si>
    <t>新宿スキークラブ</t>
  </si>
  <si>
    <t>日立製作所本社スキー部</t>
  </si>
  <si>
    <t>アカデミースキークラブ</t>
  </si>
  <si>
    <t>江東区スキー連盟</t>
  </si>
  <si>
    <t>グランバン・レーシング</t>
  </si>
  <si>
    <t>清瀬スキー倶楽部</t>
  </si>
  <si>
    <t>アールビー　トウキョウ</t>
  </si>
  <si>
    <t>トラームスキークラブ</t>
  </si>
  <si>
    <t>世田谷区スキー協会</t>
  </si>
  <si>
    <t>ウィッツ</t>
  </si>
  <si>
    <t>成城スキークラブ</t>
  </si>
  <si>
    <t>ユーエスエムアール</t>
  </si>
  <si>
    <t>大田区役所スキー部</t>
  </si>
  <si>
    <t>チロルスキークラブ</t>
  </si>
  <si>
    <t>ＮＥＣ府中スキー部</t>
  </si>
  <si>
    <t>トルベ・コムラード</t>
  </si>
  <si>
    <t>チームディーエルベーハースキークラブ</t>
  </si>
  <si>
    <t>アロースキークラブ</t>
  </si>
  <si>
    <t>特別区職員文化体育会スキー部</t>
  </si>
  <si>
    <t>東京スキー研究会</t>
  </si>
  <si>
    <t>東京ベーレンスキークラブ</t>
  </si>
  <si>
    <t>フロイデ・シー・グルッペ</t>
  </si>
  <si>
    <t>スキーチームアスリート</t>
  </si>
  <si>
    <t>エスプリレーシング</t>
  </si>
  <si>
    <t>ツィールトウキョウ（Ｚieｌ Tokyo)</t>
  </si>
  <si>
    <t>バディスポーツクラブ</t>
  </si>
  <si>
    <t>スポーツユニティ</t>
  </si>
  <si>
    <t>港区スキー連盟</t>
  </si>
  <si>
    <t>ブランシェリースキー クローブ</t>
  </si>
  <si>
    <t>雪桜会</t>
  </si>
  <si>
    <t>渋谷区スキー連盟</t>
  </si>
  <si>
    <t>ヌプリスキー同人</t>
  </si>
  <si>
    <t>丸沼高原レーシングクラブ</t>
  </si>
  <si>
    <t>板橋区スキー協会</t>
  </si>
  <si>
    <t>白馬スキークラブ</t>
  </si>
  <si>
    <t>イエティスキークラブ</t>
  </si>
  <si>
    <t>チーム・ビートゥー・ゼット</t>
  </si>
  <si>
    <t>奥多摩スキークラブ</t>
  </si>
  <si>
    <t>東京燕スキー倶楽部</t>
  </si>
  <si>
    <t>日本ユニシススキークラブ</t>
  </si>
  <si>
    <t>日本レーシングスキークラブ</t>
  </si>
  <si>
    <t>三田ディモンズクラブ</t>
  </si>
  <si>
    <t>シュアスキークラブ</t>
  </si>
  <si>
    <t>ジーファクトリー</t>
  </si>
  <si>
    <t>三田リーゼンスキークラブ</t>
  </si>
  <si>
    <t>Ｓ．Ｃ．コロポックル</t>
  </si>
  <si>
    <t>スポーツファンクション</t>
  </si>
  <si>
    <t>ヴァイス・ホルン</t>
  </si>
  <si>
    <t>ＫＤＤＩスキークラブ</t>
  </si>
  <si>
    <t>仲山スキークラブ</t>
  </si>
  <si>
    <t>やまなみスキークラブ</t>
  </si>
  <si>
    <t>ベラーク</t>
  </si>
  <si>
    <t>クラシックスキークラブ</t>
  </si>
  <si>
    <t>多摩市スキー連盟</t>
  </si>
  <si>
    <t>アートスポーツスキークラブ</t>
  </si>
  <si>
    <t>日本アルペンスキークラブ</t>
  </si>
  <si>
    <t>東京スポーツマンクラブ</t>
  </si>
  <si>
    <t>ブリリアントスキー同人</t>
  </si>
  <si>
    <t>ＮＴＴ東京スキー部</t>
  </si>
  <si>
    <t>アルピナグループ</t>
  </si>
  <si>
    <t>三鷹市スキー連盟</t>
  </si>
  <si>
    <t>スラロームスキークラブ</t>
  </si>
  <si>
    <t>白銀スキークラブ</t>
  </si>
  <si>
    <t>ヴェスタ スキークラブ</t>
  </si>
  <si>
    <t>中野スキークラブ</t>
  </si>
  <si>
    <t>Ｔ．Ｐ．Ｓクラブ</t>
  </si>
  <si>
    <t>日本アイビーエムスキー部</t>
  </si>
  <si>
    <t>ジョリースキークラブ</t>
  </si>
  <si>
    <t>アシックス・スキークラブ</t>
  </si>
  <si>
    <t>チーム フォン (TEAM VON)</t>
  </si>
  <si>
    <t>スポーツアルペン・スキークラブ</t>
  </si>
  <si>
    <t>原田 達也</t>
  </si>
  <si>
    <t>デサントスキーチーム</t>
  </si>
  <si>
    <t>鈴木 修太郎</t>
  </si>
  <si>
    <t>一ノ瀬 丞</t>
  </si>
  <si>
    <t>頼光 一太郎</t>
  </si>
  <si>
    <t>田中 亜留羽</t>
  </si>
  <si>
    <t>秋本 健太</t>
  </si>
  <si>
    <t>高原 悠綺</t>
  </si>
  <si>
    <t>Ｚスキークラブ</t>
  </si>
  <si>
    <t>五藤 伯文</t>
  </si>
  <si>
    <t>鈴木 一生</t>
  </si>
  <si>
    <t>永田 嵐</t>
  </si>
  <si>
    <t>山口 礼雅</t>
  </si>
  <si>
    <t>坂本 貴優</t>
  </si>
  <si>
    <t>木村 翔馬</t>
  </si>
  <si>
    <t>森下 颯大</t>
  </si>
  <si>
    <t>戸井田 慎</t>
  </si>
  <si>
    <t>千葉 凱人</t>
  </si>
  <si>
    <t>奥村 英樹</t>
  </si>
  <si>
    <t>伴 祐人</t>
  </si>
  <si>
    <t>スキーチームゼロ</t>
  </si>
  <si>
    <t>平野 颯人</t>
  </si>
  <si>
    <t>萩生田 純宇</t>
  </si>
  <si>
    <t>本部 勇貴</t>
  </si>
  <si>
    <t>フリースキークラブ</t>
  </si>
  <si>
    <t>萩生田 博之</t>
  </si>
  <si>
    <t>松本 継之</t>
  </si>
  <si>
    <t>齋木 秀哉</t>
  </si>
  <si>
    <t>市川 隼也</t>
  </si>
  <si>
    <t>康野 皓嗣</t>
  </si>
  <si>
    <t>岡本 龍</t>
  </si>
  <si>
    <t>篠原 広大</t>
  </si>
  <si>
    <t>篠木 知</t>
  </si>
  <si>
    <t>吉田 裕治</t>
  </si>
  <si>
    <t>市川 岳海</t>
  </si>
  <si>
    <t>荒井 大地</t>
  </si>
  <si>
    <t>荒井 祐治</t>
  </si>
  <si>
    <t>モンタナスキークラブ</t>
  </si>
  <si>
    <t>鈴木 朋哉</t>
  </si>
  <si>
    <t>門脇 博英</t>
  </si>
  <si>
    <t>ファイヤーレーシングチーム</t>
  </si>
  <si>
    <t>広瀬 勇人</t>
  </si>
  <si>
    <t>ゴールドウインスキークラブ</t>
  </si>
  <si>
    <t>鈴木 真</t>
  </si>
  <si>
    <t>ＧＯＤレーシング</t>
  </si>
  <si>
    <t>斉藤 範光</t>
  </si>
  <si>
    <t>竹内 明</t>
  </si>
  <si>
    <t>窪島 竜太</t>
  </si>
  <si>
    <t>湯口 暁</t>
  </si>
  <si>
    <t>栗山 一輝</t>
  </si>
  <si>
    <t>ミーナン シーフラ</t>
  </si>
  <si>
    <t>黒澤 俊平</t>
  </si>
  <si>
    <t>マイズ（MyS）スキークラブ</t>
  </si>
  <si>
    <t>茂木 孝太郎</t>
  </si>
  <si>
    <t>岡田 勝義</t>
  </si>
  <si>
    <t>秋山 航一</t>
  </si>
  <si>
    <t>手塚 雅貴</t>
  </si>
  <si>
    <t>菅谷 洋</t>
  </si>
  <si>
    <t>平松 直季</t>
  </si>
  <si>
    <t>西山 陸斗</t>
  </si>
  <si>
    <t>手塚 達也</t>
  </si>
  <si>
    <t>武井 哲応</t>
  </si>
  <si>
    <t>原 佑輔</t>
  </si>
  <si>
    <t>スノーハーベスト</t>
  </si>
  <si>
    <t>秋元 嘉幸</t>
  </si>
  <si>
    <t>スノーウインドスキークラブ</t>
  </si>
  <si>
    <t>工藤 亮太</t>
  </si>
  <si>
    <t>志村 康太</t>
  </si>
  <si>
    <t>瓦井 海年</t>
  </si>
  <si>
    <t>片野 景太</t>
  </si>
  <si>
    <t>増田 蒼</t>
  </si>
  <si>
    <t>古川 信行</t>
  </si>
  <si>
    <t>村山 高志</t>
  </si>
  <si>
    <t>小宮 康平</t>
  </si>
  <si>
    <t>西尾 一輝</t>
  </si>
  <si>
    <t>西原 駿介</t>
  </si>
  <si>
    <t>小山 優</t>
  </si>
  <si>
    <t>土田 英</t>
  </si>
  <si>
    <t>生形 嘉良</t>
  </si>
  <si>
    <t>前田 湧作</t>
  </si>
  <si>
    <t>山田 裕之</t>
  </si>
  <si>
    <t>荒井 元気</t>
  </si>
  <si>
    <t>浅見 裕</t>
  </si>
  <si>
    <t>内山 祐一</t>
  </si>
  <si>
    <t>石渡 亮</t>
  </si>
  <si>
    <t>小宮 章弘</t>
  </si>
  <si>
    <t>伴 健太郎</t>
  </si>
  <si>
    <t>小松原 誠</t>
  </si>
  <si>
    <t>髙井 勇翔</t>
  </si>
  <si>
    <t>横山 省</t>
  </si>
  <si>
    <t>相馬 勝利</t>
  </si>
  <si>
    <t>大平 誠</t>
  </si>
  <si>
    <t>村本 成洋</t>
  </si>
  <si>
    <t>サウンズスキークラブ</t>
  </si>
  <si>
    <t>吉田 祥貴</t>
  </si>
  <si>
    <t>野々山 淳</t>
  </si>
  <si>
    <t>富安 有爾</t>
  </si>
  <si>
    <t>北原 貴太</t>
  </si>
  <si>
    <t>阿部 宗司</t>
  </si>
  <si>
    <t>松崎 知宏</t>
  </si>
  <si>
    <t>大髙 裕生</t>
  </si>
  <si>
    <t>吉武 竜輝</t>
  </si>
  <si>
    <t>本山 貴大</t>
  </si>
  <si>
    <t>堀尾 和正</t>
  </si>
  <si>
    <t>ヴェーデルンスキークラブ</t>
  </si>
  <si>
    <t>黒川 正人</t>
  </si>
  <si>
    <t>上田 尚志</t>
  </si>
  <si>
    <t>冠 昌宏</t>
  </si>
  <si>
    <t>坂口 雄基</t>
  </si>
  <si>
    <t>丸山 英明</t>
  </si>
  <si>
    <t>伊藤 裕行</t>
  </si>
  <si>
    <t>菅原 俊一</t>
  </si>
  <si>
    <t>小平市スキー連盟</t>
  </si>
  <si>
    <t>坂井 智和</t>
  </si>
  <si>
    <t>スノータンネットクラブ</t>
  </si>
  <si>
    <t>宮脇 駿</t>
  </si>
  <si>
    <t>三原 蔵</t>
  </si>
  <si>
    <t>福島 光伸</t>
  </si>
  <si>
    <t>光延 貴之</t>
  </si>
  <si>
    <t>青木 智洋</t>
  </si>
  <si>
    <t>川手 健太郎</t>
  </si>
  <si>
    <t>小笠原 世亜</t>
  </si>
  <si>
    <t>栗原 渉</t>
  </si>
  <si>
    <t>浅輪 景一</t>
  </si>
  <si>
    <t>村上 雅也</t>
  </si>
  <si>
    <t>相木 和生</t>
  </si>
  <si>
    <t>防衛省スキークラブ</t>
  </si>
  <si>
    <t>青木 麗雅</t>
  </si>
  <si>
    <t>横山 哲也</t>
  </si>
  <si>
    <t>東京アルム・スキークラブ</t>
  </si>
  <si>
    <t>幸得 凌大</t>
  </si>
  <si>
    <t>田中 慈音</t>
  </si>
  <si>
    <t>瀬田 昌彦</t>
  </si>
  <si>
    <t>木島 秀夫</t>
  </si>
  <si>
    <t>JFEスチールスキー部</t>
  </si>
  <si>
    <t>服部 正史</t>
  </si>
  <si>
    <t>松田 笙太郎</t>
  </si>
  <si>
    <t>片山 亮志</t>
  </si>
  <si>
    <t>松田 祐兒</t>
  </si>
  <si>
    <t>相沢 孝</t>
  </si>
  <si>
    <t>宮本 浩光</t>
  </si>
  <si>
    <t>戸祭 修平</t>
  </si>
  <si>
    <t>境 悠太</t>
  </si>
  <si>
    <t>鈴木 鷹平</t>
  </si>
  <si>
    <t>宮野 次郎</t>
  </si>
  <si>
    <t>清水 悟</t>
  </si>
  <si>
    <t>シール・クラブ</t>
  </si>
  <si>
    <t>福岡 利悦</t>
  </si>
  <si>
    <t>林 克行</t>
  </si>
  <si>
    <t>日留川 領介</t>
  </si>
  <si>
    <t>髙杉 豪</t>
  </si>
  <si>
    <t>スキーサークルスリム</t>
  </si>
  <si>
    <t>岡本 悟</t>
  </si>
  <si>
    <t>諸岡 徹</t>
  </si>
  <si>
    <t>梅沢 久武</t>
  </si>
  <si>
    <t>川口 一司</t>
  </si>
  <si>
    <t>スキー愛好会プルーク</t>
  </si>
  <si>
    <t>岡部 洋一</t>
  </si>
  <si>
    <t>沼田 雅人</t>
  </si>
  <si>
    <t>清水 靖男</t>
  </si>
  <si>
    <t>馬場 雅哉</t>
  </si>
  <si>
    <t>天谷 祥吾</t>
  </si>
  <si>
    <t>河辺 敏郎</t>
  </si>
  <si>
    <t>宇佐見 裕</t>
  </si>
  <si>
    <t>市川 知宏</t>
  </si>
  <si>
    <t>澤田 健</t>
  </si>
  <si>
    <t>日下部 卓哉</t>
  </si>
  <si>
    <t>大江 健嗣</t>
  </si>
  <si>
    <t>新出 翔太</t>
  </si>
  <si>
    <t>大野 兼司</t>
  </si>
  <si>
    <t>渕脇 滉太</t>
  </si>
  <si>
    <t>馬場 健哉</t>
  </si>
  <si>
    <t>川又 眞綱</t>
  </si>
  <si>
    <t>高山 元成</t>
  </si>
  <si>
    <t>前波 賢彦</t>
  </si>
  <si>
    <t>大武 正幸</t>
  </si>
  <si>
    <t>中島 希代彦</t>
  </si>
  <si>
    <t>ＪＲ東日本東京スキークラブ</t>
  </si>
  <si>
    <t>石川 忠良</t>
  </si>
  <si>
    <t>後藤 和海</t>
  </si>
  <si>
    <t>江頭 至光</t>
  </si>
  <si>
    <t>バモススキークラブ</t>
  </si>
  <si>
    <t>国峰 昇</t>
  </si>
  <si>
    <t>セッションクラブ東京</t>
  </si>
  <si>
    <t>深澤 伸朗</t>
  </si>
  <si>
    <t>山本 智久</t>
  </si>
  <si>
    <t>吉澤 雅晴</t>
  </si>
  <si>
    <t>峰咲 誠弥</t>
  </si>
  <si>
    <t>小長谷 修</t>
  </si>
  <si>
    <t>福岡 秀幸</t>
  </si>
  <si>
    <t>須賀 亮太</t>
  </si>
  <si>
    <t>星野 倭山</t>
  </si>
  <si>
    <t>干場 英城</t>
  </si>
  <si>
    <t>郷田 翔平</t>
  </si>
  <si>
    <t>丸山 貴宏</t>
  </si>
  <si>
    <t>三井田 敦弘</t>
  </si>
  <si>
    <t>早道 奏喜</t>
  </si>
  <si>
    <t>安川 嘉敬</t>
  </si>
  <si>
    <t>竹内 宇音</t>
  </si>
  <si>
    <t>齋藤 優</t>
  </si>
  <si>
    <t>頼光 竜二郎</t>
  </si>
  <si>
    <t>伊藤 肇</t>
  </si>
  <si>
    <t>ペガーズスキークラブ</t>
  </si>
  <si>
    <t>横田 剛直</t>
  </si>
  <si>
    <t>有馬 卓郎</t>
  </si>
  <si>
    <t>ふくろうスキークラブ</t>
  </si>
  <si>
    <t>上村 黎</t>
  </si>
  <si>
    <t>加藤 博泰</t>
  </si>
  <si>
    <t>立川市スキー連盟</t>
  </si>
  <si>
    <t>笠谷 昂大</t>
  </si>
  <si>
    <t>東谷 学由</t>
  </si>
  <si>
    <t>小林 弘典</t>
  </si>
  <si>
    <t>二十日石アルペンスキークラブ</t>
  </si>
  <si>
    <t>紀 晃太</t>
  </si>
  <si>
    <t>林 光三</t>
  </si>
  <si>
    <t>松山 祥太</t>
  </si>
  <si>
    <t>堂内 憲治</t>
  </si>
  <si>
    <t>前田 将宏</t>
  </si>
  <si>
    <t>石井 三郎</t>
  </si>
  <si>
    <t>林 幸司</t>
  </si>
  <si>
    <t>土生 智弘</t>
  </si>
  <si>
    <t>石川 清信</t>
  </si>
  <si>
    <t>尼崎 義郎</t>
  </si>
  <si>
    <t>星野 英郎</t>
  </si>
  <si>
    <t>安田 晃</t>
  </si>
  <si>
    <t>本山 幸雄</t>
  </si>
  <si>
    <t>梅原 久</t>
  </si>
  <si>
    <t>小平 健太郎</t>
  </si>
  <si>
    <t>松野 賢一</t>
  </si>
  <si>
    <t>森川 勉</t>
  </si>
  <si>
    <t>藤枝 良男</t>
  </si>
  <si>
    <t>浦井 芳洋</t>
  </si>
  <si>
    <t>高橋 勇太郎</t>
  </si>
  <si>
    <t>大高 昇</t>
  </si>
  <si>
    <t>亀山 詔一</t>
  </si>
  <si>
    <t>池野 大介</t>
  </si>
  <si>
    <t>石井 啓太</t>
  </si>
  <si>
    <t>松本 隆弘</t>
  </si>
  <si>
    <t>スノーマン</t>
  </si>
  <si>
    <t>石野 雄一</t>
  </si>
  <si>
    <t>山中 駿</t>
  </si>
  <si>
    <t>小塩 慶人</t>
  </si>
  <si>
    <t>辻 卓弥</t>
  </si>
  <si>
    <t>上原 新次</t>
  </si>
  <si>
    <t>竹山 晃司</t>
  </si>
  <si>
    <t>新名 将也</t>
  </si>
  <si>
    <t>澤田 祐二</t>
  </si>
  <si>
    <t>上野 雄平</t>
  </si>
  <si>
    <t>上川 愛嵐</t>
  </si>
  <si>
    <t>杉山 幹直</t>
  </si>
  <si>
    <t>柴田 富男</t>
  </si>
  <si>
    <t>大塚 繁夫</t>
  </si>
  <si>
    <t>廣作 拓郎</t>
  </si>
  <si>
    <t>坂崎 一郎</t>
  </si>
  <si>
    <t>中野 幸二</t>
  </si>
  <si>
    <t>澤村 俊季</t>
  </si>
  <si>
    <t>千賀 亮</t>
  </si>
  <si>
    <t>藤田 裕明</t>
  </si>
  <si>
    <t>摠谷 怜隼</t>
  </si>
  <si>
    <t>大高 照平</t>
  </si>
  <si>
    <t>滝野瀬 聖</t>
  </si>
  <si>
    <t>河野 太郎</t>
  </si>
  <si>
    <t>林 昭三</t>
  </si>
  <si>
    <t>樗澤 啓祐</t>
  </si>
  <si>
    <t>遠山 博司</t>
  </si>
  <si>
    <t>西川 建</t>
  </si>
  <si>
    <t>須藤 公貴</t>
  </si>
  <si>
    <t>重光 玄</t>
  </si>
  <si>
    <t>相馬 悟</t>
  </si>
  <si>
    <t>広瀬 逸郎</t>
  </si>
  <si>
    <t>入江 哲郎</t>
  </si>
  <si>
    <t>鈴木 脩斗</t>
  </si>
  <si>
    <t>谷延 愼司</t>
  </si>
  <si>
    <t>保江 佳克</t>
  </si>
  <si>
    <t>瀧井 靖和</t>
  </si>
  <si>
    <t>中村 光宏</t>
  </si>
  <si>
    <t>粕谷 岳洋</t>
  </si>
  <si>
    <t>濱崎 雄志</t>
  </si>
  <si>
    <t>嶋田 一幸</t>
  </si>
  <si>
    <t>鈴木 望</t>
  </si>
  <si>
    <t>神谷 宏徳</t>
  </si>
  <si>
    <t>大湯 正彦</t>
  </si>
  <si>
    <t>福嶋 剛</t>
  </si>
  <si>
    <t>阿部 祐三</t>
  </si>
  <si>
    <t>東京消防庁スキー部</t>
  </si>
  <si>
    <t>篠 誠</t>
  </si>
  <si>
    <t>古川 浩次</t>
  </si>
  <si>
    <t>戸田 直人</t>
  </si>
  <si>
    <t>木村 久一</t>
  </si>
  <si>
    <t>山中 省三</t>
  </si>
  <si>
    <t>髙橋 大喜</t>
  </si>
  <si>
    <t>野原 徹雄</t>
  </si>
  <si>
    <t>坂内 友岳</t>
  </si>
  <si>
    <t>上村 爽</t>
  </si>
  <si>
    <t>平岡 一志</t>
  </si>
  <si>
    <t>河野 秀彰</t>
  </si>
  <si>
    <t>小川 ルーク</t>
  </si>
  <si>
    <t>佐藤 大悟</t>
  </si>
  <si>
    <t>三浦 雄輝</t>
  </si>
  <si>
    <t>吉川 剛志</t>
  </si>
  <si>
    <t>福田 智弘</t>
  </si>
  <si>
    <t>片桐 哲夫</t>
  </si>
  <si>
    <t>島田 岳洋</t>
  </si>
  <si>
    <t>川上 光一</t>
  </si>
  <si>
    <t>横山 真太郎</t>
  </si>
  <si>
    <t>宮尾 暁</t>
  </si>
  <si>
    <t>中山 圭三</t>
  </si>
  <si>
    <t>吉川 昌宏</t>
  </si>
  <si>
    <t>熊谷 和則</t>
  </si>
  <si>
    <t>久和野 純也</t>
  </si>
  <si>
    <t>高杉 晋治</t>
  </si>
  <si>
    <t>石崎 英文</t>
  </si>
  <si>
    <t>饗庭 佑亮</t>
  </si>
  <si>
    <t>高橋 廣</t>
  </si>
  <si>
    <t>日紫喜 薫</t>
  </si>
  <si>
    <t>飯塚 修平</t>
  </si>
  <si>
    <t>保坂 元</t>
  </si>
  <si>
    <t>山内 直己</t>
  </si>
  <si>
    <t>横山 弘昭</t>
  </si>
  <si>
    <t>東京ミタカファーストスキークラブ</t>
  </si>
  <si>
    <t>阿部 謙一</t>
  </si>
  <si>
    <t>海部 圭史</t>
  </si>
  <si>
    <t>島田 喜久則</t>
  </si>
  <si>
    <t>菊池 立身</t>
  </si>
  <si>
    <t>松村 周平</t>
  </si>
  <si>
    <t>河村 達哉</t>
  </si>
  <si>
    <t>杉本 明俊</t>
  </si>
  <si>
    <t>田沢 慎吾</t>
  </si>
  <si>
    <t>遊佐 詔一</t>
  </si>
  <si>
    <t>富田 良知</t>
  </si>
  <si>
    <t>小野木 直人</t>
  </si>
  <si>
    <t>野村 一貴</t>
  </si>
  <si>
    <t>宮崎 浩</t>
  </si>
  <si>
    <t>中川 圭介</t>
  </si>
  <si>
    <t>江尻 利雄</t>
  </si>
  <si>
    <t>吉田 裕</t>
  </si>
  <si>
    <t>阿部 光一郎</t>
  </si>
  <si>
    <t>栗林 一成</t>
  </si>
  <si>
    <t>神蔵 順一朗</t>
  </si>
  <si>
    <t>上野 歩夢</t>
  </si>
  <si>
    <t>吉澤 采佑</t>
  </si>
  <si>
    <t>熊沢 明</t>
  </si>
  <si>
    <t>酒井 貴弘</t>
  </si>
  <si>
    <t>中野区スキー協会</t>
  </si>
  <si>
    <t>田中 敏明</t>
  </si>
  <si>
    <t>神田 友義</t>
  </si>
  <si>
    <t>伴 啓明</t>
  </si>
  <si>
    <t>高橋 尚暉</t>
  </si>
  <si>
    <t>山本 拓磨</t>
  </si>
  <si>
    <t>大内 武彦</t>
  </si>
  <si>
    <t>鳥居 正行</t>
  </si>
  <si>
    <t>髙橋 雄司</t>
  </si>
  <si>
    <t>市河 宏章</t>
  </si>
  <si>
    <t>井上 雅王</t>
  </si>
  <si>
    <t>伊藤 拓美</t>
  </si>
  <si>
    <t>山田 孝夫</t>
  </si>
  <si>
    <t>讃岐 誠</t>
  </si>
  <si>
    <t>松嶋 嶺</t>
  </si>
  <si>
    <t>トムテ スキークラブ</t>
  </si>
  <si>
    <t>瀬戸崎 健</t>
  </si>
  <si>
    <t>横山 周人</t>
  </si>
  <si>
    <t>三井 伸一</t>
  </si>
  <si>
    <t>小林 宣樹</t>
  </si>
  <si>
    <t>杵渕 桂一朗</t>
  </si>
  <si>
    <t>東村山市スキー連盟</t>
  </si>
  <si>
    <t>成田 一寛</t>
  </si>
  <si>
    <t>秋元 俊祐</t>
  </si>
  <si>
    <t>十河 義勝</t>
  </si>
  <si>
    <t>福田 隆</t>
  </si>
  <si>
    <t>石原 裕久</t>
  </si>
  <si>
    <t>浦野 好紀</t>
  </si>
  <si>
    <t>石田 満</t>
  </si>
  <si>
    <t>芦田 研二</t>
  </si>
  <si>
    <t>水川 太貴</t>
  </si>
  <si>
    <t>柳川 誠一郎</t>
  </si>
  <si>
    <t>秦 義史</t>
  </si>
  <si>
    <t>三明 拓也</t>
  </si>
  <si>
    <t>福田 博文</t>
  </si>
  <si>
    <t>府中市スキー連盟</t>
  </si>
  <si>
    <t>清野 雅彦</t>
  </si>
  <si>
    <t>粟津 健太</t>
  </si>
  <si>
    <t>佐々木 健一</t>
  </si>
  <si>
    <t>増田 卓郎</t>
  </si>
  <si>
    <t>高橋 貞史</t>
  </si>
  <si>
    <t>東京都庁体育会スキー部</t>
  </si>
  <si>
    <t>水口 裕</t>
  </si>
  <si>
    <t>斎藤 充</t>
  </si>
  <si>
    <t>馬越 太朗</t>
  </si>
  <si>
    <t>笛木 正一</t>
  </si>
  <si>
    <t>松本 直広</t>
  </si>
  <si>
    <t>市村 隼人</t>
  </si>
  <si>
    <t>殿塚 崇央</t>
  </si>
  <si>
    <t>金井 均</t>
  </si>
  <si>
    <t>川田 誠</t>
  </si>
  <si>
    <t>榎本 来飛</t>
  </si>
  <si>
    <t>岡島 茂</t>
  </si>
  <si>
    <t>ノースウィンド  スキークラブ</t>
  </si>
  <si>
    <t>西﨑 大悟</t>
  </si>
  <si>
    <t>加藤 禎博</t>
  </si>
  <si>
    <t>竹本 哲郎</t>
  </si>
  <si>
    <t>香取 優斗</t>
  </si>
  <si>
    <t>朝比奈 秀樹</t>
  </si>
  <si>
    <t>石井 哲也</t>
  </si>
  <si>
    <t>小坂 勉</t>
  </si>
  <si>
    <t>石井 健嗣</t>
  </si>
  <si>
    <t>今野 敬行</t>
  </si>
  <si>
    <t>野上 信悟</t>
  </si>
  <si>
    <t>柳島 克己</t>
  </si>
  <si>
    <t>ブルース クロフォード</t>
  </si>
  <si>
    <t>加藤 裕</t>
  </si>
  <si>
    <t>内田 義明</t>
  </si>
  <si>
    <t>眞鍋 一樹</t>
  </si>
  <si>
    <t>宮坂 優希</t>
  </si>
  <si>
    <t>渡辺 光</t>
  </si>
  <si>
    <t>西 俊郎</t>
  </si>
  <si>
    <t>小林 秀徳</t>
  </si>
  <si>
    <t>兼松 聖</t>
  </si>
  <si>
    <t>時田 秀規</t>
  </si>
  <si>
    <t>福岡 大知</t>
  </si>
  <si>
    <t>吉野 康博</t>
  </si>
  <si>
    <t>柏木 直人</t>
  </si>
  <si>
    <t>横田 昌治</t>
  </si>
  <si>
    <t>ときスキークラブ</t>
  </si>
  <si>
    <t>小西 博英</t>
  </si>
  <si>
    <t>斉藤 富彦</t>
  </si>
  <si>
    <t>加藤 理</t>
  </si>
  <si>
    <t>星 勝実</t>
  </si>
  <si>
    <t>中川 健介</t>
  </si>
  <si>
    <t>長谷川 一弘</t>
  </si>
  <si>
    <t>鈴木 健史</t>
  </si>
  <si>
    <t>シー・アクトスキークラブ</t>
  </si>
  <si>
    <t>小野寺 寛</t>
  </si>
  <si>
    <t>谷 善樹</t>
  </si>
  <si>
    <t>高嶋 利之</t>
  </si>
  <si>
    <t>嶋川 憲治</t>
  </si>
  <si>
    <t>野口 慧悟</t>
  </si>
  <si>
    <t>富久尾 真輝</t>
  </si>
  <si>
    <t>那須 正志</t>
  </si>
  <si>
    <t>臼田 大樹</t>
  </si>
  <si>
    <t>鈴木 孝</t>
  </si>
  <si>
    <t>中島 世生</t>
  </si>
  <si>
    <t>遠藤 太郎</t>
  </si>
  <si>
    <t>谷口 達彦</t>
  </si>
  <si>
    <t>豊野 悠次</t>
  </si>
  <si>
    <t>新村 末雄</t>
  </si>
  <si>
    <t>森山 文彦</t>
  </si>
  <si>
    <t>久宗 克也</t>
  </si>
  <si>
    <t>小柳 恒一</t>
  </si>
  <si>
    <t>高橋 俊晴</t>
  </si>
  <si>
    <t>島田 眞人</t>
  </si>
  <si>
    <t>酒井 直希</t>
  </si>
  <si>
    <t>根岸 拓生</t>
  </si>
  <si>
    <t>武井 克己</t>
  </si>
  <si>
    <t>山田 範秀</t>
  </si>
  <si>
    <t>田中 智樹</t>
  </si>
  <si>
    <t>青木 巧</t>
  </si>
  <si>
    <t>染谷 昌彦</t>
  </si>
  <si>
    <t>茨木 富貴</t>
  </si>
  <si>
    <t>山口 芳生</t>
  </si>
  <si>
    <t>市川 武</t>
  </si>
  <si>
    <t>斉藤 聖治</t>
  </si>
  <si>
    <t>池内 伸行</t>
  </si>
  <si>
    <t>杉浦 仁</t>
  </si>
  <si>
    <t>原 貴士</t>
  </si>
  <si>
    <t>佐竹 伸之</t>
  </si>
  <si>
    <t>青木 正人</t>
  </si>
  <si>
    <t>本広 春</t>
  </si>
  <si>
    <t>横内 善雄</t>
  </si>
  <si>
    <t>大川 一郎</t>
  </si>
  <si>
    <t>佐藤 善紀</t>
  </si>
  <si>
    <t>町田市スキー連盟</t>
  </si>
  <si>
    <t>大西 秀人</t>
  </si>
  <si>
    <t>海山 智九</t>
  </si>
  <si>
    <t>高橋 智也</t>
  </si>
  <si>
    <t>柚木 裕明</t>
  </si>
  <si>
    <t>倉田 龍介</t>
  </si>
  <si>
    <t>赤石 晃一</t>
  </si>
  <si>
    <t>吉野 尚恭</t>
  </si>
  <si>
    <t>中村 重継</t>
  </si>
  <si>
    <t>角谷 航樹</t>
  </si>
  <si>
    <t>髙橋 駿太</t>
  </si>
  <si>
    <t>竹原 英夫</t>
  </si>
  <si>
    <t>堀 正弘</t>
  </si>
  <si>
    <t>スキー・フリークス・クラブ</t>
  </si>
  <si>
    <t>石川 賢</t>
  </si>
  <si>
    <t>今野 太生</t>
  </si>
  <si>
    <t>濱野 真之</t>
  </si>
  <si>
    <t>濱武 旺史</t>
  </si>
  <si>
    <t>篠塚 成輝</t>
  </si>
  <si>
    <t>高柳 良大</t>
  </si>
  <si>
    <t>岡本 宏和</t>
  </si>
  <si>
    <t>武蔵村山スキー協会</t>
  </si>
  <si>
    <t>石原 智弘</t>
  </si>
  <si>
    <t>山口 伸夫</t>
  </si>
  <si>
    <t>渡会 一成</t>
  </si>
  <si>
    <t>丸田 規博</t>
  </si>
  <si>
    <t>佐伯 淳</t>
  </si>
  <si>
    <t>豊島 昂太</t>
  </si>
  <si>
    <t>大木 寛人</t>
  </si>
  <si>
    <t>瀬戸 信治</t>
  </si>
  <si>
    <t>飯岡 方春</t>
  </si>
  <si>
    <t>大中 友志</t>
  </si>
  <si>
    <t>友野 喜正</t>
  </si>
  <si>
    <t>赤尾 豪宜</t>
  </si>
  <si>
    <t>小野 雄一</t>
  </si>
  <si>
    <t>福室 心</t>
  </si>
  <si>
    <t>坂口 弘毅</t>
  </si>
  <si>
    <t>黒越 亮史</t>
  </si>
  <si>
    <t>畑中 真一</t>
  </si>
  <si>
    <t>エコー・コムラード</t>
  </si>
  <si>
    <t>東出 憲一</t>
  </si>
  <si>
    <t>西原 孝俊</t>
  </si>
  <si>
    <t>大橋 拓真</t>
  </si>
  <si>
    <t>山岸 達也</t>
  </si>
  <si>
    <t>石井 元</t>
  </si>
  <si>
    <t>白戸 一正</t>
  </si>
  <si>
    <t>井上 裕大</t>
  </si>
  <si>
    <t>田村 忍</t>
  </si>
  <si>
    <t>河合 信太朗</t>
  </si>
  <si>
    <t>野中 走馬</t>
  </si>
  <si>
    <t>福田 凌介</t>
  </si>
  <si>
    <t>近藤 英太</t>
  </si>
  <si>
    <t>酒井 優希</t>
  </si>
  <si>
    <t>袴田 秀昭</t>
  </si>
  <si>
    <t>鈴木 日出男</t>
  </si>
  <si>
    <t>吉光 一郎</t>
  </si>
  <si>
    <t>中野 圭ニ</t>
  </si>
  <si>
    <t>八嶋 洋一</t>
  </si>
  <si>
    <t>岩崎 裕之</t>
  </si>
  <si>
    <t>岡田 哲人</t>
  </si>
  <si>
    <t>佐藤 譲</t>
  </si>
  <si>
    <t>渡嘉敷 健</t>
  </si>
  <si>
    <t>坂本 暁祐</t>
  </si>
  <si>
    <t>竹内 弘之</t>
  </si>
  <si>
    <t>馬場 仁</t>
  </si>
  <si>
    <t>久末 信行</t>
  </si>
  <si>
    <t>佐藤 晶彦</t>
  </si>
  <si>
    <t>坂本 怜大</t>
  </si>
  <si>
    <t>工藤 直樹</t>
  </si>
  <si>
    <t>山本 修</t>
  </si>
  <si>
    <t>伊藤 欣一</t>
  </si>
  <si>
    <t>中島 史晶</t>
  </si>
  <si>
    <t>高津 義喜</t>
  </si>
  <si>
    <t>見波 弘</t>
  </si>
  <si>
    <t>山本 章太</t>
  </si>
  <si>
    <t>竹本 圭佑</t>
  </si>
  <si>
    <t>無量小路 俊輔</t>
  </si>
  <si>
    <t>髙橋 幸男</t>
  </si>
  <si>
    <t>杉田 雅宏</t>
  </si>
  <si>
    <t>ラッセルスキークラブ</t>
  </si>
  <si>
    <t>神尾 昴雅</t>
  </si>
  <si>
    <t>小野 衛</t>
  </si>
  <si>
    <t>白崎 弘隆</t>
  </si>
  <si>
    <t>目黒 博雄</t>
  </si>
  <si>
    <t>寺岡 岳夫</t>
  </si>
  <si>
    <t>福原 力</t>
  </si>
  <si>
    <t>大山 穂高</t>
  </si>
  <si>
    <t>清水 颯太</t>
  </si>
  <si>
    <t>花岡 正智</t>
  </si>
  <si>
    <t>東 雄二郎</t>
  </si>
  <si>
    <t>小長井 俊介</t>
  </si>
  <si>
    <t>大塚 裕太</t>
  </si>
  <si>
    <t>中村 知大</t>
  </si>
  <si>
    <t>辰巳 晶信</t>
  </si>
  <si>
    <t>森田 哲男</t>
  </si>
  <si>
    <t>斉藤 広美</t>
  </si>
  <si>
    <t>吉田 治彦</t>
  </si>
  <si>
    <t>控井 悠太</t>
  </si>
  <si>
    <t>早川 忍</t>
  </si>
  <si>
    <t>福室 直志</t>
  </si>
  <si>
    <t>川島 敏男</t>
  </si>
  <si>
    <t>小沼 雄暉</t>
  </si>
  <si>
    <t>是枝 祐太</t>
  </si>
  <si>
    <t>ジューディッチ ロメオ</t>
  </si>
  <si>
    <t>磯 雄一</t>
  </si>
  <si>
    <t>今村 郁男</t>
  </si>
  <si>
    <t>鈴木 岳人</t>
  </si>
  <si>
    <t>脇谷 柊司</t>
  </si>
  <si>
    <t>田中 茂樹</t>
  </si>
  <si>
    <t>大田 想楽</t>
  </si>
  <si>
    <t>永沼 崇彦</t>
  </si>
  <si>
    <t>峯山 陸</t>
  </si>
  <si>
    <t>金田 和也</t>
  </si>
  <si>
    <t>石井 幹人</t>
  </si>
  <si>
    <t>中田 祐希</t>
  </si>
  <si>
    <t>國井 達宏</t>
  </si>
  <si>
    <t>石川 勝幸</t>
  </si>
  <si>
    <t>Ｋ．Ｓ．Ｃ</t>
  </si>
  <si>
    <t>関谷 隼太郎</t>
  </si>
  <si>
    <t>宮脇 瞭</t>
  </si>
  <si>
    <t>若木 陸真</t>
  </si>
  <si>
    <t>秦 憲伸</t>
  </si>
  <si>
    <t>仲野 守</t>
  </si>
  <si>
    <t>沢 正樹</t>
  </si>
  <si>
    <t>神保 和俊</t>
  </si>
  <si>
    <t>田中 賢一郎</t>
  </si>
  <si>
    <t>望月 史</t>
  </si>
  <si>
    <t>押山 宏晃</t>
  </si>
  <si>
    <t>形屋 亮一</t>
  </si>
  <si>
    <t>板羽 佑樹</t>
  </si>
  <si>
    <t>加地 貴勝</t>
  </si>
  <si>
    <t>山口 孝</t>
  </si>
  <si>
    <t>若山 俊郎</t>
  </si>
  <si>
    <t>青梅市スキー連盟</t>
  </si>
  <si>
    <t>清水 則雪</t>
  </si>
  <si>
    <t>小野寺 徹</t>
  </si>
  <si>
    <t>降旗 周二</t>
  </si>
  <si>
    <t>三浦 一秋</t>
  </si>
  <si>
    <t>山田 勝巳</t>
  </si>
  <si>
    <t>ホワイト・ベア・クラブ</t>
  </si>
  <si>
    <t>難波 昭信</t>
  </si>
  <si>
    <t>塩原 明之</t>
  </si>
  <si>
    <t>牧野 達朗</t>
  </si>
  <si>
    <t>藤 皓貴</t>
  </si>
  <si>
    <t>大塚 寛之</t>
  </si>
  <si>
    <t>国分寺市スキー連盟</t>
  </si>
  <si>
    <t>飯山 堅介</t>
  </si>
  <si>
    <t>山内 大一</t>
  </si>
  <si>
    <t>吉田 哲平</t>
  </si>
  <si>
    <t>岡部 哲也</t>
  </si>
  <si>
    <t>ファーストスキークラブ</t>
  </si>
  <si>
    <t>八重樫 一仁</t>
  </si>
  <si>
    <t>嵯峨野 太一</t>
  </si>
  <si>
    <t>斉藤 博幸</t>
  </si>
  <si>
    <t>柴崎 功士</t>
  </si>
  <si>
    <t>依田 真治</t>
  </si>
  <si>
    <t>出雲屋 一夫</t>
  </si>
  <si>
    <t>梶原 龍之佑</t>
  </si>
  <si>
    <t>松本 奏流</t>
  </si>
  <si>
    <t>田屋 裕範</t>
  </si>
  <si>
    <t>斉藤 幸一</t>
  </si>
  <si>
    <t>松木 克彦</t>
  </si>
  <si>
    <t>鎮目 隆夫</t>
  </si>
  <si>
    <t>東久留米市スキー連盟</t>
  </si>
  <si>
    <t>小泉 茂</t>
  </si>
  <si>
    <t>小瀬 嵩登</t>
  </si>
  <si>
    <t>堀越 たかし</t>
  </si>
  <si>
    <t>小林 大悟</t>
  </si>
  <si>
    <t>渡辺 拓二</t>
  </si>
  <si>
    <t>有嶋 慧一朗</t>
  </si>
  <si>
    <t>渡辺 秀昭</t>
  </si>
  <si>
    <t>東芝府中工場スキー部</t>
  </si>
  <si>
    <t>高田 昭</t>
  </si>
  <si>
    <t>小倉 昭彦</t>
  </si>
  <si>
    <t>宇田 悠真</t>
  </si>
  <si>
    <t>大沼 修</t>
  </si>
  <si>
    <t>深澤 六男</t>
  </si>
  <si>
    <t>西沢 武</t>
  </si>
  <si>
    <t>田中 実希</t>
  </si>
  <si>
    <t>西潟 三代次</t>
  </si>
  <si>
    <t>平山 和成</t>
  </si>
  <si>
    <t>渡辺 智秋</t>
  </si>
  <si>
    <t>加藤 弘大</t>
  </si>
  <si>
    <t>千石 文夫</t>
  </si>
  <si>
    <t>山本 秀作</t>
  </si>
  <si>
    <t>中村 英樹</t>
  </si>
  <si>
    <t>城田 伸也</t>
  </si>
  <si>
    <t>山本 悠人</t>
  </si>
  <si>
    <t>篠原 幾也</t>
  </si>
  <si>
    <t>国府方 昭二</t>
  </si>
  <si>
    <t>髙橋 ヤマト</t>
  </si>
  <si>
    <t>大塚 恒洸</t>
  </si>
  <si>
    <t>康野 瑛嗣</t>
  </si>
  <si>
    <t>横川 達也</t>
  </si>
  <si>
    <t>木村 拓朗</t>
  </si>
  <si>
    <t>塩沢 重利</t>
  </si>
  <si>
    <t>奥村 俊文</t>
  </si>
  <si>
    <t>笹本 裕貴</t>
  </si>
  <si>
    <t>山田 浩</t>
  </si>
  <si>
    <t>手嶋 竜夫</t>
  </si>
  <si>
    <t>遠藤 辰朗</t>
  </si>
  <si>
    <t>太田 和敏</t>
  </si>
  <si>
    <t>金子 雅弘</t>
  </si>
  <si>
    <t>山田 修</t>
  </si>
  <si>
    <t>佐藤 健児</t>
  </si>
  <si>
    <t>吉田 孝浩</t>
  </si>
  <si>
    <t>谷口 寿保　</t>
  </si>
  <si>
    <t>岩谷 三兵</t>
  </si>
  <si>
    <t>梅沢 進</t>
  </si>
  <si>
    <t>石井 久雄</t>
  </si>
  <si>
    <t>大久保 聡</t>
  </si>
  <si>
    <t>堀江 玄一郎</t>
  </si>
  <si>
    <t>中山 隼佑</t>
  </si>
  <si>
    <t>加藤 圭基</t>
  </si>
  <si>
    <t>喜連 祐一</t>
  </si>
  <si>
    <t>松山 光男</t>
  </si>
  <si>
    <t>野瀬 重治</t>
  </si>
  <si>
    <t>齋藤 裕樹</t>
  </si>
  <si>
    <t>八久保 幸夫</t>
  </si>
  <si>
    <t>黒崎 信之</t>
  </si>
  <si>
    <t>小泉 和秀</t>
  </si>
  <si>
    <t>濱野 弘大</t>
  </si>
  <si>
    <t>合野 一明</t>
  </si>
  <si>
    <t>佐々木 勇一</t>
  </si>
  <si>
    <t>真次 晃央</t>
  </si>
  <si>
    <t>細野 里音</t>
  </si>
  <si>
    <t>佐藤 和彦</t>
  </si>
  <si>
    <t>野中 史久</t>
  </si>
  <si>
    <t>清水 遊</t>
  </si>
  <si>
    <t>青井 康徳</t>
  </si>
  <si>
    <t>築地 貴之</t>
  </si>
  <si>
    <t>潮 真也</t>
  </si>
  <si>
    <t>小野寺 真也</t>
  </si>
  <si>
    <t>湯浅 統大</t>
  </si>
  <si>
    <t>吉川 慎太郎</t>
  </si>
  <si>
    <t>吉井 誠</t>
  </si>
  <si>
    <t>渡辺 由文</t>
  </si>
  <si>
    <t>立野 博之</t>
  </si>
  <si>
    <t>柏木 秀仁</t>
  </si>
  <si>
    <t>藤巻 有久</t>
  </si>
  <si>
    <t>川崎 俊輔</t>
  </si>
  <si>
    <t>小林 東次</t>
  </si>
  <si>
    <t>鈴木 貴大</t>
  </si>
  <si>
    <t>長澤 豊</t>
  </si>
  <si>
    <t>川上 惇</t>
  </si>
  <si>
    <t>鎌田 慈</t>
  </si>
  <si>
    <t>宮崎 真志</t>
  </si>
  <si>
    <t>小島 陽介</t>
  </si>
  <si>
    <t>福田 俊介</t>
  </si>
  <si>
    <t>正能 憲一</t>
  </si>
  <si>
    <t>太田 悠斗</t>
  </si>
  <si>
    <t>佐藤 太朗</t>
  </si>
  <si>
    <t>廣田 香有</t>
  </si>
  <si>
    <t>玉井 浩</t>
  </si>
  <si>
    <t>東京ヴェーデルンスキークラブ</t>
  </si>
  <si>
    <t>平山 陽之</t>
  </si>
  <si>
    <t>須和田 卓弥</t>
  </si>
  <si>
    <t>高橋 誠</t>
  </si>
  <si>
    <t>篠﨑 敏男</t>
  </si>
  <si>
    <t>松本 周大</t>
  </si>
  <si>
    <t>野々村 和平</t>
  </si>
  <si>
    <t>あきる野市スキークラブ</t>
  </si>
  <si>
    <t>片山 恒次</t>
  </si>
  <si>
    <t>林 大耀</t>
  </si>
  <si>
    <t>鈴木 啓太</t>
  </si>
  <si>
    <t>髙橋 啓</t>
  </si>
  <si>
    <t>城田 克也</t>
  </si>
  <si>
    <t>植草 悠介</t>
  </si>
  <si>
    <t>原田 一紀</t>
  </si>
  <si>
    <t>大久保 雅司</t>
  </si>
  <si>
    <t>蔵前 優生</t>
  </si>
  <si>
    <t>小野澤 泰智</t>
  </si>
  <si>
    <t>田中 勇太朗</t>
  </si>
  <si>
    <t>阿部 裕崇</t>
  </si>
  <si>
    <t>内藤 友博</t>
  </si>
  <si>
    <t>能登 正之</t>
  </si>
  <si>
    <t>助川 尚一</t>
  </si>
  <si>
    <t>須藤 圭一</t>
  </si>
  <si>
    <t>渡部 輝</t>
  </si>
  <si>
    <t>本田 渉</t>
  </si>
  <si>
    <t>吉橋 裕貴</t>
  </si>
  <si>
    <t>長瀬 好幸</t>
  </si>
  <si>
    <t>皆川 真潤</t>
  </si>
  <si>
    <t>大門 一郎</t>
  </si>
  <si>
    <t>クオリティ・セブン</t>
  </si>
  <si>
    <t>鈴木 貫也</t>
  </si>
  <si>
    <t>工藤 陽生</t>
  </si>
  <si>
    <t>五味 信治</t>
  </si>
  <si>
    <t>野邊 倭</t>
  </si>
  <si>
    <t>板倉 治男</t>
  </si>
  <si>
    <t>柳田 雄大</t>
  </si>
  <si>
    <t>村上 靖</t>
  </si>
  <si>
    <t>赤坂 健</t>
  </si>
  <si>
    <t>上山 遼</t>
  </si>
  <si>
    <t>田中 基</t>
  </si>
  <si>
    <t>佐川 真啓</t>
  </si>
  <si>
    <t>宮地 好彦</t>
  </si>
  <si>
    <t>芝 諒真</t>
  </si>
  <si>
    <t>渡邊 嗣公</t>
  </si>
  <si>
    <t>宮下 茂樹</t>
  </si>
  <si>
    <t>佐藤 康紀</t>
  </si>
  <si>
    <t>立原 博</t>
  </si>
  <si>
    <t>吉川 慶治郎</t>
  </si>
  <si>
    <t>柳田 秀樹</t>
  </si>
  <si>
    <t>堀川 廣</t>
  </si>
  <si>
    <t>小山 昭司</t>
  </si>
  <si>
    <t>藤郷 剣太郎</t>
  </si>
  <si>
    <t>木村 篤樹</t>
  </si>
  <si>
    <t>佐藤 忠雄</t>
  </si>
  <si>
    <t>相坂 祐樹</t>
  </si>
  <si>
    <t>山田 紘淳</t>
  </si>
  <si>
    <t>三原 颯</t>
  </si>
  <si>
    <t>後藤 寛</t>
  </si>
  <si>
    <t>紺谷 克昌</t>
  </si>
  <si>
    <t>根津 佑介</t>
  </si>
  <si>
    <t>時田 正敏</t>
  </si>
  <si>
    <t>大澤 伶威</t>
  </si>
  <si>
    <t>山田 芽來</t>
  </si>
  <si>
    <t>齋藤 憲司</t>
  </si>
  <si>
    <t>平田 昌範</t>
  </si>
  <si>
    <t>小永井 徹</t>
  </si>
  <si>
    <t>星野 峻一</t>
  </si>
  <si>
    <t>佐藤 久人</t>
  </si>
  <si>
    <t>冨井 平</t>
  </si>
  <si>
    <t>鈴木 海渡</t>
  </si>
  <si>
    <t>大森 春英</t>
  </si>
  <si>
    <t>高田 一磨</t>
  </si>
  <si>
    <t>比留間 光成</t>
  </si>
  <si>
    <t>窪田 哲也</t>
  </si>
  <si>
    <t>田中 大成</t>
  </si>
  <si>
    <t>白木 伸行</t>
  </si>
  <si>
    <t>木村 颯汰</t>
  </si>
  <si>
    <t>甲田 聖志郎</t>
  </si>
  <si>
    <t>富岡 宏太朗</t>
  </si>
  <si>
    <t>永吉 洸綺</t>
  </si>
  <si>
    <t>松原 健</t>
  </si>
  <si>
    <t>鍋山 颯斗</t>
  </si>
  <si>
    <t>高橋 浩一</t>
  </si>
  <si>
    <t>笠間 桂次</t>
  </si>
  <si>
    <t>深見 国興</t>
  </si>
  <si>
    <t>小松 俊彦</t>
  </si>
  <si>
    <t>家村 凌平</t>
  </si>
  <si>
    <t>古賀 久國</t>
  </si>
  <si>
    <t>片桐 大樹</t>
  </si>
  <si>
    <t>蛭川 恒</t>
  </si>
  <si>
    <t>渡邉 海斗</t>
  </si>
  <si>
    <t>森北 和志</t>
  </si>
  <si>
    <t>長尾 峻治</t>
  </si>
  <si>
    <t>石井 晃</t>
  </si>
  <si>
    <t>酒井 宙</t>
  </si>
  <si>
    <t>谷 啓</t>
  </si>
  <si>
    <t>小川 竜司</t>
  </si>
  <si>
    <t>吉原 稔幸</t>
  </si>
  <si>
    <t>外山 智士</t>
  </si>
  <si>
    <t>鈴木 麻生</t>
  </si>
  <si>
    <t>金子 大翔</t>
  </si>
  <si>
    <t>眞﨑 嵩</t>
  </si>
  <si>
    <t>伊藤 匠人</t>
  </si>
  <si>
    <t>榎本 雄高</t>
  </si>
  <si>
    <t>小沼 佳史</t>
  </si>
  <si>
    <t>鳥居 和功</t>
  </si>
  <si>
    <t>加来 彩人</t>
  </si>
  <si>
    <t>岩田 天玄</t>
  </si>
  <si>
    <t>渡邉 理久</t>
  </si>
  <si>
    <t>手塚 敬之</t>
  </si>
  <si>
    <t>菊池 大基</t>
  </si>
  <si>
    <t>池田 英昭</t>
  </si>
  <si>
    <t>舘内 直人</t>
  </si>
  <si>
    <t>滝沢 正</t>
  </si>
  <si>
    <t>山本 皓乃</t>
  </si>
  <si>
    <t>重田 雅文</t>
  </si>
  <si>
    <t>樋口 遼大</t>
  </si>
  <si>
    <t>佐野 孝夫</t>
  </si>
  <si>
    <t>土居 昭</t>
  </si>
  <si>
    <t>佐藤 励</t>
  </si>
  <si>
    <t>清水 誠</t>
  </si>
  <si>
    <t>藤巻 忠夫</t>
  </si>
  <si>
    <t>亀井 勇希</t>
  </si>
  <si>
    <t>北村 明</t>
  </si>
  <si>
    <t>大木 秀介</t>
  </si>
  <si>
    <t>荒山 勝正</t>
  </si>
  <si>
    <t>近藤 哲</t>
  </si>
  <si>
    <t>滝沢 悠介</t>
  </si>
  <si>
    <t>山田 人司</t>
  </si>
  <si>
    <t>吉田 尭</t>
  </si>
  <si>
    <t>遠間 瑠吾</t>
  </si>
  <si>
    <t>市村 昇</t>
  </si>
  <si>
    <t>三浦 篤</t>
  </si>
  <si>
    <t>高橋 遼太</t>
  </si>
  <si>
    <t>酒井 孝一</t>
  </si>
  <si>
    <t>一ノ瀬 迅</t>
  </si>
  <si>
    <t>斎藤 徳太郎</t>
  </si>
  <si>
    <t>金子 晟三</t>
  </si>
  <si>
    <t>武井 雅大</t>
  </si>
  <si>
    <t>柳沼 均</t>
  </si>
  <si>
    <t>西川 将太郎</t>
  </si>
  <si>
    <t>佐藤 稜</t>
  </si>
  <si>
    <t>吉澤 厘佑</t>
  </si>
  <si>
    <t>三浦 弘充</t>
  </si>
  <si>
    <t>久富 知弘</t>
  </si>
  <si>
    <t>鈴木 尚人</t>
  </si>
  <si>
    <t>兼子 祐弥</t>
  </si>
  <si>
    <t>内藤 寛貴</t>
  </si>
  <si>
    <t>吉田 圭佑</t>
  </si>
  <si>
    <t>井上 雅博</t>
  </si>
  <si>
    <t>葛飾区スキー連盟</t>
  </si>
  <si>
    <t>北澤 純</t>
  </si>
  <si>
    <t>宮澤 慶</t>
  </si>
  <si>
    <t>網干 雄己</t>
  </si>
  <si>
    <t>藤田 冬馬</t>
  </si>
  <si>
    <t>小宮山 直人</t>
  </si>
  <si>
    <t>安藤 啓人</t>
  </si>
  <si>
    <t>安國 貴彦</t>
  </si>
  <si>
    <t>中村 利壮</t>
  </si>
  <si>
    <t>渡邊 瑠佳</t>
  </si>
  <si>
    <t>荒田 渓登</t>
  </si>
  <si>
    <t>高塚 要</t>
  </si>
  <si>
    <t>渡辺 大悟</t>
  </si>
  <si>
    <t>田村 孝嗣</t>
  </si>
  <si>
    <t>仲田 詠一</t>
  </si>
  <si>
    <t>佐久間 大輔</t>
  </si>
  <si>
    <t>仲山 俊夫</t>
  </si>
  <si>
    <t>國井 高志</t>
  </si>
  <si>
    <t>宮城 良佑</t>
  </si>
  <si>
    <t>和田 純一</t>
  </si>
  <si>
    <t>柿内 隆</t>
  </si>
  <si>
    <t>中山 健史</t>
  </si>
  <si>
    <t>春日 裕貴</t>
  </si>
  <si>
    <t>斉藤 孝夫</t>
  </si>
  <si>
    <t>長井 明</t>
  </si>
  <si>
    <t>石川 賢一</t>
  </si>
  <si>
    <t>石井 豊紀</t>
  </si>
  <si>
    <t>金澤 幸太</t>
  </si>
  <si>
    <t>井上 千之助</t>
  </si>
  <si>
    <t>高橋 侑作</t>
  </si>
  <si>
    <t>関 晃</t>
  </si>
  <si>
    <t>吉田 舜</t>
  </si>
  <si>
    <t>山口 直正</t>
  </si>
  <si>
    <t>布施 玲於奈</t>
  </si>
  <si>
    <t>今岡 湧人</t>
  </si>
  <si>
    <t>遠藤 正紀</t>
  </si>
  <si>
    <t>上原 大樹</t>
  </si>
  <si>
    <t>高橋 靖昌</t>
  </si>
  <si>
    <t>椿 秀啓</t>
  </si>
  <si>
    <t>組田 光一</t>
  </si>
  <si>
    <t>山崎 湧太</t>
  </si>
  <si>
    <t>小林 翼</t>
  </si>
  <si>
    <t>栁原 昌幸</t>
  </si>
  <si>
    <t>杉崎 壽三男</t>
  </si>
  <si>
    <t>寺瀬 克美</t>
  </si>
  <si>
    <t>志賀高原スキークラブ</t>
  </si>
  <si>
    <t>佐藤 英司</t>
  </si>
  <si>
    <t>立川 湧斗</t>
  </si>
  <si>
    <t>荻生 崚太郎</t>
  </si>
  <si>
    <t>溝口 祥之介</t>
  </si>
  <si>
    <t>越水 雅裕</t>
  </si>
  <si>
    <t>岡村 幸央</t>
  </si>
  <si>
    <t>髙橋 孫一郎</t>
  </si>
  <si>
    <t>松田 浩太朗</t>
  </si>
  <si>
    <t>新井 蔵人</t>
  </si>
  <si>
    <t>加川 善久</t>
  </si>
  <si>
    <t>武江 知寛</t>
  </si>
  <si>
    <t>北村 優弥</t>
  </si>
  <si>
    <t>控井 健太</t>
  </si>
  <si>
    <t>白嶺スキーチーム</t>
  </si>
  <si>
    <t>鈴木 秀駿</t>
  </si>
  <si>
    <t>高見 淳</t>
  </si>
  <si>
    <t>坂口 直弥</t>
  </si>
  <si>
    <t>岡崎 光宏</t>
  </si>
  <si>
    <t>國部 望</t>
  </si>
  <si>
    <t>長谷川 春彦</t>
  </si>
  <si>
    <t>鶴味 裕太</t>
  </si>
  <si>
    <t>荒井 俊彦</t>
  </si>
  <si>
    <t>岡田 達弥</t>
  </si>
  <si>
    <t>佐藤 義隆</t>
  </si>
  <si>
    <t>日本エイトマンスキークラブ</t>
  </si>
  <si>
    <t>木口 朋哉</t>
  </si>
  <si>
    <t>山内 辰馬</t>
  </si>
  <si>
    <t>逢坂 寛光</t>
  </si>
  <si>
    <t>髙木 翔弥</t>
  </si>
  <si>
    <t>飛山 龍ノ介</t>
  </si>
  <si>
    <t>羽部 晃広</t>
  </si>
  <si>
    <t>遠藤 海洸</t>
  </si>
  <si>
    <t>野村 優太</t>
  </si>
  <si>
    <t>藤田 英雄</t>
  </si>
  <si>
    <t>スカオイスキークラブ</t>
  </si>
  <si>
    <t>二見 裕樹</t>
  </si>
  <si>
    <t>中村 祐介</t>
  </si>
  <si>
    <t>萩原 隆之介</t>
  </si>
  <si>
    <t>佐藤 建太郎</t>
  </si>
  <si>
    <t>鈴木 進一</t>
  </si>
  <si>
    <t>河西 悠登</t>
  </si>
  <si>
    <t>熊本 晴太</t>
  </si>
  <si>
    <t>冨田 貴仁</t>
  </si>
  <si>
    <t>直井 俊樹</t>
  </si>
  <si>
    <t>鳥居 宗一郎</t>
  </si>
  <si>
    <t>東垣内 牧男</t>
  </si>
  <si>
    <t>稲葉 陽生</t>
  </si>
  <si>
    <t>重光 匡</t>
  </si>
  <si>
    <t>島村 蒼天</t>
  </si>
  <si>
    <t>松本 陽一</t>
  </si>
  <si>
    <t>前田 凛之介</t>
  </si>
  <si>
    <t>島本 拓海</t>
  </si>
  <si>
    <t>草野 龍輝</t>
  </si>
  <si>
    <t>志摩 泰成</t>
  </si>
  <si>
    <t>小林 直樹</t>
  </si>
  <si>
    <t>愛宕 通隆</t>
  </si>
  <si>
    <t>髙橋 龍一郎</t>
  </si>
  <si>
    <t>島田 樹空</t>
  </si>
  <si>
    <t>阿野 苑弥</t>
  </si>
  <si>
    <t>天野 旭雅</t>
  </si>
  <si>
    <t>永吉 冴綺</t>
  </si>
  <si>
    <t>林 泰地</t>
  </si>
  <si>
    <t>久田 雄三</t>
  </si>
  <si>
    <t>槇 孝雄</t>
  </si>
  <si>
    <t>佐藤 泰山</t>
  </si>
  <si>
    <t>森田 響</t>
  </si>
  <si>
    <t>佐藤 典雄</t>
  </si>
  <si>
    <t>星 貞清</t>
  </si>
  <si>
    <t>ウィンズスキークラブ</t>
  </si>
  <si>
    <t>三瓶 大河</t>
  </si>
  <si>
    <t>中野 朝司</t>
  </si>
  <si>
    <t>島田 雄気</t>
  </si>
  <si>
    <t>半澤 進</t>
  </si>
  <si>
    <t>殿村 幹也</t>
  </si>
  <si>
    <t>渥見 悠太</t>
  </si>
  <si>
    <t>柴田 大斗</t>
  </si>
  <si>
    <t>花田 美生</t>
  </si>
  <si>
    <t>遠藤 義信</t>
  </si>
  <si>
    <t>盛 拓貴</t>
  </si>
  <si>
    <t>前田 泰佑</t>
  </si>
  <si>
    <t>坂 和真</t>
  </si>
  <si>
    <t>小山 祐輝</t>
  </si>
  <si>
    <t>江村 航大</t>
  </si>
  <si>
    <t>西垣 光平</t>
  </si>
  <si>
    <t>宮﨑 涼輔</t>
  </si>
  <si>
    <t>家田 智也</t>
  </si>
  <si>
    <t>赤川 琢人</t>
  </si>
  <si>
    <t>小口 慶樹</t>
  </si>
  <si>
    <t>吉澤 恒平</t>
  </si>
  <si>
    <t>大塚 公太</t>
  </si>
  <si>
    <t>阿部 央季</t>
  </si>
  <si>
    <t>下田 智也</t>
  </si>
  <si>
    <t>泉澤 亮太</t>
  </si>
  <si>
    <t>齊藤 真希生</t>
  </si>
  <si>
    <t>松矢 英晶</t>
  </si>
  <si>
    <t>宮木 泰造</t>
  </si>
  <si>
    <t>林 岩男</t>
  </si>
  <si>
    <t>櫻井 智偲</t>
  </si>
  <si>
    <t>半田 楓</t>
  </si>
  <si>
    <t>杉本 怜哉</t>
  </si>
  <si>
    <t>熊谷 大仁</t>
  </si>
  <si>
    <t>福岡 素志</t>
  </si>
  <si>
    <t>光芳 陸</t>
  </si>
  <si>
    <t>井下 聖葵</t>
  </si>
  <si>
    <t>樋脇 雄飛</t>
  </si>
  <si>
    <t>田邊 信一</t>
  </si>
  <si>
    <t>荒川 博之</t>
  </si>
  <si>
    <t>尾形 俊輔</t>
  </si>
  <si>
    <t>三島 麟太郎</t>
  </si>
  <si>
    <t>土肥 尚也</t>
  </si>
  <si>
    <t>秋庭 克行</t>
  </si>
  <si>
    <t>上妻 隆斗</t>
  </si>
  <si>
    <t>橋本 優吾</t>
  </si>
  <si>
    <t>稲葉 隆司</t>
  </si>
  <si>
    <t>小野寺 進太朗</t>
  </si>
  <si>
    <t>福島 牧人</t>
  </si>
  <si>
    <t>里村 弘志</t>
  </si>
  <si>
    <t>恩田 玲央</t>
  </si>
  <si>
    <t>中島 啓裕</t>
  </si>
  <si>
    <t>武藤 正晃</t>
  </si>
  <si>
    <t>青木 彗</t>
  </si>
  <si>
    <t>佐藤 光</t>
  </si>
  <si>
    <t>細川 祥</t>
  </si>
  <si>
    <t>店網 宏樹</t>
  </si>
  <si>
    <t>木所 雅征</t>
  </si>
  <si>
    <t>栗橋 優輔</t>
  </si>
  <si>
    <t>羽村 悠樹</t>
  </si>
  <si>
    <t>河野 夏海</t>
  </si>
  <si>
    <t>姉崎 寛</t>
  </si>
  <si>
    <t>小川 卓真</t>
  </si>
  <si>
    <t>藤本 勇</t>
  </si>
  <si>
    <t>荻生 紳太郎</t>
  </si>
  <si>
    <t>黒田 義稀</t>
  </si>
  <si>
    <t>渡辺 周</t>
  </si>
  <si>
    <t>大西 望</t>
  </si>
  <si>
    <t>堀米 力暉</t>
  </si>
  <si>
    <t>北垣 秀人</t>
  </si>
  <si>
    <t>榎 康太郎</t>
  </si>
  <si>
    <t>奥山 侑祐</t>
  </si>
  <si>
    <t>柿沼 黎生</t>
  </si>
  <si>
    <t>濱元 拓実</t>
  </si>
  <si>
    <t>渡辺 友広</t>
  </si>
  <si>
    <t>二階堂 裕</t>
  </si>
  <si>
    <t>小林 寛武</t>
  </si>
  <si>
    <t>武田 光一郎</t>
  </si>
  <si>
    <t>古川 開</t>
  </si>
  <si>
    <t>渡辺 燎太</t>
  </si>
  <si>
    <t>鷺 佳生人</t>
  </si>
  <si>
    <t>畠山 智生</t>
  </si>
  <si>
    <t>立川 健介</t>
  </si>
  <si>
    <t>古山 聖哉</t>
  </si>
  <si>
    <t>根岸 大己</t>
  </si>
  <si>
    <t>栗原 楓</t>
  </si>
  <si>
    <t>川田 裕貴</t>
  </si>
  <si>
    <t>渡邊 和樹</t>
  </si>
  <si>
    <t>藤崎 裕人</t>
  </si>
  <si>
    <t>高木 暦</t>
  </si>
  <si>
    <t>鈴木 蒼大</t>
  </si>
  <si>
    <t>長久 幸之介</t>
  </si>
  <si>
    <t>伊藤 尚泰</t>
  </si>
  <si>
    <t>木田 悠斗</t>
  </si>
  <si>
    <t>内田 光太郎</t>
  </si>
  <si>
    <t>小菅 耕大</t>
  </si>
  <si>
    <t>頓宮 寛正</t>
  </si>
  <si>
    <t>穴井 慶</t>
  </si>
  <si>
    <t>安藤 来波</t>
  </si>
  <si>
    <t>熊崎 亮太</t>
  </si>
  <si>
    <t>北本 滉太郎</t>
  </si>
  <si>
    <t>畠山 茂信</t>
  </si>
  <si>
    <t>花園 智行</t>
  </si>
  <si>
    <t>大塚 陽向</t>
  </si>
  <si>
    <t>近藤 涼輔</t>
  </si>
  <si>
    <t>辻 悠希</t>
  </si>
  <si>
    <t>高橋 哲哉</t>
  </si>
  <si>
    <t>三賀山 嗣穏</t>
  </si>
  <si>
    <t>鳴海 柊平</t>
  </si>
  <si>
    <t>庄本 涼馬</t>
  </si>
  <si>
    <t>栗原 玲音</t>
  </si>
  <si>
    <t>万崎 靖一</t>
  </si>
  <si>
    <t>金子 佑介</t>
  </si>
  <si>
    <t>高橋 長三郎</t>
  </si>
  <si>
    <t>東京石楠花会</t>
  </si>
  <si>
    <t>青木 悠</t>
  </si>
  <si>
    <t>髙橋 直希</t>
  </si>
  <si>
    <t>吉川 泰永</t>
  </si>
  <si>
    <t>池田 稜介</t>
  </si>
  <si>
    <t>田島 凜斗</t>
  </si>
  <si>
    <t>髙安 邑太郎</t>
  </si>
  <si>
    <t>田村 優有</t>
  </si>
  <si>
    <t>石田 佳明</t>
  </si>
  <si>
    <t>佐藤 良</t>
  </si>
  <si>
    <t>川上 龍之介</t>
  </si>
  <si>
    <t>新井 綾馬</t>
  </si>
  <si>
    <t>細田 輝大</t>
  </si>
  <si>
    <t>山田 泰之進</t>
  </si>
  <si>
    <t>西城 法遵</t>
  </si>
  <si>
    <t>北内 大嵩</t>
  </si>
  <si>
    <t>井田 光祝</t>
  </si>
  <si>
    <t>飯嶌 笙</t>
  </si>
  <si>
    <t>野口 直樹</t>
  </si>
  <si>
    <t>山根 鷹之臣</t>
  </si>
  <si>
    <t>高橋 大夢</t>
  </si>
  <si>
    <t>古川 雄一朗</t>
  </si>
  <si>
    <t>山内 誠也</t>
  </si>
  <si>
    <t>小林 亮太</t>
  </si>
  <si>
    <t>土志田 進太郎</t>
  </si>
  <si>
    <t>津田 祐輔</t>
  </si>
  <si>
    <t>岩本 恵祐</t>
  </si>
  <si>
    <t>小田島 孝</t>
  </si>
  <si>
    <t>金子 優輝</t>
  </si>
  <si>
    <t>大倉 滉太</t>
  </si>
  <si>
    <t>香取 大輝</t>
  </si>
  <si>
    <t>小和田 雄太</t>
  </si>
  <si>
    <t>坂東 遼翼</t>
  </si>
  <si>
    <t>鈴木 隆太</t>
  </si>
  <si>
    <t>山田 琥太郎</t>
  </si>
  <si>
    <t>深谷 雄人</t>
  </si>
  <si>
    <t>窪田 遼輔</t>
  </si>
  <si>
    <t>河西 優</t>
  </si>
  <si>
    <t>大橋 周造</t>
  </si>
  <si>
    <t>守屋 直希</t>
  </si>
  <si>
    <t>友部 尚輝</t>
  </si>
  <si>
    <t>桑原 悠樹</t>
  </si>
  <si>
    <t>桒田 栞典</t>
  </si>
  <si>
    <t>松岡 輝</t>
  </si>
  <si>
    <t>須藤 琉心</t>
  </si>
  <si>
    <t>唐木 大貴</t>
  </si>
  <si>
    <t>嘉門 智一郎</t>
  </si>
  <si>
    <t>佐藤 有馬</t>
  </si>
  <si>
    <t>三浦 友三</t>
  </si>
  <si>
    <t>福本 将士</t>
  </si>
  <si>
    <t>佐藤 拓実</t>
  </si>
  <si>
    <t>中村 駿大</t>
  </si>
  <si>
    <t>渡部 良樹</t>
  </si>
  <si>
    <t>松村 真</t>
  </si>
  <si>
    <t>大久保 慶人</t>
  </si>
  <si>
    <t>岩本 慎太郎</t>
  </si>
  <si>
    <t>西大條 育孝</t>
  </si>
  <si>
    <t>菅野 翔生</t>
  </si>
  <si>
    <t>藤田 悠一郎</t>
  </si>
  <si>
    <t>白木 智也</t>
  </si>
  <si>
    <t>柴山 諒太</t>
  </si>
  <si>
    <t>蜂巣 頌</t>
  </si>
  <si>
    <t>長濱 宇宙</t>
  </si>
  <si>
    <t>池永 福太郎</t>
  </si>
  <si>
    <t>稲葉 慶太朗</t>
  </si>
  <si>
    <t>竹本 航</t>
  </si>
  <si>
    <t>上原 颯馬</t>
  </si>
  <si>
    <t>戸舘 宗一朗</t>
  </si>
  <si>
    <t>大谷 泰斗</t>
  </si>
  <si>
    <t>植田 晃生</t>
  </si>
  <si>
    <t>磯崎 俊輔</t>
  </si>
  <si>
    <t>清水 俊</t>
  </si>
  <si>
    <t>伊藤 悠生</t>
  </si>
  <si>
    <t>長谷川 武</t>
  </si>
  <si>
    <t>調布市スキー連盟</t>
  </si>
  <si>
    <t>吉田 太耀</t>
  </si>
  <si>
    <t>荒井 祐颯</t>
  </si>
  <si>
    <t>藤林 勝</t>
  </si>
  <si>
    <t>舛巴 紳二</t>
  </si>
  <si>
    <t>武田 基秀</t>
  </si>
  <si>
    <t>長谷川 雄大</t>
  </si>
  <si>
    <t>中川 晴登</t>
  </si>
  <si>
    <t>木元 丈</t>
  </si>
  <si>
    <t>髙田 寛樹</t>
  </si>
  <si>
    <t>保坂 勇太</t>
  </si>
  <si>
    <t>村上 博史</t>
  </si>
  <si>
    <t>富田 暁</t>
  </si>
  <si>
    <t>高木 洋羽</t>
  </si>
  <si>
    <t>馳 悠</t>
  </si>
  <si>
    <t>坂井 頌</t>
  </si>
  <si>
    <t>谷口 大騎</t>
  </si>
  <si>
    <t>安藤 謙真</t>
  </si>
  <si>
    <t>折茂 海</t>
  </si>
  <si>
    <t>緒方 希</t>
  </si>
  <si>
    <t>新井 公大</t>
  </si>
  <si>
    <t>胡 以心</t>
  </si>
  <si>
    <t>渡部 知駿</t>
  </si>
  <si>
    <t>細川 凱央</t>
  </si>
  <si>
    <t>荻原 遼</t>
  </si>
  <si>
    <t>築地 照吉</t>
  </si>
  <si>
    <t>荻原 秀明</t>
  </si>
  <si>
    <t>濱中 勇一</t>
  </si>
  <si>
    <t>湯浅 亮祐</t>
  </si>
  <si>
    <t>柚木 応介</t>
  </si>
  <si>
    <t>古田島 哲三郎</t>
  </si>
  <si>
    <t>東京瓦斯スキー部</t>
  </si>
  <si>
    <t>塚﨑 勇人</t>
  </si>
  <si>
    <t>林 駿也</t>
  </si>
  <si>
    <t>古沢 肇</t>
  </si>
  <si>
    <t>六川 達郎</t>
  </si>
  <si>
    <t>高田 一輝</t>
  </si>
  <si>
    <t>牧田 龍彦</t>
  </si>
  <si>
    <t>村山 博光</t>
  </si>
  <si>
    <t>吉盛 仁</t>
  </si>
  <si>
    <t>秋山 知志</t>
  </si>
  <si>
    <t>新井 昌汰</t>
  </si>
  <si>
    <t>新井 達也</t>
  </si>
  <si>
    <t>安藤 靖晃</t>
  </si>
  <si>
    <t>一條 兼賢</t>
  </si>
  <si>
    <t>一丸 修人</t>
  </si>
  <si>
    <t>伊藤 大介</t>
  </si>
  <si>
    <t>伊藤 真大</t>
  </si>
  <si>
    <t>猪原 拓海</t>
  </si>
  <si>
    <t>井村 陽</t>
  </si>
  <si>
    <t>入江 源太</t>
  </si>
  <si>
    <t>入倉 優海</t>
  </si>
  <si>
    <t>岩山 和樹</t>
  </si>
  <si>
    <t>内野 和宙</t>
  </si>
  <si>
    <t>大石 宗左</t>
  </si>
  <si>
    <t>岡崎 流宇斗</t>
  </si>
  <si>
    <t>小川 勇</t>
  </si>
  <si>
    <t>小川 大祐</t>
  </si>
  <si>
    <t>小野 拓巳</t>
  </si>
  <si>
    <t>尾本 幸隆</t>
  </si>
  <si>
    <t>柏原 弘稜</t>
  </si>
  <si>
    <t>片野 翔太</t>
  </si>
  <si>
    <t>金子 颯汰</t>
  </si>
  <si>
    <t>金子 舞音</t>
  </si>
  <si>
    <t>神谷 脩輔</t>
  </si>
  <si>
    <t>木田 有哉</t>
  </si>
  <si>
    <t>熊澤 悠太郎</t>
  </si>
  <si>
    <t>熊本 侃月</t>
  </si>
  <si>
    <t>小島 正大</t>
  </si>
  <si>
    <t>小開 一慶</t>
  </si>
  <si>
    <t>小南 瑛史</t>
  </si>
  <si>
    <t>小山 慶一郎</t>
  </si>
  <si>
    <t>斎藤 佑起</t>
  </si>
  <si>
    <t>齋藤 優太</t>
  </si>
  <si>
    <t>酒井 洸斗</t>
  </si>
  <si>
    <t>坂本 郁矢</t>
  </si>
  <si>
    <t>佐塚 太一</t>
  </si>
  <si>
    <t>佐藤 茂</t>
  </si>
  <si>
    <t>椎名 響</t>
  </si>
  <si>
    <t>島田 樹</t>
  </si>
  <si>
    <t>城田 尚也</t>
  </si>
  <si>
    <t>高橋 春斗</t>
  </si>
  <si>
    <t>高安 洋翔</t>
  </si>
  <si>
    <t>田口 雅樹</t>
  </si>
  <si>
    <t>立川 直杜</t>
  </si>
  <si>
    <t>田中 秀利</t>
  </si>
  <si>
    <t>筒井 快</t>
  </si>
  <si>
    <t>天川 雄貴</t>
  </si>
  <si>
    <t>手計 岳隆</t>
  </si>
  <si>
    <t>富澤 拓紀</t>
  </si>
  <si>
    <t>仲 誠也</t>
  </si>
  <si>
    <t>成沢 和史</t>
  </si>
  <si>
    <t>西村 登央弥</t>
  </si>
  <si>
    <t>沼野 俊平</t>
  </si>
  <si>
    <t>根岸 拓海</t>
  </si>
  <si>
    <t>橋本 浩平</t>
  </si>
  <si>
    <t>早野 将貴</t>
  </si>
  <si>
    <t>原 旭飛</t>
  </si>
  <si>
    <t>深野 魁</t>
  </si>
  <si>
    <t>藤巻 拓也</t>
  </si>
  <si>
    <t>古橋 息吹</t>
  </si>
  <si>
    <t>星 佑樹</t>
  </si>
  <si>
    <t>星川 拳治郎</t>
  </si>
  <si>
    <t>細谷 佳広</t>
  </si>
  <si>
    <t>保戸塚 俊希</t>
  </si>
  <si>
    <t>真崎 大哉</t>
  </si>
  <si>
    <t>政田 大陽</t>
  </si>
  <si>
    <t>松浦 天我</t>
  </si>
  <si>
    <t>松澤 亮矢</t>
  </si>
  <si>
    <t>三浦 勇斗</t>
  </si>
  <si>
    <t>峯部 大地</t>
  </si>
  <si>
    <t>森 拓也</t>
  </si>
  <si>
    <t>森田 雄人</t>
  </si>
  <si>
    <t>矢﨑 青空</t>
  </si>
  <si>
    <t>山口 暁史</t>
  </si>
  <si>
    <t>山﨑 直輝</t>
  </si>
  <si>
    <t>山田 来紀</t>
  </si>
  <si>
    <t>湯浅 主基</t>
  </si>
  <si>
    <t>横山 福人</t>
  </si>
  <si>
    <t>吉澤 朋秀</t>
  </si>
  <si>
    <t>渡辺 貴仁</t>
  </si>
  <si>
    <t>渡邊 智洋</t>
  </si>
  <si>
    <t>和田 遼</t>
  </si>
  <si>
    <t>福澤 駿</t>
  </si>
  <si>
    <t>水田 楽</t>
  </si>
  <si>
    <t>斉藤 晴紀</t>
  </si>
  <si>
    <t>三浦 岳</t>
  </si>
  <si>
    <t>宮内 隆</t>
  </si>
  <si>
    <t>和田 蔵人</t>
  </si>
  <si>
    <t>井上 孝夫</t>
  </si>
  <si>
    <t>小川 和雄</t>
  </si>
  <si>
    <t>小澤 健一郎</t>
  </si>
  <si>
    <t>上島 大輝</t>
  </si>
  <si>
    <t>田渕 翔</t>
  </si>
  <si>
    <t>古市 隆一</t>
  </si>
  <si>
    <t>松村 瑛一郎</t>
  </si>
  <si>
    <t>新井 一美</t>
  </si>
  <si>
    <t>小俣 雅史</t>
  </si>
  <si>
    <t>木田 詔彦</t>
  </si>
  <si>
    <t>齋藤 祐司</t>
  </si>
  <si>
    <t>坂本 博史</t>
  </si>
  <si>
    <t>佐藤 健</t>
  </si>
  <si>
    <t>佐藤 日出夫</t>
  </si>
  <si>
    <t>高梨 達次</t>
  </si>
  <si>
    <t>土谷 英美</t>
  </si>
  <si>
    <t>福原 和博</t>
  </si>
  <si>
    <t>村岡 幹</t>
  </si>
  <si>
    <t>山田 節夫</t>
  </si>
  <si>
    <t>大熊 太郎</t>
  </si>
  <si>
    <t>橋本 寛</t>
  </si>
  <si>
    <t>星田 昌好</t>
  </si>
  <si>
    <t>村山 真三</t>
  </si>
  <si>
    <t>野口 芳則</t>
  </si>
  <si>
    <t>奥村 竜志</t>
  </si>
  <si>
    <t>尾崎 健太郎</t>
  </si>
  <si>
    <t>金久保 稔</t>
  </si>
  <si>
    <t>小池 隆</t>
  </si>
  <si>
    <t>齋藤 敏紀</t>
  </si>
  <si>
    <t>西脇 義弘</t>
  </si>
  <si>
    <t>堀口 秀幸</t>
  </si>
  <si>
    <t>石下 幸二</t>
  </si>
  <si>
    <t>伊藤 吉彦</t>
  </si>
  <si>
    <t>木内 俊直</t>
  </si>
  <si>
    <t>菊地 敦</t>
  </si>
  <si>
    <t>中堀 孝宏</t>
  </si>
  <si>
    <t>鈴木 幸太郎</t>
  </si>
  <si>
    <t>中島 光広</t>
  </si>
  <si>
    <t>菅家 稔</t>
  </si>
  <si>
    <t>豊島区スキー協会</t>
  </si>
  <si>
    <t>木原 幹雄</t>
  </si>
  <si>
    <t>中村 孝</t>
  </si>
  <si>
    <t>石川 利博</t>
  </si>
  <si>
    <t>村田 誠</t>
  </si>
  <si>
    <t>中村 一正</t>
  </si>
  <si>
    <t>クリスタルスキークラブ</t>
  </si>
  <si>
    <t>平沢 健一</t>
  </si>
  <si>
    <t>宮崎 哲人</t>
  </si>
  <si>
    <t>スカブラ・クラブ</t>
  </si>
  <si>
    <t>野崎 久仁男</t>
  </si>
  <si>
    <t>岸本 幹史</t>
  </si>
  <si>
    <t>三菱商事スキー同好会</t>
  </si>
  <si>
    <t>吉川 秀文</t>
  </si>
  <si>
    <t>門上 浩慈</t>
  </si>
  <si>
    <t>宮地 建次</t>
  </si>
  <si>
    <t>宇佐美 惇</t>
  </si>
  <si>
    <t>恩田 喜章</t>
  </si>
  <si>
    <t>川島 悠甫</t>
  </si>
  <si>
    <t>深谷 哲章</t>
  </si>
  <si>
    <t>宮嶋 岳志</t>
  </si>
  <si>
    <t>神田 弘貴</t>
  </si>
  <si>
    <t>小山 孝明</t>
  </si>
  <si>
    <t>山村 冬彦</t>
  </si>
  <si>
    <t>木田 純</t>
  </si>
  <si>
    <t>滝沢 誠</t>
  </si>
  <si>
    <t>長津 英雄</t>
  </si>
  <si>
    <t>鈴木 崇理</t>
  </si>
  <si>
    <t>森川 信一</t>
  </si>
  <si>
    <t>小熊 健太郎</t>
  </si>
  <si>
    <t>園田 康博</t>
  </si>
  <si>
    <t>五月女 博英</t>
  </si>
  <si>
    <t>水野 昌行</t>
  </si>
  <si>
    <t>天野 学</t>
  </si>
  <si>
    <t>黒田 伊久雄</t>
  </si>
  <si>
    <t>山田 周治</t>
  </si>
  <si>
    <t>荒井 颯治</t>
  </si>
  <si>
    <t>石井 公章</t>
  </si>
  <si>
    <t>小山 わたる</t>
  </si>
  <si>
    <t>加藤 宏</t>
  </si>
  <si>
    <t>柴山 達弘</t>
  </si>
  <si>
    <t>図師 直輝</t>
  </si>
  <si>
    <t>平田 穂高</t>
  </si>
  <si>
    <t>池田 知基</t>
  </si>
  <si>
    <t>川田 辰実</t>
  </si>
  <si>
    <t>兎澤 孝義</t>
  </si>
  <si>
    <t>林 良平</t>
  </si>
  <si>
    <t>山崎 菊治</t>
  </si>
  <si>
    <t>奈良 善乃進</t>
  </si>
  <si>
    <t>野田 宣彦</t>
  </si>
  <si>
    <t>広瀬 一生</t>
  </si>
  <si>
    <t>藤原 秀生</t>
  </si>
  <si>
    <t>小出 俊</t>
  </si>
  <si>
    <t>五明 秀晋</t>
  </si>
  <si>
    <t>本部 斗聖</t>
  </si>
  <si>
    <t>本部 諒</t>
  </si>
  <si>
    <t>小林 浩</t>
  </si>
  <si>
    <t>ブルースキークラブ</t>
  </si>
  <si>
    <t>岡田 勉</t>
  </si>
  <si>
    <t>安藤 俊太郎</t>
  </si>
  <si>
    <t>二木 聡也</t>
  </si>
  <si>
    <t>堀 亨輔</t>
  </si>
  <si>
    <t>今井 邦光</t>
  </si>
  <si>
    <t>篠田 知樹</t>
  </si>
  <si>
    <t>首藤 純一</t>
  </si>
  <si>
    <t>萩原 孝治</t>
  </si>
  <si>
    <t>平松 敦郎　</t>
  </si>
  <si>
    <t>柿本 岩男</t>
  </si>
  <si>
    <t>中島 浩</t>
  </si>
  <si>
    <t>笠川 修</t>
  </si>
  <si>
    <t>浜谷 哲男</t>
  </si>
  <si>
    <t>松倉 雄一</t>
  </si>
  <si>
    <t>吉崎 陽介</t>
  </si>
  <si>
    <t>高橋 昌也</t>
  </si>
  <si>
    <t>ポールスタースキークラブ</t>
  </si>
  <si>
    <t>家入 将</t>
  </si>
  <si>
    <t>新日鉄住金スキークラブ</t>
  </si>
  <si>
    <t>上田 忠之</t>
  </si>
  <si>
    <t>山﨑 静雄</t>
  </si>
  <si>
    <t>川俣 雅一</t>
  </si>
  <si>
    <t>清水 將行</t>
  </si>
  <si>
    <t>鈴木 康将</t>
  </si>
  <si>
    <t>竹岡 康一郎</t>
  </si>
  <si>
    <t>粟飯原 勉</t>
  </si>
  <si>
    <t>阿部 博成</t>
  </si>
  <si>
    <t>宇田 孝史</t>
  </si>
  <si>
    <t>狩野 公明</t>
  </si>
  <si>
    <t>西塚 順</t>
  </si>
  <si>
    <t>望月 保</t>
  </si>
  <si>
    <t>山崎 淳</t>
  </si>
  <si>
    <t>渡部 賢二</t>
  </si>
  <si>
    <t>河野 久米彦</t>
  </si>
  <si>
    <t>田村 浩大</t>
  </si>
  <si>
    <t>萩谷 芳朗</t>
  </si>
  <si>
    <t>相馬 芳則</t>
  </si>
  <si>
    <t>江尻 京之輔</t>
  </si>
  <si>
    <t>高橋 八起</t>
  </si>
  <si>
    <t>中野 誠彦</t>
  </si>
  <si>
    <t>前田 賢治</t>
  </si>
  <si>
    <t>大崎 育朗</t>
  </si>
  <si>
    <t>岡田 正</t>
  </si>
  <si>
    <t>中清水 光雄</t>
  </si>
  <si>
    <t>渡辺 広信</t>
  </si>
  <si>
    <t>篠原 真澄</t>
  </si>
  <si>
    <t>藤村 公苗</t>
  </si>
  <si>
    <t>松本 昭夫</t>
  </si>
  <si>
    <t>鈴木 章一</t>
  </si>
  <si>
    <t>中山 義彦</t>
  </si>
  <si>
    <t>名倉 大</t>
  </si>
  <si>
    <t>ラ・ネージュ</t>
  </si>
  <si>
    <t>木村 裕</t>
  </si>
  <si>
    <t>小金井市スキー連盟</t>
  </si>
  <si>
    <t>岸 隆史</t>
  </si>
  <si>
    <t>柴田 徹</t>
  </si>
  <si>
    <t>館澤 喜一</t>
  </si>
  <si>
    <t>野倉 芳和</t>
  </si>
  <si>
    <t>柳田 晃芳</t>
  </si>
  <si>
    <t>ライフスキークラブ</t>
  </si>
  <si>
    <t>島田 宏</t>
  </si>
  <si>
    <t>稲垣 昌志</t>
  </si>
  <si>
    <t>大学生協スキークラブ</t>
  </si>
  <si>
    <t>中澤 孝幸</t>
  </si>
  <si>
    <t>新治 満</t>
  </si>
  <si>
    <t>佐藤 亮</t>
  </si>
  <si>
    <t>林 正人</t>
  </si>
  <si>
    <t>藤井 正彦</t>
  </si>
  <si>
    <t>慶応義塾大学ショカール</t>
  </si>
  <si>
    <t>北野 教正</t>
  </si>
  <si>
    <t>伊藤 正道</t>
  </si>
  <si>
    <t>中村 剛</t>
  </si>
  <si>
    <t>針谷 清之</t>
  </si>
  <si>
    <t>松本 直士</t>
  </si>
  <si>
    <t>江川 健一</t>
  </si>
  <si>
    <t>松澤 宏一</t>
  </si>
  <si>
    <t>丸山 恭弘</t>
  </si>
  <si>
    <t>小熊 健祐</t>
  </si>
  <si>
    <t>前田 航</t>
  </si>
  <si>
    <t>岡村 直樹</t>
  </si>
  <si>
    <t>鎌田 徹治</t>
  </si>
  <si>
    <t>木村 賢一</t>
  </si>
  <si>
    <t>高橋 基規</t>
  </si>
  <si>
    <t>田中 秀一</t>
  </si>
  <si>
    <t>田村 聡</t>
  </si>
  <si>
    <t>鳥海 悟</t>
  </si>
  <si>
    <t>福島 正則</t>
  </si>
  <si>
    <t>町田 洋</t>
  </si>
  <si>
    <t>馬渕 建</t>
  </si>
  <si>
    <t>馬渕 泰至</t>
  </si>
  <si>
    <t>山口 鐘畿</t>
  </si>
  <si>
    <t>木村 信之</t>
  </si>
  <si>
    <t>斉藤 文明</t>
  </si>
  <si>
    <t>佐々木 匠</t>
  </si>
  <si>
    <t>橋詰 隆大</t>
  </si>
  <si>
    <t>小山 明廣</t>
  </si>
  <si>
    <t>大森 通安</t>
  </si>
  <si>
    <t>大森 光紘</t>
  </si>
  <si>
    <t>庵原 邦彦</t>
  </si>
  <si>
    <t>田中 信嘉</t>
  </si>
  <si>
    <t>本田 勝雄</t>
  </si>
  <si>
    <t>山本 靖樹</t>
  </si>
  <si>
    <t>吉岡 康治</t>
  </si>
  <si>
    <t>吉田 正宏</t>
  </si>
  <si>
    <t>梅沢 望</t>
  </si>
  <si>
    <t>國枝 宏之</t>
  </si>
  <si>
    <t>井上 拓海</t>
  </si>
  <si>
    <t>宇田 純大</t>
  </si>
  <si>
    <t>大友 譲</t>
  </si>
  <si>
    <t>小蔵 大成</t>
  </si>
  <si>
    <t>小山 覚</t>
  </si>
  <si>
    <t>小山 聖司</t>
  </si>
  <si>
    <t>斉藤 大毅</t>
  </si>
  <si>
    <t>下川 正耀</t>
  </si>
  <si>
    <t>庄司 遥</t>
  </si>
  <si>
    <t>鈴木 凰心</t>
  </si>
  <si>
    <t>高木 翔太</t>
  </si>
  <si>
    <t>塚田 悠生</t>
  </si>
  <si>
    <t>土井 三十三</t>
  </si>
  <si>
    <t>中島 空輝</t>
  </si>
  <si>
    <t>永吉 歓大</t>
  </si>
  <si>
    <t>鳰川 淳之介</t>
  </si>
  <si>
    <t>鳰川 龍之介</t>
  </si>
  <si>
    <t>野崎 煌月</t>
  </si>
  <si>
    <t>羽野 光</t>
  </si>
  <si>
    <t>原田 健太朗</t>
  </si>
  <si>
    <t>藤井 駿八</t>
  </si>
  <si>
    <t>堀江 健司</t>
  </si>
  <si>
    <t>山口 悠吏</t>
  </si>
  <si>
    <t>小川 謙治</t>
  </si>
  <si>
    <t>小川 譲一</t>
  </si>
  <si>
    <t>福澤 雅彦</t>
  </si>
  <si>
    <t>渡部 吉晴</t>
  </si>
  <si>
    <t>ダッコー・スキークラブ</t>
  </si>
  <si>
    <t>松村 昌幸</t>
  </si>
  <si>
    <t>松村 優輝</t>
  </si>
  <si>
    <t>明石 響</t>
  </si>
  <si>
    <t>赤瀬 琉輝</t>
  </si>
  <si>
    <t>秋田 岳陽</t>
  </si>
  <si>
    <t>秋本 理貴</t>
  </si>
  <si>
    <t>秋山 和輝</t>
  </si>
  <si>
    <t>浅香 圭吾</t>
  </si>
  <si>
    <t>有賀 大貴</t>
  </si>
  <si>
    <t>飯島 弘登</t>
  </si>
  <si>
    <t>池田 有輝</t>
  </si>
  <si>
    <t>石川 琉誠</t>
  </si>
  <si>
    <t>伊藤 太一</t>
  </si>
  <si>
    <t>入枝 聖樹</t>
  </si>
  <si>
    <t>岩名 一樹</t>
  </si>
  <si>
    <t>臼井 龍一</t>
  </si>
  <si>
    <t>梅根 航希</t>
  </si>
  <si>
    <t>江黒 文隆</t>
  </si>
  <si>
    <t>榎本 眞顕</t>
  </si>
  <si>
    <t>大﨑 優樹矢</t>
  </si>
  <si>
    <t>太田 聡</t>
  </si>
  <si>
    <t>大武 元気</t>
  </si>
  <si>
    <t>大竹 陸</t>
  </si>
  <si>
    <t>大月 暁信</t>
  </si>
  <si>
    <t>岡田 拓純</t>
  </si>
  <si>
    <t>岡田 渚音</t>
  </si>
  <si>
    <t>岡根 武志</t>
  </si>
  <si>
    <t>岡道 智紀</t>
  </si>
  <si>
    <t>岡村 良之新</t>
  </si>
  <si>
    <t>小川 千太郎</t>
  </si>
  <si>
    <t>小幡 雪柊</t>
  </si>
  <si>
    <t>恩田 拓海</t>
  </si>
  <si>
    <t>片野 志郎</t>
  </si>
  <si>
    <t>神山 鷹揚</t>
  </si>
  <si>
    <t>河田 壮生</t>
  </si>
  <si>
    <t>河村 凜太郎</t>
  </si>
  <si>
    <t>木越 健輔</t>
  </si>
  <si>
    <t>久保嶋 悠人</t>
  </si>
  <si>
    <t>久力 大和</t>
  </si>
  <si>
    <t>小坂 興平</t>
  </si>
  <si>
    <t>小嶋 俊亮</t>
  </si>
  <si>
    <t>小島 拓己</t>
  </si>
  <si>
    <t>小林 文伽</t>
  </si>
  <si>
    <t>小森 大輔</t>
  </si>
  <si>
    <t>齊藤 大樹</t>
  </si>
  <si>
    <t>坂本 渉馬</t>
  </si>
  <si>
    <t>櫻井 洸希</t>
  </si>
  <si>
    <t>笹川 佳那人</t>
  </si>
  <si>
    <t>澤根 永一</t>
  </si>
  <si>
    <t>篠田 晴</t>
  </si>
  <si>
    <t>嶋田 渓吾</t>
  </si>
  <si>
    <t>島宮 一喜</t>
  </si>
  <si>
    <t>新家 瑛冬</t>
  </si>
  <si>
    <t>杉田 廉成</t>
  </si>
  <si>
    <t>鈴鹿 航太</t>
  </si>
  <si>
    <t>陶山 慧</t>
  </si>
  <si>
    <t>髙田 琉聖</t>
  </si>
  <si>
    <t>高橋 健太</t>
  </si>
  <si>
    <t>鷹橋 幸一郎</t>
  </si>
  <si>
    <t>高橋 紀広</t>
  </si>
  <si>
    <t>高橋 鵬大</t>
  </si>
  <si>
    <t>貴峰 智紀</t>
  </si>
  <si>
    <t>瀧田 純</t>
  </si>
  <si>
    <t>田中 遥希</t>
  </si>
  <si>
    <t>田林 生真</t>
  </si>
  <si>
    <t>千葉 亮伍</t>
  </si>
  <si>
    <t>辻本 空</t>
  </si>
  <si>
    <t>堤 優登</t>
  </si>
  <si>
    <t>寺嶋 謙一郎</t>
  </si>
  <si>
    <t>寺田 雄翔</t>
  </si>
  <si>
    <t>常磐井 一郎</t>
  </si>
  <si>
    <t>鳥羽 莞爾</t>
  </si>
  <si>
    <t>豊永 大河</t>
  </si>
  <si>
    <t>鳥居 俊介</t>
  </si>
  <si>
    <t>中江 朋弘</t>
  </si>
  <si>
    <t>中川 琉晟</t>
  </si>
  <si>
    <t>中村 文則</t>
  </si>
  <si>
    <t>永井 佑亮</t>
  </si>
  <si>
    <t>永田 俊太郎</t>
  </si>
  <si>
    <t>長谷 陽斗</t>
  </si>
  <si>
    <t>成宮 颯太</t>
  </si>
  <si>
    <t>西下 愛也</t>
  </si>
  <si>
    <t>野木 嘉孝</t>
  </si>
  <si>
    <t>野口 周</t>
  </si>
  <si>
    <t>野口 耀大</t>
  </si>
  <si>
    <t>長谷川 凛</t>
  </si>
  <si>
    <t>畠山 翔太</t>
  </si>
  <si>
    <t>濱田 一輝</t>
  </si>
  <si>
    <t>原嶋 洋輔</t>
  </si>
  <si>
    <t>深谷 怜伸</t>
  </si>
  <si>
    <t>福田 勇斗</t>
  </si>
  <si>
    <t>藤田 大門</t>
  </si>
  <si>
    <t>保戸塚 信之介</t>
  </si>
  <si>
    <t>光野 拓馬</t>
  </si>
  <si>
    <t>光山 格</t>
  </si>
  <si>
    <t>武藤 力</t>
  </si>
  <si>
    <t>村上 孔介</t>
  </si>
  <si>
    <t>村上 遼</t>
  </si>
  <si>
    <t>森田 幸暉</t>
  </si>
  <si>
    <t>八重田 優</t>
  </si>
  <si>
    <t>山柿 康希</t>
  </si>
  <si>
    <t>山﨑 雅之</t>
  </si>
  <si>
    <t>山下 庸</t>
  </si>
  <si>
    <t>山中 祐之介</t>
  </si>
  <si>
    <t>山本 裕輝</t>
  </si>
  <si>
    <t>義家 優太郎</t>
  </si>
  <si>
    <t>渡部 人和</t>
  </si>
  <si>
    <t>山口 和彦</t>
  </si>
  <si>
    <t>国士舘大学基礎スキークラブ</t>
  </si>
  <si>
    <t>新井 海翔</t>
  </si>
  <si>
    <t>石塚 瑛之</t>
  </si>
  <si>
    <t>金子 剛</t>
  </si>
  <si>
    <t>久保田 税</t>
  </si>
  <si>
    <t>栗原 信一</t>
  </si>
  <si>
    <t>柴崎 大和</t>
  </si>
  <si>
    <t>清水 俊英</t>
  </si>
  <si>
    <t>鈴木 優櫂</t>
  </si>
  <si>
    <t>高木 曜</t>
  </si>
  <si>
    <t>堤 匡志</t>
  </si>
  <si>
    <t>南部 祥和</t>
  </si>
  <si>
    <t>野本 英愛</t>
  </si>
  <si>
    <t>橋口 拓弥</t>
  </si>
  <si>
    <t>細谷 智雄</t>
  </si>
  <si>
    <t>堀田 隆一郎</t>
  </si>
  <si>
    <t>緑川 浩太朗</t>
  </si>
  <si>
    <t>山川 潤</t>
  </si>
  <si>
    <t>山下 雄樹</t>
  </si>
  <si>
    <t>遠藤 弘</t>
  </si>
  <si>
    <t>アントンスキークラブ</t>
  </si>
  <si>
    <t>諸岡 岳</t>
  </si>
  <si>
    <t>露口 実祝</t>
  </si>
  <si>
    <t>岩本 茂</t>
  </si>
  <si>
    <t>島村 隆矩</t>
  </si>
  <si>
    <t>武居 知</t>
  </si>
  <si>
    <t>吉川 武</t>
  </si>
  <si>
    <t>長谷川 敬二</t>
  </si>
  <si>
    <t>高坂 十三</t>
  </si>
  <si>
    <t>宮津 英光</t>
  </si>
  <si>
    <t>山口 典宏</t>
  </si>
  <si>
    <t>増田 隆男</t>
  </si>
  <si>
    <t>青木 定彦</t>
  </si>
  <si>
    <t>アウＳＣ</t>
  </si>
  <si>
    <t>駒屋 桂造</t>
  </si>
  <si>
    <t>小澤 克之助</t>
  </si>
  <si>
    <t>佐々木 浩行</t>
  </si>
  <si>
    <t>島崎 義和</t>
  </si>
  <si>
    <t>吉岡 芙唯人</t>
  </si>
  <si>
    <t>警視庁スキークラブ</t>
  </si>
  <si>
    <t>中川 洋一</t>
  </si>
  <si>
    <t>岡田 優人</t>
  </si>
  <si>
    <t>小川 和則</t>
  </si>
  <si>
    <t>村田 悠祐</t>
  </si>
  <si>
    <t>岡澤 研太</t>
  </si>
  <si>
    <t>荻田 裕</t>
  </si>
  <si>
    <t>高木 邦好</t>
  </si>
  <si>
    <t>谷 雅則</t>
  </si>
  <si>
    <t>長沼 豪</t>
  </si>
  <si>
    <t>山崎 正彦</t>
  </si>
  <si>
    <t>小川 圭</t>
  </si>
  <si>
    <t>松本 光生</t>
  </si>
  <si>
    <t>米﨑 慶一郎</t>
  </si>
  <si>
    <t>米﨑 雅夫</t>
  </si>
  <si>
    <t>村井 哲也</t>
  </si>
  <si>
    <t>井澤 颯真</t>
  </si>
  <si>
    <t>桑名 翔一</t>
  </si>
  <si>
    <t>戸本 豪</t>
  </si>
  <si>
    <t>永吉 哲郎</t>
  </si>
  <si>
    <t>野口 雄太</t>
  </si>
  <si>
    <t>皆川 元司</t>
  </si>
  <si>
    <t>皆川 大弥</t>
  </si>
  <si>
    <t>山地 享　</t>
  </si>
  <si>
    <t>須藤 正男</t>
  </si>
  <si>
    <t>谷口 克哉</t>
  </si>
  <si>
    <t>寺島 伸一</t>
  </si>
  <si>
    <t>政木 隆史</t>
  </si>
  <si>
    <t>山形 博行</t>
  </si>
  <si>
    <t>宮口 淳</t>
  </si>
  <si>
    <t>吉川 岳史</t>
  </si>
  <si>
    <t>磯田 雄大</t>
  </si>
  <si>
    <t>伊藤 大和</t>
  </si>
  <si>
    <t>井上 知哉</t>
  </si>
  <si>
    <t>大木 悠嵩</t>
  </si>
  <si>
    <t>小川 幸介</t>
  </si>
  <si>
    <t>田口 裕一</t>
  </si>
  <si>
    <t>谷川 一貴</t>
  </si>
  <si>
    <t>野村 海人</t>
  </si>
  <si>
    <t>橋本 悠司</t>
  </si>
  <si>
    <t>渡辺 悠斗</t>
  </si>
  <si>
    <t>楫野 圭一</t>
  </si>
  <si>
    <t>加藤 秀雄</t>
  </si>
  <si>
    <t>神山 大樹</t>
  </si>
  <si>
    <t>杉山 宣彌</t>
  </si>
  <si>
    <t>矢嶋 優樹</t>
  </si>
  <si>
    <t>山本 義之</t>
  </si>
  <si>
    <t>宮鍋 浩</t>
  </si>
  <si>
    <t>たまこスキーチーム</t>
  </si>
  <si>
    <t>前田 学</t>
  </si>
  <si>
    <t>グレンツェンスキークラブ</t>
  </si>
  <si>
    <t>松嶋 敏泰</t>
  </si>
  <si>
    <t>駒井 洋保</t>
  </si>
  <si>
    <t>湊 義和</t>
  </si>
  <si>
    <t>八木 雅彦</t>
  </si>
  <si>
    <t>大瀧 徹也</t>
  </si>
  <si>
    <t>大野 高峰</t>
  </si>
  <si>
    <t>木村 太郎</t>
  </si>
  <si>
    <t>田中 泰司</t>
  </si>
  <si>
    <t>松本 駿一</t>
  </si>
  <si>
    <t>水口 達史</t>
  </si>
  <si>
    <t>小野 誠三</t>
  </si>
  <si>
    <t>小山 莉王</t>
  </si>
  <si>
    <t>森井 太郎</t>
  </si>
  <si>
    <t>金子 航</t>
  </si>
  <si>
    <t>須藤 公太</t>
  </si>
  <si>
    <t>根岸 良多</t>
  </si>
  <si>
    <t>山本 聖馬</t>
  </si>
  <si>
    <t>寺村 厚</t>
  </si>
  <si>
    <t>河野 正清</t>
  </si>
  <si>
    <t>小松 優馬</t>
  </si>
  <si>
    <t>齋藤 政則</t>
  </si>
  <si>
    <t>佐藤 航士</t>
  </si>
  <si>
    <t>鈴木 一朗</t>
  </si>
  <si>
    <t>鈴木 達朗</t>
  </si>
  <si>
    <t>大塚 健</t>
  </si>
  <si>
    <t>バートン（BURTON）</t>
  </si>
  <si>
    <t>辰巳 大地</t>
  </si>
  <si>
    <t>長野 毅</t>
  </si>
  <si>
    <t>軽井沢千ヶ滝アルペンスキークラブ</t>
  </si>
  <si>
    <t>宮澤 雄大</t>
  </si>
  <si>
    <t>ハルスポーツ</t>
  </si>
  <si>
    <t>河野 優太</t>
  </si>
  <si>
    <t>中西 学</t>
  </si>
  <si>
    <t>Ritzスキークラブ</t>
  </si>
  <si>
    <t>青木 祐介</t>
  </si>
  <si>
    <t>綾井 健太郎</t>
  </si>
  <si>
    <t>井上 幸志</t>
  </si>
  <si>
    <t>遠藤 裕太</t>
  </si>
  <si>
    <t>大田 夏輝</t>
  </si>
  <si>
    <t>表 真司</t>
  </si>
  <si>
    <t>加藤 正巳</t>
  </si>
  <si>
    <t>北島 伸一郎</t>
  </si>
  <si>
    <t>杉崎 徹</t>
  </si>
  <si>
    <t>傳田 悠太郎</t>
  </si>
  <si>
    <t>徳生 将</t>
  </si>
  <si>
    <t>中畑 公輔</t>
  </si>
  <si>
    <t>羽田 慶仁</t>
  </si>
  <si>
    <t>藤澤 賢一</t>
  </si>
  <si>
    <t>山口 慶一郎</t>
  </si>
  <si>
    <t>順位</t>
    <rPh sb="0" eb="2">
      <t>ジュンイ</t>
    </rPh>
    <phoneticPr fontId="2"/>
  </si>
  <si>
    <t>氏名</t>
  </si>
  <si>
    <t>性別</t>
  </si>
  <si>
    <t>２０１６－１７シーズン　ポイントリストＮｏ２</t>
    <phoneticPr fontId="2"/>
  </si>
  <si>
    <t>種目：男子大回転（ＧＳ）</t>
    <rPh sb="0" eb="2">
      <t>シュモク</t>
    </rPh>
    <rPh sb="3" eb="5">
      <t>ダンシ</t>
    </rPh>
    <rPh sb="5" eb="8">
      <t>ダイカイテン</t>
    </rPh>
    <phoneticPr fontId="2"/>
  </si>
  <si>
    <t>男</t>
    <rPh sb="0" eb="1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</si>
</sst>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4"/>
  <sheetViews>
    <sheetView tabSelected="1" workbookViewId="0">
      <selection activeCell="K7" sqref="K7"/>
    </sheetView>
  </sheetViews>
  <sheetFormatPr defaultRowHeight="13.5" x14ac:dyDescent="0.15"/>
  <cols>
    <col min="1" max="1" width="8.125" customWidth="1"/>
    <col min="2" max="2" width="10" customWidth="1"/>
    <col min="3" max="3" width="16.75" customWidth="1"/>
    <col min="4" max="4" width="33.125" customWidth="1"/>
    <col min="5" max="5" width="7.625" style="9" customWidth="1"/>
    <col min="6" max="7" width="10.75" style="2" customWidth="1"/>
    <col min="8" max="8" width="1.375" customWidth="1"/>
  </cols>
  <sheetData>
    <row r="1" spans="1:7" ht="14.25" x14ac:dyDescent="0.15">
      <c r="A1" s="8" t="s">
        <v>1890</v>
      </c>
    </row>
    <row r="2" spans="1:7" ht="14.25" x14ac:dyDescent="0.15">
      <c r="A2" s="8" t="s">
        <v>1891</v>
      </c>
    </row>
    <row r="3" spans="1:7" x14ac:dyDescent="0.15">
      <c r="G3" s="3"/>
    </row>
    <row r="4" spans="1:7" ht="30" customHeight="1" x14ac:dyDescent="0.15">
      <c r="A4" s="6" t="s">
        <v>1887</v>
      </c>
      <c r="B4" s="7" t="s">
        <v>0</v>
      </c>
      <c r="C4" s="7" t="s">
        <v>1888</v>
      </c>
      <c r="D4" s="7" t="s">
        <v>1</v>
      </c>
      <c r="E4" s="6" t="s">
        <v>1889</v>
      </c>
      <c r="F4" s="6" t="s">
        <v>2</v>
      </c>
      <c r="G4" s="6" t="s">
        <v>3</v>
      </c>
    </row>
    <row r="5" spans="1:7" ht="15.75" customHeight="1" x14ac:dyDescent="0.15">
      <c r="A5" s="1">
        <v>1</v>
      </c>
      <c r="B5" s="1">
        <v>87</v>
      </c>
      <c r="C5" s="1" t="s">
        <v>104</v>
      </c>
      <c r="D5" s="1" t="s">
        <v>105</v>
      </c>
      <c r="E5" s="5" t="s">
        <v>1892</v>
      </c>
      <c r="F5" s="4" t="str">
        <f>"0.00"</f>
        <v>0.00</v>
      </c>
      <c r="G5" s="4" t="str">
        <f>"30.96"</f>
        <v>30.96</v>
      </c>
    </row>
    <row r="6" spans="1:7" ht="15.75" customHeight="1" x14ac:dyDescent="0.15">
      <c r="A6" s="1">
        <v>2</v>
      </c>
      <c r="B6" s="1">
        <v>4021</v>
      </c>
      <c r="C6" s="1" t="s">
        <v>129</v>
      </c>
      <c r="D6" s="1" t="s">
        <v>8</v>
      </c>
      <c r="E6" s="5" t="s">
        <v>1892</v>
      </c>
      <c r="F6" s="4" t="str">
        <f>"0.00"</f>
        <v>0.00</v>
      </c>
      <c r="G6" s="4" t="str">
        <f>"0.00"</f>
        <v>0.00</v>
      </c>
    </row>
    <row r="7" spans="1:7" ht="15.75" customHeight="1" x14ac:dyDescent="0.15">
      <c r="A7" s="1">
        <v>3</v>
      </c>
      <c r="B7" s="1">
        <v>1595</v>
      </c>
      <c r="C7" s="1" t="s">
        <v>130</v>
      </c>
      <c r="D7" s="1" t="s">
        <v>44</v>
      </c>
      <c r="E7" s="5" t="s">
        <v>1892</v>
      </c>
      <c r="F7" s="4" t="str">
        <f>"0.00"</f>
        <v>0.00</v>
      </c>
      <c r="G7" s="4" t="str">
        <f>"0.00"</f>
        <v>0.00</v>
      </c>
    </row>
    <row r="8" spans="1:7" ht="15.75" customHeight="1" x14ac:dyDescent="0.15">
      <c r="A8" s="1">
        <v>4</v>
      </c>
      <c r="B8" s="1">
        <v>8401</v>
      </c>
      <c r="C8" s="1" t="s">
        <v>120</v>
      </c>
      <c r="D8" s="1" t="s">
        <v>4</v>
      </c>
      <c r="E8" s="5" t="s">
        <v>1892</v>
      </c>
      <c r="F8" s="4" t="str">
        <f>"5.28"</f>
        <v>5.28</v>
      </c>
      <c r="G8" s="4" t="str">
        <f>"5.28"</f>
        <v>5.28</v>
      </c>
    </row>
    <row r="9" spans="1:7" ht="15.75" customHeight="1" x14ac:dyDescent="0.15">
      <c r="A9" s="1">
        <v>5</v>
      </c>
      <c r="B9" s="1">
        <v>10295</v>
      </c>
      <c r="C9" s="1" t="s">
        <v>244</v>
      </c>
      <c r="D9" s="1" t="s">
        <v>75</v>
      </c>
      <c r="E9" s="5" t="s">
        <v>1892</v>
      </c>
      <c r="F9" s="4" t="str">
        <f>"6.56"</f>
        <v>6.56</v>
      </c>
      <c r="G9" s="4" t="str">
        <f>"6.56"</f>
        <v>6.56</v>
      </c>
    </row>
    <row r="10" spans="1:7" ht="15.75" customHeight="1" x14ac:dyDescent="0.15">
      <c r="A10" s="1">
        <v>6</v>
      </c>
      <c r="B10" s="1">
        <v>2443</v>
      </c>
      <c r="C10" s="1" t="s">
        <v>108</v>
      </c>
      <c r="D10" s="1" t="s">
        <v>7</v>
      </c>
      <c r="E10" s="5" t="s">
        <v>1892</v>
      </c>
      <c r="F10" s="4" t="str">
        <f>"8.00"</f>
        <v>8.00</v>
      </c>
      <c r="G10" s="4" t="str">
        <f>"8.00"</f>
        <v>8.00</v>
      </c>
    </row>
    <row r="11" spans="1:7" ht="15.75" customHeight="1" x14ac:dyDescent="0.15">
      <c r="A11" s="1">
        <v>7</v>
      </c>
      <c r="B11" s="1">
        <v>5105</v>
      </c>
      <c r="C11" s="1" t="s">
        <v>107</v>
      </c>
      <c r="D11" s="1" t="s">
        <v>5</v>
      </c>
      <c r="E11" s="5" t="s">
        <v>1892</v>
      </c>
      <c r="F11" s="4" t="str">
        <f>"10.50"</f>
        <v>10.50</v>
      </c>
      <c r="G11" s="4" t="str">
        <f>"32.63"</f>
        <v>32.63</v>
      </c>
    </row>
    <row r="12" spans="1:7" ht="15.75" customHeight="1" x14ac:dyDescent="0.15">
      <c r="A12" s="1">
        <v>8</v>
      </c>
      <c r="B12" s="1">
        <v>1844</v>
      </c>
      <c r="C12" s="1" t="s">
        <v>109</v>
      </c>
      <c r="D12" s="1" t="s">
        <v>24</v>
      </c>
      <c r="E12" s="5" t="s">
        <v>1892</v>
      </c>
      <c r="F12" s="4" t="str">
        <f>"12.25"</f>
        <v>12.25</v>
      </c>
      <c r="G12" s="4" t="str">
        <f>"12.93"</f>
        <v>12.93</v>
      </c>
    </row>
    <row r="13" spans="1:7" ht="15.75" customHeight="1" x14ac:dyDescent="0.15">
      <c r="A13" s="1">
        <v>9</v>
      </c>
      <c r="B13" s="1">
        <v>3469</v>
      </c>
      <c r="C13" s="1" t="s">
        <v>137</v>
      </c>
      <c r="D13" s="1" t="s">
        <v>102</v>
      </c>
      <c r="E13" s="5" t="s">
        <v>1892</v>
      </c>
      <c r="F13" s="4" t="str">
        <f>"17.44"</f>
        <v>17.44</v>
      </c>
      <c r="G13" s="4" t="str">
        <f>"17.44"</f>
        <v>17.44</v>
      </c>
    </row>
    <row r="14" spans="1:7" ht="15.75" customHeight="1" x14ac:dyDescent="0.15">
      <c r="A14" s="1">
        <v>10</v>
      </c>
      <c r="B14" s="1">
        <v>4948</v>
      </c>
      <c r="C14" s="1" t="s">
        <v>127</v>
      </c>
      <c r="D14" s="1" t="s">
        <v>128</v>
      </c>
      <c r="E14" s="5" t="s">
        <v>1892</v>
      </c>
      <c r="F14" s="4" t="str">
        <f>"18.09"</f>
        <v>18.09</v>
      </c>
      <c r="G14" s="4" t="str">
        <f>"18.09"</f>
        <v>18.09</v>
      </c>
    </row>
    <row r="15" spans="1:7" ht="15.75" customHeight="1" x14ac:dyDescent="0.15">
      <c r="A15" s="1">
        <v>11</v>
      </c>
      <c r="B15" s="1">
        <v>6519</v>
      </c>
      <c r="C15" s="1" t="s">
        <v>149</v>
      </c>
      <c r="D15" s="1" t="s">
        <v>59</v>
      </c>
      <c r="E15" s="5" t="s">
        <v>1892</v>
      </c>
      <c r="F15" s="4" t="str">
        <f>"18.44"</f>
        <v>18.44</v>
      </c>
      <c r="G15" s="4" t="str">
        <f>"18.44"</f>
        <v>18.44</v>
      </c>
    </row>
    <row r="16" spans="1:7" ht="15.75" customHeight="1" x14ac:dyDescent="0.15">
      <c r="A16" s="1">
        <v>12</v>
      </c>
      <c r="B16" s="1">
        <v>6528</v>
      </c>
      <c r="C16" s="1" t="s">
        <v>117</v>
      </c>
      <c r="D16" s="1" t="s">
        <v>8</v>
      </c>
      <c r="E16" s="5" t="s">
        <v>1892</v>
      </c>
      <c r="F16" s="4" t="str">
        <f>"18.77"</f>
        <v>18.77</v>
      </c>
      <c r="G16" s="4" t="str">
        <f>"25.90"</f>
        <v>25.90</v>
      </c>
    </row>
    <row r="17" spans="1:7" ht="15.75" customHeight="1" x14ac:dyDescent="0.15">
      <c r="A17" s="1">
        <v>13</v>
      </c>
      <c r="B17" s="1">
        <v>3292</v>
      </c>
      <c r="C17" s="1" t="s">
        <v>111</v>
      </c>
      <c r="D17" s="1" t="s">
        <v>112</v>
      </c>
      <c r="E17" s="5" t="s">
        <v>1892</v>
      </c>
      <c r="F17" s="4" t="str">
        <f>"19.42"</f>
        <v>19.42</v>
      </c>
      <c r="G17" s="4" t="str">
        <f>"19.42"</f>
        <v>19.42</v>
      </c>
    </row>
    <row r="18" spans="1:7" ht="15.75" customHeight="1" x14ac:dyDescent="0.15">
      <c r="A18" s="1">
        <v>14</v>
      </c>
      <c r="B18" s="1">
        <v>542</v>
      </c>
      <c r="C18" s="1" t="s">
        <v>145</v>
      </c>
      <c r="D18" s="1" t="s">
        <v>146</v>
      </c>
      <c r="E18" s="5" t="s">
        <v>1892</v>
      </c>
      <c r="F18" s="4" t="str">
        <f>"22.14"</f>
        <v>22.14</v>
      </c>
      <c r="G18" s="4" t="str">
        <f>"22.14"</f>
        <v>22.14</v>
      </c>
    </row>
    <row r="19" spans="1:7" ht="15.75" customHeight="1" x14ac:dyDescent="0.15">
      <c r="A19" s="1">
        <v>15</v>
      </c>
      <c r="B19" s="1">
        <v>10683</v>
      </c>
      <c r="C19" s="1" t="s">
        <v>118</v>
      </c>
      <c r="D19" s="1" t="s">
        <v>89</v>
      </c>
      <c r="E19" s="5" t="s">
        <v>1892</v>
      </c>
      <c r="F19" s="4" t="str">
        <f>"22.94"</f>
        <v>22.94</v>
      </c>
      <c r="G19" s="4" t="str">
        <f>"22.94"</f>
        <v>22.94</v>
      </c>
    </row>
    <row r="20" spans="1:7" ht="15.75" customHeight="1" x14ac:dyDescent="0.15">
      <c r="A20" s="1">
        <v>16</v>
      </c>
      <c r="B20" s="1">
        <v>7696</v>
      </c>
      <c r="C20" s="1" t="s">
        <v>110</v>
      </c>
      <c r="D20" s="1" t="s">
        <v>5</v>
      </c>
      <c r="E20" s="5" t="s">
        <v>1892</v>
      </c>
      <c r="F20" s="4" t="str">
        <f>"24.57"</f>
        <v>24.57</v>
      </c>
      <c r="G20" s="4" t="str">
        <f>"57.62"</f>
        <v>57.62</v>
      </c>
    </row>
    <row r="21" spans="1:7" ht="15.75" customHeight="1" x14ac:dyDescent="0.15">
      <c r="A21" s="1">
        <v>17</v>
      </c>
      <c r="B21" s="1">
        <v>3984</v>
      </c>
      <c r="C21" s="1" t="s">
        <v>113</v>
      </c>
      <c r="D21" s="1" t="s">
        <v>76</v>
      </c>
      <c r="E21" s="5" t="s">
        <v>1892</v>
      </c>
      <c r="F21" s="4" t="str">
        <f>"25.80"</f>
        <v>25.80</v>
      </c>
      <c r="G21" s="4" t="str">
        <f>"28.34"</f>
        <v>28.34</v>
      </c>
    </row>
    <row r="22" spans="1:7" ht="15.75" customHeight="1" x14ac:dyDescent="0.15">
      <c r="A22" s="1">
        <v>18</v>
      </c>
      <c r="B22" s="1">
        <v>10238</v>
      </c>
      <c r="C22" s="1" t="s">
        <v>121</v>
      </c>
      <c r="D22" s="1" t="s">
        <v>44</v>
      </c>
      <c r="E22" s="5" t="s">
        <v>1892</v>
      </c>
      <c r="F22" s="4" t="str">
        <f>"26.97"</f>
        <v>26.97</v>
      </c>
      <c r="G22" s="4" t="str">
        <f>"26.97"</f>
        <v>26.97</v>
      </c>
    </row>
    <row r="23" spans="1:7" ht="15.75" customHeight="1" x14ac:dyDescent="0.15">
      <c r="A23" s="1">
        <v>19</v>
      </c>
      <c r="B23" s="1">
        <v>1827</v>
      </c>
      <c r="C23" s="1" t="s">
        <v>115</v>
      </c>
      <c r="D23" s="1" t="s">
        <v>8</v>
      </c>
      <c r="E23" s="5" t="s">
        <v>1892</v>
      </c>
      <c r="F23" s="4" t="str">
        <f>"28.79"</f>
        <v>28.79</v>
      </c>
      <c r="G23" s="4" t="str">
        <f>"46.33"</f>
        <v>46.33</v>
      </c>
    </row>
    <row r="24" spans="1:7" ht="15.75" customHeight="1" x14ac:dyDescent="0.15">
      <c r="A24" s="1">
        <v>20</v>
      </c>
      <c r="B24" s="1">
        <v>11093</v>
      </c>
      <c r="C24" s="1" t="s">
        <v>116</v>
      </c>
      <c r="D24" s="1" t="s">
        <v>5</v>
      </c>
      <c r="E24" s="5" t="s">
        <v>1892</v>
      </c>
      <c r="F24" s="4" t="str">
        <f>"30.91"</f>
        <v>30.91</v>
      </c>
      <c r="G24" s="4"/>
    </row>
    <row r="25" spans="1:7" ht="15.75" customHeight="1" x14ac:dyDescent="0.15">
      <c r="A25" s="1">
        <v>21</v>
      </c>
      <c r="B25" s="1">
        <v>6555</v>
      </c>
      <c r="C25" s="1" t="s">
        <v>140</v>
      </c>
      <c r="D25" s="1" t="s">
        <v>141</v>
      </c>
      <c r="E25" s="5" t="s">
        <v>1892</v>
      </c>
      <c r="F25" s="4" t="str">
        <f>"31.91"</f>
        <v>31.91</v>
      </c>
      <c r="G25" s="4" t="str">
        <f>"31.91"</f>
        <v>31.91</v>
      </c>
    </row>
    <row r="26" spans="1:7" ht="15.75" customHeight="1" x14ac:dyDescent="0.15">
      <c r="A26" s="1">
        <v>22</v>
      </c>
      <c r="B26" s="1">
        <v>2568</v>
      </c>
      <c r="C26" s="1" t="s">
        <v>106</v>
      </c>
      <c r="D26" s="1" t="s">
        <v>4</v>
      </c>
      <c r="E26" s="5" t="s">
        <v>1892</v>
      </c>
      <c r="F26" s="4" t="str">
        <f>"32.59"</f>
        <v>32.59</v>
      </c>
      <c r="G26" s="4" t="str">
        <f>"65.17"</f>
        <v>65.17</v>
      </c>
    </row>
    <row r="27" spans="1:7" ht="15.75" customHeight="1" x14ac:dyDescent="0.15">
      <c r="A27" s="1">
        <v>23</v>
      </c>
      <c r="B27" s="1">
        <v>7820</v>
      </c>
      <c r="C27" s="1" t="s">
        <v>135</v>
      </c>
      <c r="D27" s="1" t="s">
        <v>8</v>
      </c>
      <c r="E27" s="5" t="s">
        <v>1892</v>
      </c>
      <c r="F27" s="4" t="str">
        <f>"33.98"</f>
        <v>33.98</v>
      </c>
      <c r="G27" s="4" t="str">
        <f>"33.98"</f>
        <v>33.98</v>
      </c>
    </row>
    <row r="28" spans="1:7" ht="15.75" customHeight="1" x14ac:dyDescent="0.15">
      <c r="A28" s="1">
        <v>24</v>
      </c>
      <c r="B28" s="1">
        <v>6587</v>
      </c>
      <c r="C28" s="1" t="s">
        <v>119</v>
      </c>
      <c r="D28" s="1" t="s">
        <v>5</v>
      </c>
      <c r="E28" s="5" t="s">
        <v>1892</v>
      </c>
      <c r="F28" s="4" t="str">
        <f>"34.89"</f>
        <v>34.89</v>
      </c>
      <c r="G28" s="4" t="str">
        <f>"56.33"</f>
        <v>56.33</v>
      </c>
    </row>
    <row r="29" spans="1:7" ht="15.75" customHeight="1" x14ac:dyDescent="0.15">
      <c r="A29" s="1">
        <v>25</v>
      </c>
      <c r="B29" s="1">
        <v>6288</v>
      </c>
      <c r="C29" s="1" t="s">
        <v>179</v>
      </c>
      <c r="D29" s="1" t="s">
        <v>8</v>
      </c>
      <c r="E29" s="5" t="s">
        <v>1892</v>
      </c>
      <c r="F29" s="4" t="str">
        <f>"38.66"</f>
        <v>38.66</v>
      </c>
      <c r="G29" s="4" t="str">
        <f>"38.66"</f>
        <v>38.66</v>
      </c>
    </row>
    <row r="30" spans="1:7" ht="15.75" customHeight="1" x14ac:dyDescent="0.15">
      <c r="A30" s="1">
        <v>26</v>
      </c>
      <c r="B30" s="1">
        <v>6163</v>
      </c>
      <c r="C30" s="1" t="s">
        <v>143</v>
      </c>
      <c r="D30" s="1" t="s">
        <v>144</v>
      </c>
      <c r="E30" s="5" t="s">
        <v>1892</v>
      </c>
      <c r="F30" s="4" t="str">
        <f>"39.81"</f>
        <v>39.81</v>
      </c>
      <c r="G30" s="4" t="str">
        <f>"39.81"</f>
        <v>39.81</v>
      </c>
    </row>
    <row r="31" spans="1:7" ht="15.75" customHeight="1" x14ac:dyDescent="0.15">
      <c r="A31" s="1">
        <v>27</v>
      </c>
      <c r="B31" s="1">
        <v>3162</v>
      </c>
      <c r="C31" s="1" t="s">
        <v>172</v>
      </c>
      <c r="D31" s="1" t="s">
        <v>8</v>
      </c>
      <c r="E31" s="5" t="s">
        <v>1892</v>
      </c>
      <c r="F31" s="4" t="str">
        <f>"40.43"</f>
        <v>40.43</v>
      </c>
      <c r="G31" s="4" t="str">
        <f>"40.43"</f>
        <v>40.43</v>
      </c>
    </row>
    <row r="32" spans="1:7" ht="15.75" customHeight="1" x14ac:dyDescent="0.15">
      <c r="A32" s="1">
        <v>28</v>
      </c>
      <c r="B32" s="1">
        <v>10674</v>
      </c>
      <c r="C32" s="1" t="s">
        <v>123</v>
      </c>
      <c r="D32" s="1" t="s">
        <v>124</v>
      </c>
      <c r="E32" s="5" t="s">
        <v>1892</v>
      </c>
      <c r="F32" s="4" t="str">
        <f>"41.06"</f>
        <v>41.06</v>
      </c>
      <c r="G32" s="4" t="str">
        <f>"91.66"</f>
        <v>91.66</v>
      </c>
    </row>
    <row r="33" spans="1:7" ht="15.75" customHeight="1" x14ac:dyDescent="0.15">
      <c r="A33" s="1">
        <v>29</v>
      </c>
      <c r="B33" s="1">
        <v>6269</v>
      </c>
      <c r="C33" s="1" t="s">
        <v>125</v>
      </c>
      <c r="D33" s="1" t="s">
        <v>5</v>
      </c>
      <c r="E33" s="5" t="s">
        <v>1892</v>
      </c>
      <c r="F33" s="4" t="str">
        <f>"41.28"</f>
        <v>41.28</v>
      </c>
      <c r="G33" s="4" t="str">
        <f>"79.21"</f>
        <v>79.21</v>
      </c>
    </row>
    <row r="34" spans="1:7" ht="15.75" customHeight="1" x14ac:dyDescent="0.15">
      <c r="A34" s="1">
        <v>30</v>
      </c>
      <c r="B34" s="1">
        <v>7217</v>
      </c>
      <c r="C34" s="1" t="s">
        <v>189</v>
      </c>
      <c r="D34" s="1" t="s">
        <v>94</v>
      </c>
      <c r="E34" s="5" t="s">
        <v>1892</v>
      </c>
      <c r="F34" s="4" t="str">
        <f>"41.30"</f>
        <v>41.30</v>
      </c>
      <c r="G34" s="4" t="str">
        <f>"41.30"</f>
        <v>41.30</v>
      </c>
    </row>
    <row r="35" spans="1:7" ht="15.75" customHeight="1" x14ac:dyDescent="0.15">
      <c r="A35" s="1">
        <v>31</v>
      </c>
      <c r="B35" s="1">
        <v>4023</v>
      </c>
      <c r="C35" s="1" t="s">
        <v>126</v>
      </c>
      <c r="D35" s="1" t="s">
        <v>5</v>
      </c>
      <c r="E35" s="5" t="s">
        <v>1892</v>
      </c>
      <c r="F35" s="4" t="str">
        <f>"41.87"</f>
        <v>41.87</v>
      </c>
      <c r="G35" s="4" t="str">
        <f>"49.25"</f>
        <v>49.25</v>
      </c>
    </row>
    <row r="36" spans="1:7" ht="15.75" customHeight="1" x14ac:dyDescent="0.15">
      <c r="A36" s="1">
        <v>32</v>
      </c>
      <c r="B36" s="1">
        <v>4158</v>
      </c>
      <c r="C36" s="1" t="s">
        <v>136</v>
      </c>
      <c r="D36" s="1" t="s">
        <v>69</v>
      </c>
      <c r="E36" s="5" t="s">
        <v>1892</v>
      </c>
      <c r="F36" s="4" t="str">
        <f>"42.69"</f>
        <v>42.69</v>
      </c>
      <c r="G36" s="4" t="str">
        <f>"46.22"</f>
        <v>46.22</v>
      </c>
    </row>
    <row r="37" spans="1:7" ht="15.75" customHeight="1" x14ac:dyDescent="0.15">
      <c r="A37" s="1">
        <v>33</v>
      </c>
      <c r="B37" s="1">
        <v>2615</v>
      </c>
      <c r="C37" s="1" t="s">
        <v>132</v>
      </c>
      <c r="D37" s="1" t="s">
        <v>84</v>
      </c>
      <c r="E37" s="5" t="s">
        <v>1892</v>
      </c>
      <c r="F37" s="4" t="str">
        <f>"43.08"</f>
        <v>43.08</v>
      </c>
      <c r="G37" s="4" t="str">
        <f>"58.81"</f>
        <v>58.81</v>
      </c>
    </row>
    <row r="38" spans="1:7" ht="15.75" customHeight="1" x14ac:dyDescent="0.15">
      <c r="A38" s="1">
        <v>34</v>
      </c>
      <c r="B38" s="1">
        <v>10682</v>
      </c>
      <c r="C38" s="1" t="s">
        <v>131</v>
      </c>
      <c r="D38" s="1" t="s">
        <v>23</v>
      </c>
      <c r="E38" s="5" t="s">
        <v>1892</v>
      </c>
      <c r="F38" s="4" t="str">
        <f>"47.52"</f>
        <v>47.52</v>
      </c>
      <c r="G38" s="4" t="str">
        <f>"98.78"</f>
        <v>98.78</v>
      </c>
    </row>
    <row r="39" spans="1:7" ht="15.75" customHeight="1" x14ac:dyDescent="0.15">
      <c r="A39" s="1">
        <v>35</v>
      </c>
      <c r="B39" s="1">
        <v>2154</v>
      </c>
      <c r="C39" s="1" t="s">
        <v>133</v>
      </c>
      <c r="D39" s="1" t="s">
        <v>5</v>
      </c>
      <c r="E39" s="5" t="s">
        <v>1892</v>
      </c>
      <c r="F39" s="4" t="str">
        <f>"48.15"</f>
        <v>48.15</v>
      </c>
      <c r="G39" s="4" t="str">
        <f>"104.20"</f>
        <v>104.20</v>
      </c>
    </row>
    <row r="40" spans="1:7" ht="15.75" customHeight="1" x14ac:dyDescent="0.15">
      <c r="A40" s="1">
        <v>36</v>
      </c>
      <c r="B40" s="1">
        <v>3900</v>
      </c>
      <c r="C40" s="1" t="s">
        <v>160</v>
      </c>
      <c r="D40" s="1" t="s">
        <v>88</v>
      </c>
      <c r="E40" s="5" t="s">
        <v>1892</v>
      </c>
      <c r="F40" s="4" t="str">
        <f>"48.15"</f>
        <v>48.15</v>
      </c>
      <c r="G40" s="4" t="str">
        <f>"48.15"</f>
        <v>48.15</v>
      </c>
    </row>
    <row r="41" spans="1:7" ht="15.75" customHeight="1" x14ac:dyDescent="0.15">
      <c r="A41" s="1">
        <v>37</v>
      </c>
      <c r="B41" s="1">
        <v>5498</v>
      </c>
      <c r="C41" s="1" t="s">
        <v>134</v>
      </c>
      <c r="D41" s="1" t="s">
        <v>5</v>
      </c>
      <c r="E41" s="5" t="s">
        <v>1892</v>
      </c>
      <c r="F41" s="4" t="str">
        <f>"48.70"</f>
        <v>48.70</v>
      </c>
      <c r="G41" s="4" t="str">
        <f>"60.90"</f>
        <v>60.90</v>
      </c>
    </row>
    <row r="42" spans="1:7" ht="15.75" customHeight="1" x14ac:dyDescent="0.15">
      <c r="A42" s="1">
        <v>38</v>
      </c>
      <c r="B42" s="1">
        <v>1938</v>
      </c>
      <c r="C42" s="1" t="s">
        <v>164</v>
      </c>
      <c r="D42" s="1" t="s">
        <v>88</v>
      </c>
      <c r="E42" s="5" t="s">
        <v>1892</v>
      </c>
      <c r="F42" s="4" t="str">
        <f>"49.95"</f>
        <v>49.95</v>
      </c>
      <c r="G42" s="4" t="str">
        <f>"49.95"</f>
        <v>49.95</v>
      </c>
    </row>
    <row r="43" spans="1:7" ht="15.75" customHeight="1" x14ac:dyDescent="0.15">
      <c r="A43" s="1">
        <v>39</v>
      </c>
      <c r="B43" s="1">
        <v>1312</v>
      </c>
      <c r="C43" s="1" t="s">
        <v>184</v>
      </c>
      <c r="D43" s="1" t="s">
        <v>41</v>
      </c>
      <c r="E43" s="5" t="s">
        <v>1892</v>
      </c>
      <c r="F43" s="4" t="str">
        <f>"51.91"</f>
        <v>51.91</v>
      </c>
      <c r="G43" s="4" t="str">
        <f>"51.91"</f>
        <v>51.91</v>
      </c>
    </row>
    <row r="44" spans="1:7" ht="15.75" customHeight="1" x14ac:dyDescent="0.15">
      <c r="A44" s="1">
        <v>40</v>
      </c>
      <c r="B44" s="1">
        <v>2630</v>
      </c>
      <c r="C44" s="1" t="s">
        <v>181</v>
      </c>
      <c r="D44" s="1" t="s">
        <v>62</v>
      </c>
      <c r="E44" s="5" t="s">
        <v>1892</v>
      </c>
      <c r="F44" s="4" t="str">
        <f>"53.15"</f>
        <v>53.15</v>
      </c>
      <c r="G44" s="4" t="str">
        <f>"53.15"</f>
        <v>53.15</v>
      </c>
    </row>
    <row r="45" spans="1:7" ht="15.75" customHeight="1" x14ac:dyDescent="0.15">
      <c r="A45" s="1">
        <v>41</v>
      </c>
      <c r="B45" s="1">
        <v>5421</v>
      </c>
      <c r="C45" s="1" t="s">
        <v>138</v>
      </c>
      <c r="D45" s="1" t="s">
        <v>5</v>
      </c>
      <c r="E45" s="5" t="s">
        <v>1892</v>
      </c>
      <c r="F45" s="4" t="str">
        <f>"53.68"</f>
        <v>53.68</v>
      </c>
      <c r="G45" s="4" t="str">
        <f>"84.70"</f>
        <v>84.70</v>
      </c>
    </row>
    <row r="46" spans="1:7" ht="15.75" customHeight="1" x14ac:dyDescent="0.15">
      <c r="A46" s="1">
        <v>42</v>
      </c>
      <c r="B46" s="1">
        <v>8308</v>
      </c>
      <c r="C46" s="1" t="s">
        <v>163</v>
      </c>
      <c r="D46" s="1" t="s">
        <v>5</v>
      </c>
      <c r="E46" s="5" t="s">
        <v>1892</v>
      </c>
      <c r="F46" s="4" t="str">
        <f>"55.05"</f>
        <v>55.05</v>
      </c>
      <c r="G46" s="4" t="str">
        <f>"55.05"</f>
        <v>55.05</v>
      </c>
    </row>
    <row r="47" spans="1:7" ht="15.75" customHeight="1" x14ac:dyDescent="0.15">
      <c r="A47" s="1">
        <v>43</v>
      </c>
      <c r="B47" s="1">
        <v>3623</v>
      </c>
      <c r="C47" s="1" t="s">
        <v>139</v>
      </c>
      <c r="D47" s="1" t="s">
        <v>49</v>
      </c>
      <c r="E47" s="5" t="s">
        <v>1892</v>
      </c>
      <c r="F47" s="4" t="str">
        <f>"55.39"</f>
        <v>55.39</v>
      </c>
      <c r="G47" s="4" t="str">
        <f>"118.43"</f>
        <v>118.43</v>
      </c>
    </row>
    <row r="48" spans="1:7" ht="15.75" customHeight="1" x14ac:dyDescent="0.15">
      <c r="A48" s="1">
        <v>44</v>
      </c>
      <c r="B48" s="1">
        <v>4168</v>
      </c>
      <c r="C48" s="1" t="s">
        <v>174</v>
      </c>
      <c r="D48" s="1" t="s">
        <v>5</v>
      </c>
      <c r="E48" s="5" t="s">
        <v>1892</v>
      </c>
      <c r="F48" s="4" t="str">
        <f>"56.38"</f>
        <v>56.38</v>
      </c>
      <c r="G48" s="4" t="str">
        <f>"58.27"</f>
        <v>58.27</v>
      </c>
    </row>
    <row r="49" spans="1:7" ht="15.75" customHeight="1" x14ac:dyDescent="0.15">
      <c r="A49" s="1">
        <v>45</v>
      </c>
      <c r="B49" s="1">
        <v>6296</v>
      </c>
      <c r="C49" s="1" t="s">
        <v>142</v>
      </c>
      <c r="D49" s="1" t="s">
        <v>5</v>
      </c>
      <c r="E49" s="5" t="s">
        <v>1892</v>
      </c>
      <c r="F49" s="4" t="str">
        <f>"56.74"</f>
        <v>56.74</v>
      </c>
      <c r="G49" s="4" t="str">
        <f>"82.37"</f>
        <v>82.37</v>
      </c>
    </row>
    <row r="50" spans="1:7" ht="15.75" customHeight="1" x14ac:dyDescent="0.15">
      <c r="A50" s="1">
        <v>46</v>
      </c>
      <c r="B50" s="1">
        <v>7844</v>
      </c>
      <c r="C50" s="1" t="s">
        <v>114</v>
      </c>
      <c r="D50" s="1" t="s">
        <v>19</v>
      </c>
      <c r="E50" s="5" t="s">
        <v>1892</v>
      </c>
      <c r="F50" s="4" t="str">
        <f>"58.24"</f>
        <v>58.24</v>
      </c>
      <c r="G50" s="4" t="str">
        <f>"97.27"</f>
        <v>97.27</v>
      </c>
    </row>
    <row r="51" spans="1:7" ht="15.75" customHeight="1" x14ac:dyDescent="0.15">
      <c r="A51" s="1">
        <v>47</v>
      </c>
      <c r="B51" s="1">
        <v>10262</v>
      </c>
      <c r="C51" s="1" t="s">
        <v>150</v>
      </c>
      <c r="D51" s="1" t="s">
        <v>8</v>
      </c>
      <c r="E51" s="5" t="s">
        <v>1892</v>
      </c>
      <c r="F51" s="4" t="str">
        <f>"59.76"</f>
        <v>59.76</v>
      </c>
      <c r="G51" s="4" t="str">
        <f>"76.09"</f>
        <v>76.09</v>
      </c>
    </row>
    <row r="52" spans="1:7" ht="15.75" customHeight="1" x14ac:dyDescent="0.15">
      <c r="A52" s="1">
        <v>48</v>
      </c>
      <c r="B52" s="1">
        <v>7891</v>
      </c>
      <c r="C52" s="1" t="s">
        <v>147</v>
      </c>
      <c r="D52" s="1" t="s">
        <v>148</v>
      </c>
      <c r="E52" s="5" t="s">
        <v>1892</v>
      </c>
      <c r="F52" s="4" t="str">
        <f>"60.29"</f>
        <v>60.29</v>
      </c>
      <c r="G52" s="4" t="str">
        <f>"82.09"</f>
        <v>82.09</v>
      </c>
    </row>
    <row r="53" spans="1:7" ht="15.75" customHeight="1" x14ac:dyDescent="0.15">
      <c r="A53" s="1">
        <v>49</v>
      </c>
      <c r="B53" s="1">
        <v>3630</v>
      </c>
      <c r="C53" s="1" t="s">
        <v>122</v>
      </c>
      <c r="D53" s="1" t="s">
        <v>8</v>
      </c>
      <c r="E53" s="5" t="s">
        <v>1892</v>
      </c>
      <c r="F53" s="4" t="str">
        <f>"62.73"</f>
        <v>62.73</v>
      </c>
      <c r="G53" s="4" t="str">
        <f>"98.40"</f>
        <v>98.40</v>
      </c>
    </row>
    <row r="54" spans="1:7" ht="15.75" customHeight="1" x14ac:dyDescent="0.15">
      <c r="A54" s="1">
        <v>50</v>
      </c>
      <c r="B54" s="1">
        <v>7883</v>
      </c>
      <c r="C54" s="1" t="s">
        <v>175</v>
      </c>
      <c r="D54" s="1" t="s">
        <v>8</v>
      </c>
      <c r="E54" s="5" t="s">
        <v>1892</v>
      </c>
      <c r="F54" s="4" t="str">
        <f>"62.96"</f>
        <v>62.96</v>
      </c>
      <c r="G54" s="4" t="str">
        <f>"68.45"</f>
        <v>68.45</v>
      </c>
    </row>
    <row r="55" spans="1:7" ht="15.75" customHeight="1" x14ac:dyDescent="0.15">
      <c r="A55" s="1">
        <v>51</v>
      </c>
      <c r="B55" s="1">
        <v>6680</v>
      </c>
      <c r="C55" s="1" t="s">
        <v>151</v>
      </c>
      <c r="D55" s="1" t="s">
        <v>5</v>
      </c>
      <c r="E55" s="5" t="s">
        <v>1892</v>
      </c>
      <c r="F55" s="4" t="str">
        <f>"63.22"</f>
        <v>63.22</v>
      </c>
      <c r="G55" s="4" t="str">
        <f>"83.13"</f>
        <v>83.13</v>
      </c>
    </row>
    <row r="56" spans="1:7" ht="15.75" customHeight="1" x14ac:dyDescent="0.15">
      <c r="A56" s="1">
        <v>52</v>
      </c>
      <c r="B56" s="1">
        <v>6867</v>
      </c>
      <c r="C56" s="1" t="s">
        <v>154</v>
      </c>
      <c r="D56" s="1" t="s">
        <v>6</v>
      </c>
      <c r="E56" s="5" t="s">
        <v>1892</v>
      </c>
      <c r="F56" s="4" t="str">
        <f>"63.78"</f>
        <v>63.78</v>
      </c>
      <c r="G56" s="4" t="str">
        <f>"80.99"</f>
        <v>80.99</v>
      </c>
    </row>
    <row r="57" spans="1:7" ht="15.75" customHeight="1" x14ac:dyDescent="0.15">
      <c r="A57" s="1">
        <v>53</v>
      </c>
      <c r="B57" s="1">
        <v>8329</v>
      </c>
      <c r="C57" s="1" t="s">
        <v>194</v>
      </c>
      <c r="D57" s="1" t="s">
        <v>16</v>
      </c>
      <c r="E57" s="5" t="s">
        <v>1892</v>
      </c>
      <c r="F57" s="4" t="str">
        <f>"64.48"</f>
        <v>64.48</v>
      </c>
      <c r="G57" s="4" t="str">
        <f>"64.48"</f>
        <v>64.48</v>
      </c>
    </row>
    <row r="58" spans="1:7" ht="15.75" customHeight="1" x14ac:dyDescent="0.15">
      <c r="A58" s="1">
        <v>54</v>
      </c>
      <c r="B58" s="1">
        <v>3007</v>
      </c>
      <c r="C58" s="1" t="s">
        <v>198</v>
      </c>
      <c r="D58" s="1" t="s">
        <v>27</v>
      </c>
      <c r="E58" s="5" t="s">
        <v>1892</v>
      </c>
      <c r="F58" s="4" t="str">
        <f>"65.88"</f>
        <v>65.88</v>
      </c>
      <c r="G58" s="4" t="str">
        <f>"65.88"</f>
        <v>65.88</v>
      </c>
    </row>
    <row r="59" spans="1:7" ht="15.75" customHeight="1" x14ac:dyDescent="0.15">
      <c r="A59" s="1">
        <v>55</v>
      </c>
      <c r="B59" s="1">
        <v>7626</v>
      </c>
      <c r="C59" s="1" t="s">
        <v>152</v>
      </c>
      <c r="D59" s="1" t="s">
        <v>148</v>
      </c>
      <c r="E59" s="5" t="s">
        <v>1892</v>
      </c>
      <c r="F59" s="4" t="str">
        <f>"66.17"</f>
        <v>66.17</v>
      </c>
      <c r="G59" s="4" t="str">
        <f>"72.21"</f>
        <v>72.21</v>
      </c>
    </row>
    <row r="60" spans="1:7" ht="15.75" customHeight="1" x14ac:dyDescent="0.15">
      <c r="A60" s="1">
        <v>56</v>
      </c>
      <c r="B60" s="1">
        <v>2635</v>
      </c>
      <c r="C60" s="1" t="s">
        <v>153</v>
      </c>
      <c r="D60" s="1" t="s">
        <v>11</v>
      </c>
      <c r="E60" s="5" t="s">
        <v>1892</v>
      </c>
      <c r="F60" s="4" t="str">
        <f>"66.37"</f>
        <v>66.37</v>
      </c>
      <c r="G60" s="4" t="str">
        <f>"85.33"</f>
        <v>85.33</v>
      </c>
    </row>
    <row r="61" spans="1:7" ht="15.75" customHeight="1" x14ac:dyDescent="0.15">
      <c r="A61" s="1">
        <v>57</v>
      </c>
      <c r="B61" s="1">
        <v>3479</v>
      </c>
      <c r="C61" s="1" t="s">
        <v>165</v>
      </c>
      <c r="D61" s="1" t="s">
        <v>60</v>
      </c>
      <c r="E61" s="5" t="s">
        <v>1892</v>
      </c>
      <c r="F61" s="4" t="str">
        <f>"67.09"</f>
        <v>67.09</v>
      </c>
      <c r="G61" s="4" t="str">
        <f>"67.09"</f>
        <v>67.09</v>
      </c>
    </row>
    <row r="62" spans="1:7" ht="15.75" customHeight="1" x14ac:dyDescent="0.15">
      <c r="A62" s="1">
        <v>58</v>
      </c>
      <c r="B62" s="1">
        <v>10107</v>
      </c>
      <c r="C62" s="1" t="s">
        <v>155</v>
      </c>
      <c r="D62" s="1" t="s">
        <v>156</v>
      </c>
      <c r="E62" s="5" t="s">
        <v>1892</v>
      </c>
      <c r="F62" s="4" t="str">
        <f>"67.31"</f>
        <v>67.31</v>
      </c>
      <c r="G62" s="4" t="str">
        <f>"287.89"</f>
        <v>287.89</v>
      </c>
    </row>
    <row r="63" spans="1:7" ht="15.75" customHeight="1" x14ac:dyDescent="0.15">
      <c r="A63" s="1">
        <v>59</v>
      </c>
      <c r="B63" s="1">
        <v>9114</v>
      </c>
      <c r="C63" s="1" t="s">
        <v>157</v>
      </c>
      <c r="D63" s="1" t="s">
        <v>35</v>
      </c>
      <c r="E63" s="5" t="s">
        <v>1892</v>
      </c>
      <c r="F63" s="4" t="str">
        <f>"67.48"</f>
        <v>67.48</v>
      </c>
      <c r="G63" s="4" t="str">
        <f>"90.29"</f>
        <v>90.29</v>
      </c>
    </row>
    <row r="64" spans="1:7" ht="15.75" customHeight="1" x14ac:dyDescent="0.15">
      <c r="A64" s="1">
        <v>60</v>
      </c>
      <c r="B64" s="1">
        <v>6289</v>
      </c>
      <c r="C64" s="1" t="s">
        <v>158</v>
      </c>
      <c r="D64" s="1" t="s">
        <v>93</v>
      </c>
      <c r="E64" s="5" t="s">
        <v>1892</v>
      </c>
      <c r="F64" s="4" t="str">
        <f>"68.01"</f>
        <v>68.01</v>
      </c>
      <c r="G64" s="4" t="str">
        <f>"72.49"</f>
        <v>72.49</v>
      </c>
    </row>
    <row r="65" spans="1:7" ht="15.75" customHeight="1" x14ac:dyDescent="0.15">
      <c r="A65" s="1">
        <v>61</v>
      </c>
      <c r="B65" s="1">
        <v>3120</v>
      </c>
      <c r="C65" s="1" t="s">
        <v>204</v>
      </c>
      <c r="D65" s="1" t="s">
        <v>4</v>
      </c>
      <c r="E65" s="5" t="s">
        <v>1892</v>
      </c>
      <c r="F65" s="4" t="str">
        <f>"68.22"</f>
        <v>68.22</v>
      </c>
      <c r="G65" s="4" t="str">
        <f>"68.22"</f>
        <v>68.22</v>
      </c>
    </row>
    <row r="66" spans="1:7" ht="15.75" customHeight="1" x14ac:dyDescent="0.15">
      <c r="A66" s="1">
        <v>62</v>
      </c>
      <c r="B66" s="1">
        <v>7835</v>
      </c>
      <c r="C66" s="1" t="s">
        <v>178</v>
      </c>
      <c r="D66" s="1" t="s">
        <v>6</v>
      </c>
      <c r="E66" s="5" t="s">
        <v>1892</v>
      </c>
      <c r="F66" s="4" t="str">
        <f>"68.75"</f>
        <v>68.75</v>
      </c>
      <c r="G66" s="4" t="str">
        <f>"68.75"</f>
        <v>68.75</v>
      </c>
    </row>
    <row r="67" spans="1:7" ht="15.75" customHeight="1" x14ac:dyDescent="0.15">
      <c r="A67" s="1">
        <v>63</v>
      </c>
      <c r="B67" s="1">
        <v>5455</v>
      </c>
      <c r="C67" s="1" t="s">
        <v>159</v>
      </c>
      <c r="D67" s="1" t="s">
        <v>18</v>
      </c>
      <c r="E67" s="5" t="s">
        <v>1892</v>
      </c>
      <c r="F67" s="4" t="str">
        <f>"68.83"</f>
        <v>68.83</v>
      </c>
      <c r="G67" s="4" t="str">
        <f>"76.04"</f>
        <v>76.04</v>
      </c>
    </row>
    <row r="68" spans="1:7" ht="15.75" customHeight="1" x14ac:dyDescent="0.15">
      <c r="A68" s="1">
        <v>64</v>
      </c>
      <c r="B68" s="1">
        <v>934</v>
      </c>
      <c r="C68" s="1" t="s">
        <v>209</v>
      </c>
      <c r="D68" s="1" t="s">
        <v>8</v>
      </c>
      <c r="E68" s="5" t="s">
        <v>1892</v>
      </c>
      <c r="F68" s="4" t="str">
        <f>"68.83"</f>
        <v>68.83</v>
      </c>
      <c r="G68" s="4" t="str">
        <f>"68.83"</f>
        <v>68.83</v>
      </c>
    </row>
    <row r="69" spans="1:7" ht="15.75" customHeight="1" x14ac:dyDescent="0.15">
      <c r="A69" s="1">
        <v>65</v>
      </c>
      <c r="B69" s="1">
        <v>10272</v>
      </c>
      <c r="C69" s="1" t="s">
        <v>213</v>
      </c>
      <c r="D69" s="1" t="s">
        <v>8</v>
      </c>
      <c r="E69" s="5" t="s">
        <v>1892</v>
      </c>
      <c r="F69" s="4" t="str">
        <f>"70.16"</f>
        <v>70.16</v>
      </c>
      <c r="G69" s="4" t="str">
        <f>"70.16"</f>
        <v>70.16</v>
      </c>
    </row>
    <row r="70" spans="1:7" ht="15.75" customHeight="1" x14ac:dyDescent="0.15">
      <c r="A70" s="1">
        <v>66</v>
      </c>
      <c r="B70" s="1">
        <v>4893</v>
      </c>
      <c r="C70" s="1" t="s">
        <v>161</v>
      </c>
      <c r="D70" s="1" t="s">
        <v>6</v>
      </c>
      <c r="E70" s="5" t="s">
        <v>1892</v>
      </c>
      <c r="F70" s="4" t="str">
        <f>"70.19"</f>
        <v>70.19</v>
      </c>
      <c r="G70" s="4" t="str">
        <f>"92.26"</f>
        <v>92.26</v>
      </c>
    </row>
    <row r="71" spans="1:7" ht="15.75" customHeight="1" x14ac:dyDescent="0.15">
      <c r="A71" s="1">
        <v>67</v>
      </c>
      <c r="B71" s="1">
        <v>7834</v>
      </c>
      <c r="C71" s="1" t="s">
        <v>162</v>
      </c>
      <c r="D71" s="1" t="s">
        <v>5</v>
      </c>
      <c r="E71" s="5" t="s">
        <v>1892</v>
      </c>
      <c r="F71" s="4" t="str">
        <f>"70.32"</f>
        <v>70.32</v>
      </c>
      <c r="G71" s="4" t="str">
        <f>"140.04"</f>
        <v>140.04</v>
      </c>
    </row>
    <row r="72" spans="1:7" ht="15.75" customHeight="1" x14ac:dyDescent="0.15">
      <c r="A72" s="1">
        <v>68</v>
      </c>
      <c r="B72" s="1">
        <v>2453</v>
      </c>
      <c r="C72" s="1" t="s">
        <v>222</v>
      </c>
      <c r="D72" s="1" t="s">
        <v>66</v>
      </c>
      <c r="E72" s="5" t="s">
        <v>1892</v>
      </c>
      <c r="F72" s="4" t="str">
        <f>"71.11"</f>
        <v>71.11</v>
      </c>
      <c r="G72" s="4" t="str">
        <f>"71.11"</f>
        <v>71.11</v>
      </c>
    </row>
    <row r="73" spans="1:7" ht="15.75" customHeight="1" x14ac:dyDescent="0.15">
      <c r="A73" s="1">
        <v>69</v>
      </c>
      <c r="B73" s="1">
        <v>5199</v>
      </c>
      <c r="C73" s="1" t="s">
        <v>185</v>
      </c>
      <c r="D73" s="1" t="s">
        <v>49</v>
      </c>
      <c r="E73" s="5" t="s">
        <v>1892</v>
      </c>
      <c r="F73" s="4" t="str">
        <f>"71.34"</f>
        <v>71.34</v>
      </c>
      <c r="G73" s="4" t="str">
        <f>"85.06"</f>
        <v>85.06</v>
      </c>
    </row>
    <row r="74" spans="1:7" ht="15.75" customHeight="1" x14ac:dyDescent="0.15">
      <c r="A74" s="1">
        <v>70</v>
      </c>
      <c r="B74" s="1">
        <v>9384</v>
      </c>
      <c r="C74" s="1" t="s">
        <v>191</v>
      </c>
      <c r="D74" s="1" t="s">
        <v>27</v>
      </c>
      <c r="E74" s="5" t="s">
        <v>1892</v>
      </c>
      <c r="F74" s="4" t="str">
        <f>"71.91"</f>
        <v>71.91</v>
      </c>
      <c r="G74" s="4" t="str">
        <f>"71.91"</f>
        <v>71.91</v>
      </c>
    </row>
    <row r="75" spans="1:7" ht="15.75" customHeight="1" x14ac:dyDescent="0.15">
      <c r="A75" s="1">
        <v>71</v>
      </c>
      <c r="B75" s="1">
        <v>6295</v>
      </c>
      <c r="C75" s="1" t="s">
        <v>203</v>
      </c>
      <c r="D75" s="1" t="s">
        <v>29</v>
      </c>
      <c r="E75" s="5" t="s">
        <v>1892</v>
      </c>
      <c r="F75" s="4" t="str">
        <f>"72.58"</f>
        <v>72.58</v>
      </c>
      <c r="G75" s="4" t="str">
        <f>"77.30"</f>
        <v>77.30</v>
      </c>
    </row>
    <row r="76" spans="1:7" ht="15.75" customHeight="1" x14ac:dyDescent="0.15">
      <c r="A76" s="1">
        <v>72</v>
      </c>
      <c r="B76" s="1">
        <v>1768</v>
      </c>
      <c r="C76" s="1" t="s">
        <v>214</v>
      </c>
      <c r="D76" s="1" t="s">
        <v>29</v>
      </c>
      <c r="E76" s="5" t="s">
        <v>1892</v>
      </c>
      <c r="F76" s="4" t="str">
        <f>"73.40"</f>
        <v>73.40</v>
      </c>
      <c r="G76" s="4" t="str">
        <f>"73.40"</f>
        <v>73.40</v>
      </c>
    </row>
    <row r="77" spans="1:7" ht="15.75" customHeight="1" x14ac:dyDescent="0.15">
      <c r="A77" s="1">
        <v>73</v>
      </c>
      <c r="B77" s="1">
        <v>11090</v>
      </c>
      <c r="C77" s="1" t="s">
        <v>166</v>
      </c>
      <c r="D77" s="1" t="s">
        <v>167</v>
      </c>
      <c r="E77" s="5" t="s">
        <v>1892</v>
      </c>
      <c r="F77" s="4" t="str">
        <f>"73.71"</f>
        <v>73.71</v>
      </c>
      <c r="G77" s="4"/>
    </row>
    <row r="78" spans="1:7" ht="15.75" customHeight="1" x14ac:dyDescent="0.15">
      <c r="A78" s="1">
        <v>74</v>
      </c>
      <c r="B78" s="1">
        <v>10660</v>
      </c>
      <c r="C78" s="1" t="s">
        <v>245</v>
      </c>
      <c r="D78" s="1" t="s">
        <v>8</v>
      </c>
      <c r="E78" s="5" t="s">
        <v>1892</v>
      </c>
      <c r="F78" s="4" t="str">
        <f>"73.77"</f>
        <v>73.77</v>
      </c>
      <c r="G78" s="4" t="str">
        <f>"73.77"</f>
        <v>73.77</v>
      </c>
    </row>
    <row r="79" spans="1:7" ht="15.75" customHeight="1" x14ac:dyDescent="0.15">
      <c r="A79" s="1">
        <v>75</v>
      </c>
      <c r="B79" s="1">
        <v>1858</v>
      </c>
      <c r="C79" s="1" t="s">
        <v>168</v>
      </c>
      <c r="D79" s="1" t="s">
        <v>169</v>
      </c>
      <c r="E79" s="5" t="s">
        <v>1892</v>
      </c>
      <c r="F79" s="4" t="str">
        <f>"74.41"</f>
        <v>74.41</v>
      </c>
      <c r="G79" s="4" t="str">
        <f>"94.71"</f>
        <v>94.71</v>
      </c>
    </row>
    <row r="80" spans="1:7" ht="15.75" customHeight="1" x14ac:dyDescent="0.15">
      <c r="A80" s="1">
        <v>76</v>
      </c>
      <c r="B80" s="1">
        <v>6861</v>
      </c>
      <c r="C80" s="1" t="s">
        <v>170</v>
      </c>
      <c r="D80" s="1" t="s">
        <v>19</v>
      </c>
      <c r="E80" s="5" t="s">
        <v>1892</v>
      </c>
      <c r="F80" s="4" t="str">
        <f>"75.07"</f>
        <v>75.07</v>
      </c>
      <c r="G80" s="4" t="str">
        <f>"82.02"</f>
        <v>82.02</v>
      </c>
    </row>
    <row r="81" spans="1:7" ht="15.75" customHeight="1" x14ac:dyDescent="0.15">
      <c r="A81" s="1">
        <v>77</v>
      </c>
      <c r="B81" s="1">
        <v>5010</v>
      </c>
      <c r="C81" s="1" t="s">
        <v>303</v>
      </c>
      <c r="D81" s="1" t="s">
        <v>8</v>
      </c>
      <c r="E81" s="5" t="s">
        <v>1892</v>
      </c>
      <c r="F81" s="4" t="str">
        <f>"75.67"</f>
        <v>75.67</v>
      </c>
      <c r="G81" s="4" t="str">
        <f>"75.67"</f>
        <v>75.67</v>
      </c>
    </row>
    <row r="82" spans="1:7" ht="15.75" customHeight="1" x14ac:dyDescent="0.15">
      <c r="A82" s="1">
        <v>78</v>
      </c>
      <c r="B82" s="1">
        <v>8478</v>
      </c>
      <c r="C82" s="1" t="s">
        <v>240</v>
      </c>
      <c r="D82" s="1" t="s">
        <v>5</v>
      </c>
      <c r="E82" s="5" t="s">
        <v>1892</v>
      </c>
      <c r="F82" s="4" t="str">
        <f>"77.77"</f>
        <v>77.77</v>
      </c>
      <c r="G82" s="4" t="str">
        <f>"77.77"</f>
        <v>77.77</v>
      </c>
    </row>
    <row r="83" spans="1:7" ht="15.75" customHeight="1" x14ac:dyDescent="0.15">
      <c r="A83" s="1">
        <v>79</v>
      </c>
      <c r="B83" s="1">
        <v>10040</v>
      </c>
      <c r="C83" s="1" t="s">
        <v>171</v>
      </c>
      <c r="D83" s="1" t="s">
        <v>8</v>
      </c>
      <c r="E83" s="5" t="s">
        <v>1892</v>
      </c>
      <c r="F83" s="4" t="str">
        <f>"78.11"</f>
        <v>78.11</v>
      </c>
      <c r="G83" s="4" t="str">
        <f>"111.65"</f>
        <v>111.65</v>
      </c>
    </row>
    <row r="84" spans="1:7" ht="15.75" customHeight="1" x14ac:dyDescent="0.15">
      <c r="A84" s="1">
        <v>80</v>
      </c>
      <c r="B84" s="1">
        <v>10669</v>
      </c>
      <c r="C84" s="1" t="s">
        <v>173</v>
      </c>
      <c r="D84" s="1" t="s">
        <v>8</v>
      </c>
      <c r="E84" s="5" t="s">
        <v>1892</v>
      </c>
      <c r="F84" s="4" t="str">
        <f>"78.35"</f>
        <v>78.35</v>
      </c>
      <c r="G84" s="4" t="str">
        <f>"98.54"</f>
        <v>98.54</v>
      </c>
    </row>
    <row r="85" spans="1:7" ht="15.75" customHeight="1" x14ac:dyDescent="0.15">
      <c r="A85" s="1">
        <v>81</v>
      </c>
      <c r="B85" s="1">
        <v>2847</v>
      </c>
      <c r="C85" s="1" t="s">
        <v>227</v>
      </c>
      <c r="D85" s="1" t="s">
        <v>87</v>
      </c>
      <c r="E85" s="5" t="s">
        <v>1892</v>
      </c>
      <c r="F85" s="4" t="str">
        <f>"78.47"</f>
        <v>78.47</v>
      </c>
      <c r="G85" s="4" t="str">
        <f>"78.47"</f>
        <v>78.47</v>
      </c>
    </row>
    <row r="86" spans="1:7" ht="15.75" customHeight="1" x14ac:dyDescent="0.15">
      <c r="A86" s="1">
        <v>82</v>
      </c>
      <c r="B86" s="1">
        <v>10507</v>
      </c>
      <c r="C86" s="1" t="s">
        <v>241</v>
      </c>
      <c r="D86" s="1" t="s">
        <v>19</v>
      </c>
      <c r="E86" s="5" t="s">
        <v>1892</v>
      </c>
      <c r="F86" s="4" t="str">
        <f>"79.39"</f>
        <v>79.39</v>
      </c>
      <c r="G86" s="4" t="str">
        <f>"80.83"</f>
        <v>80.83</v>
      </c>
    </row>
    <row r="87" spans="1:7" ht="15.75" customHeight="1" x14ac:dyDescent="0.15">
      <c r="A87" s="1">
        <v>83</v>
      </c>
      <c r="B87" s="1">
        <v>3088</v>
      </c>
      <c r="C87" s="1" t="s">
        <v>177</v>
      </c>
      <c r="D87" s="1" t="s">
        <v>11</v>
      </c>
      <c r="E87" s="5" t="s">
        <v>1892</v>
      </c>
      <c r="F87" s="4" t="str">
        <f>"79.55"</f>
        <v>79.55</v>
      </c>
      <c r="G87" s="4" t="str">
        <f>"94.57"</f>
        <v>94.57</v>
      </c>
    </row>
    <row r="88" spans="1:7" ht="15.75" customHeight="1" x14ac:dyDescent="0.15">
      <c r="A88" s="1">
        <v>84</v>
      </c>
      <c r="B88" s="1">
        <v>9392</v>
      </c>
      <c r="C88" s="1" t="s">
        <v>176</v>
      </c>
      <c r="D88" s="1" t="s">
        <v>93</v>
      </c>
      <c r="E88" s="5" t="s">
        <v>1892</v>
      </c>
      <c r="F88" s="4" t="str">
        <f>"79.72"</f>
        <v>79.72</v>
      </c>
      <c r="G88" s="4" t="str">
        <f>"104.21"</f>
        <v>104.21</v>
      </c>
    </row>
    <row r="89" spans="1:7" ht="15.75" customHeight="1" x14ac:dyDescent="0.15">
      <c r="A89" s="1">
        <v>85</v>
      </c>
      <c r="B89" s="1">
        <v>5739</v>
      </c>
      <c r="C89" s="1" t="s">
        <v>219</v>
      </c>
      <c r="D89" s="1" t="s">
        <v>19</v>
      </c>
      <c r="E89" s="5" t="s">
        <v>1892</v>
      </c>
      <c r="F89" s="4" t="str">
        <f>"80.05"</f>
        <v>80.05</v>
      </c>
      <c r="G89" s="4" t="str">
        <f>"89.58"</f>
        <v>89.58</v>
      </c>
    </row>
    <row r="90" spans="1:7" ht="15.75" customHeight="1" x14ac:dyDescent="0.15">
      <c r="A90" s="1">
        <v>86</v>
      </c>
      <c r="B90" s="1">
        <v>5096</v>
      </c>
      <c r="C90" s="1" t="s">
        <v>246</v>
      </c>
      <c r="D90" s="1" t="s">
        <v>24</v>
      </c>
      <c r="E90" s="5" t="s">
        <v>1892</v>
      </c>
      <c r="F90" s="4" t="str">
        <f>"80.06"</f>
        <v>80.06</v>
      </c>
      <c r="G90" s="4" t="str">
        <f>"80.06"</f>
        <v>80.06</v>
      </c>
    </row>
    <row r="91" spans="1:7" ht="15.75" customHeight="1" x14ac:dyDescent="0.15">
      <c r="A91" s="1">
        <v>87</v>
      </c>
      <c r="B91" s="1">
        <v>3287</v>
      </c>
      <c r="C91" s="1" t="s">
        <v>247</v>
      </c>
      <c r="D91" s="1" t="s">
        <v>30</v>
      </c>
      <c r="E91" s="5" t="s">
        <v>1892</v>
      </c>
      <c r="F91" s="4" t="str">
        <f>"80.17"</f>
        <v>80.17</v>
      </c>
      <c r="G91" s="4" t="str">
        <f>"80.17"</f>
        <v>80.17</v>
      </c>
    </row>
    <row r="92" spans="1:7" ht="15.75" customHeight="1" x14ac:dyDescent="0.15">
      <c r="A92" s="1">
        <v>88</v>
      </c>
      <c r="B92" s="1">
        <v>4341</v>
      </c>
      <c r="C92" s="1" t="s">
        <v>290</v>
      </c>
      <c r="D92" s="1" t="s">
        <v>20</v>
      </c>
      <c r="E92" s="5" t="s">
        <v>1892</v>
      </c>
      <c r="F92" s="4" t="str">
        <f>"80.37"</f>
        <v>80.37</v>
      </c>
      <c r="G92" s="4" t="str">
        <f>"80.37"</f>
        <v>80.37</v>
      </c>
    </row>
    <row r="93" spans="1:7" ht="15.75" customHeight="1" x14ac:dyDescent="0.15">
      <c r="A93" s="1">
        <v>89</v>
      </c>
      <c r="B93" s="1">
        <v>6282</v>
      </c>
      <c r="C93" s="1" t="s">
        <v>249</v>
      </c>
      <c r="D93" s="1" t="s">
        <v>250</v>
      </c>
      <c r="E93" s="5" t="s">
        <v>1892</v>
      </c>
      <c r="F93" s="4" t="str">
        <f>"81.14"</f>
        <v>81.14</v>
      </c>
      <c r="G93" s="4" t="str">
        <f>"81.14"</f>
        <v>81.14</v>
      </c>
    </row>
    <row r="94" spans="1:7" ht="15.75" customHeight="1" x14ac:dyDescent="0.15">
      <c r="A94" s="1">
        <v>90</v>
      </c>
      <c r="B94" s="1">
        <v>3961</v>
      </c>
      <c r="C94" s="1" t="s">
        <v>251</v>
      </c>
      <c r="D94" s="1" t="s">
        <v>5</v>
      </c>
      <c r="E94" s="5" t="s">
        <v>1892</v>
      </c>
      <c r="F94" s="4" t="str">
        <f>"81.23"</f>
        <v>81.23</v>
      </c>
      <c r="G94" s="4" t="str">
        <f>"81.23"</f>
        <v>81.23</v>
      </c>
    </row>
    <row r="95" spans="1:7" ht="15.75" customHeight="1" x14ac:dyDescent="0.15">
      <c r="A95" s="1">
        <v>91</v>
      </c>
      <c r="B95" s="1">
        <v>3299</v>
      </c>
      <c r="C95" s="1" t="s">
        <v>252</v>
      </c>
      <c r="D95" s="1" t="s">
        <v>27</v>
      </c>
      <c r="E95" s="5" t="s">
        <v>1892</v>
      </c>
      <c r="F95" s="4" t="str">
        <f>"81.28"</f>
        <v>81.28</v>
      </c>
      <c r="G95" s="4" t="str">
        <f>"81.28"</f>
        <v>81.28</v>
      </c>
    </row>
    <row r="96" spans="1:7" ht="15.75" customHeight="1" x14ac:dyDescent="0.15">
      <c r="A96" s="1">
        <v>92</v>
      </c>
      <c r="B96" s="1">
        <v>8319</v>
      </c>
      <c r="C96" s="1" t="s">
        <v>377</v>
      </c>
      <c r="D96" s="1" t="s">
        <v>34</v>
      </c>
      <c r="E96" s="5" t="s">
        <v>1892</v>
      </c>
      <c r="F96" s="4" t="str">
        <f>"81.47"</f>
        <v>81.47</v>
      </c>
      <c r="G96" s="4" t="str">
        <f>"81.47"</f>
        <v>81.47</v>
      </c>
    </row>
    <row r="97" spans="1:7" ht="15.75" customHeight="1" x14ac:dyDescent="0.15">
      <c r="A97" s="1">
        <v>93</v>
      </c>
      <c r="B97" s="1">
        <v>1174</v>
      </c>
      <c r="C97" s="1" t="s">
        <v>195</v>
      </c>
      <c r="D97" s="1" t="s">
        <v>93</v>
      </c>
      <c r="E97" s="5" t="s">
        <v>1892</v>
      </c>
      <c r="F97" s="4" t="str">
        <f>"81.53"</f>
        <v>81.53</v>
      </c>
      <c r="G97" s="4" t="str">
        <f>"81.53"</f>
        <v>81.53</v>
      </c>
    </row>
    <row r="98" spans="1:7" ht="15.75" customHeight="1" x14ac:dyDescent="0.15">
      <c r="A98" s="1">
        <v>94</v>
      </c>
      <c r="B98" s="1">
        <v>5388</v>
      </c>
      <c r="C98" s="1" t="s">
        <v>254</v>
      </c>
      <c r="D98" s="1" t="s">
        <v>255</v>
      </c>
      <c r="E98" s="5" t="s">
        <v>1892</v>
      </c>
      <c r="F98" s="4" t="str">
        <f>"82.06"</f>
        <v>82.06</v>
      </c>
      <c r="G98" s="4" t="str">
        <f>"82.06"</f>
        <v>82.06</v>
      </c>
    </row>
    <row r="99" spans="1:7" ht="15.75" customHeight="1" x14ac:dyDescent="0.15">
      <c r="A99" s="1">
        <v>95</v>
      </c>
      <c r="B99" s="1">
        <v>1836</v>
      </c>
      <c r="C99" s="1" t="s">
        <v>436</v>
      </c>
      <c r="D99" s="1" t="s">
        <v>16</v>
      </c>
      <c r="E99" s="5" t="s">
        <v>1892</v>
      </c>
      <c r="F99" s="4" t="str">
        <f>"82.11"</f>
        <v>82.11</v>
      </c>
      <c r="G99" s="4" t="str">
        <f>"82.11"</f>
        <v>82.11</v>
      </c>
    </row>
    <row r="100" spans="1:7" ht="15.75" customHeight="1" x14ac:dyDescent="0.15">
      <c r="A100" s="1">
        <v>96</v>
      </c>
      <c r="B100" s="1">
        <v>6535</v>
      </c>
      <c r="C100" s="1" t="s">
        <v>215</v>
      </c>
      <c r="D100" s="1" t="s">
        <v>216</v>
      </c>
      <c r="E100" s="5" t="s">
        <v>1892</v>
      </c>
      <c r="F100" s="4" t="str">
        <f>"82.90"</f>
        <v>82.90</v>
      </c>
      <c r="G100" s="4" t="str">
        <f>"82.90"</f>
        <v>82.90</v>
      </c>
    </row>
    <row r="101" spans="1:7" ht="15.75" customHeight="1" x14ac:dyDescent="0.15">
      <c r="A101" s="1">
        <v>97</v>
      </c>
      <c r="B101" s="1">
        <v>9052</v>
      </c>
      <c r="C101" s="1" t="s">
        <v>180</v>
      </c>
      <c r="D101" s="1" t="s">
        <v>11</v>
      </c>
      <c r="E101" s="5" t="s">
        <v>1892</v>
      </c>
      <c r="F101" s="4" t="str">
        <f>"83.30"</f>
        <v>83.30</v>
      </c>
      <c r="G101" s="4" t="str">
        <f>"134.34"</f>
        <v>134.34</v>
      </c>
    </row>
    <row r="102" spans="1:7" ht="15.75" customHeight="1" x14ac:dyDescent="0.15">
      <c r="A102" s="1">
        <v>98</v>
      </c>
      <c r="B102" s="1">
        <v>696</v>
      </c>
      <c r="C102" s="1" t="s">
        <v>258</v>
      </c>
      <c r="D102" s="1" t="s">
        <v>40</v>
      </c>
      <c r="E102" s="5" t="s">
        <v>1892</v>
      </c>
      <c r="F102" s="4" t="str">
        <f>"83.77"</f>
        <v>83.77</v>
      </c>
      <c r="G102" s="4" t="str">
        <f>"83.77"</f>
        <v>83.77</v>
      </c>
    </row>
    <row r="103" spans="1:7" ht="15.75" customHeight="1" x14ac:dyDescent="0.15">
      <c r="A103" s="1">
        <v>99</v>
      </c>
      <c r="B103" s="1">
        <v>4883</v>
      </c>
      <c r="C103" s="1" t="s">
        <v>182</v>
      </c>
      <c r="D103" s="1" t="s">
        <v>87</v>
      </c>
      <c r="E103" s="5" t="s">
        <v>1892</v>
      </c>
      <c r="F103" s="4" t="str">
        <f>"84.19"</f>
        <v>84.19</v>
      </c>
      <c r="G103" s="4" t="str">
        <f>"214.94"</f>
        <v>214.94</v>
      </c>
    </row>
    <row r="104" spans="1:7" ht="15.75" customHeight="1" x14ac:dyDescent="0.15">
      <c r="A104" s="1">
        <v>100</v>
      </c>
      <c r="B104" s="1">
        <v>6307</v>
      </c>
      <c r="C104" s="1" t="s">
        <v>183</v>
      </c>
      <c r="D104" s="1" t="s">
        <v>5</v>
      </c>
      <c r="E104" s="5" t="s">
        <v>1892</v>
      </c>
      <c r="F104" s="4" t="str">
        <f>"84.25"</f>
        <v>84.25</v>
      </c>
      <c r="G104" s="4" t="str">
        <f>"135.81"</f>
        <v>135.81</v>
      </c>
    </row>
    <row r="105" spans="1:7" ht="15.75" customHeight="1" x14ac:dyDescent="0.15">
      <c r="A105" s="1">
        <v>101</v>
      </c>
      <c r="B105" s="1">
        <v>6967</v>
      </c>
      <c r="C105" s="1" t="s">
        <v>239</v>
      </c>
      <c r="D105" s="1" t="s">
        <v>76</v>
      </c>
      <c r="E105" s="5" t="s">
        <v>1892</v>
      </c>
      <c r="F105" s="4" t="str">
        <f>"84.49"</f>
        <v>84.49</v>
      </c>
      <c r="G105" s="4" t="str">
        <f>"84.49"</f>
        <v>84.49</v>
      </c>
    </row>
    <row r="106" spans="1:7" ht="15.75" customHeight="1" x14ac:dyDescent="0.15">
      <c r="A106" s="1">
        <v>102</v>
      </c>
      <c r="B106" s="1">
        <v>4030</v>
      </c>
      <c r="C106" s="1" t="s">
        <v>263</v>
      </c>
      <c r="D106" s="1" t="s">
        <v>6</v>
      </c>
      <c r="E106" s="5" t="s">
        <v>1892</v>
      </c>
      <c r="F106" s="4" t="str">
        <f>"84.63"</f>
        <v>84.63</v>
      </c>
      <c r="G106" s="4" t="str">
        <f>"84.63"</f>
        <v>84.63</v>
      </c>
    </row>
    <row r="107" spans="1:7" ht="15.75" customHeight="1" x14ac:dyDescent="0.15">
      <c r="A107" s="1">
        <v>103</v>
      </c>
      <c r="B107" s="1">
        <v>7354</v>
      </c>
      <c r="C107" s="1" t="s">
        <v>187</v>
      </c>
      <c r="D107" s="1" t="s">
        <v>37</v>
      </c>
      <c r="E107" s="5" t="s">
        <v>1892</v>
      </c>
      <c r="F107" s="4" t="str">
        <f>"84.65"</f>
        <v>84.65</v>
      </c>
      <c r="G107" s="4" t="str">
        <f>"90.59"</f>
        <v>90.59</v>
      </c>
    </row>
    <row r="108" spans="1:7" ht="15.75" customHeight="1" x14ac:dyDescent="0.15">
      <c r="A108" s="1">
        <v>104</v>
      </c>
      <c r="B108" s="1">
        <v>1983</v>
      </c>
      <c r="C108" s="1" t="s">
        <v>186</v>
      </c>
      <c r="D108" s="1" t="s">
        <v>94</v>
      </c>
      <c r="E108" s="5" t="s">
        <v>1892</v>
      </c>
      <c r="F108" s="4" t="str">
        <f>"85.53"</f>
        <v>85.53</v>
      </c>
      <c r="G108" s="4" t="str">
        <f>"115.48"</f>
        <v>115.48</v>
      </c>
    </row>
    <row r="109" spans="1:7" ht="15.75" customHeight="1" x14ac:dyDescent="0.15">
      <c r="A109" s="1">
        <v>105</v>
      </c>
      <c r="B109" s="1">
        <v>7851</v>
      </c>
      <c r="C109" s="1" t="s">
        <v>188</v>
      </c>
      <c r="D109" s="1" t="s">
        <v>19</v>
      </c>
      <c r="E109" s="5" t="s">
        <v>1892</v>
      </c>
      <c r="F109" s="4" t="str">
        <f>"87.40"</f>
        <v>87.40</v>
      </c>
      <c r="G109" s="4" t="str">
        <f>"182.97"</f>
        <v>182.97</v>
      </c>
    </row>
    <row r="110" spans="1:7" ht="15.75" customHeight="1" x14ac:dyDescent="0.15">
      <c r="A110" s="1">
        <v>106</v>
      </c>
      <c r="B110" s="1">
        <v>4139</v>
      </c>
      <c r="C110" s="1" t="s">
        <v>270</v>
      </c>
      <c r="D110" s="1" t="s">
        <v>4</v>
      </c>
      <c r="E110" s="5" t="s">
        <v>1892</v>
      </c>
      <c r="F110" s="4" t="str">
        <f>"88.69"</f>
        <v>88.69</v>
      </c>
      <c r="G110" s="4" t="str">
        <f>"88.69"</f>
        <v>88.69</v>
      </c>
    </row>
    <row r="111" spans="1:7" ht="15.75" customHeight="1" x14ac:dyDescent="0.15">
      <c r="A111" s="1">
        <v>107</v>
      </c>
      <c r="B111" s="1">
        <v>10284</v>
      </c>
      <c r="C111" s="1" t="s">
        <v>253</v>
      </c>
      <c r="D111" s="1" t="s">
        <v>8</v>
      </c>
      <c r="E111" s="5" t="s">
        <v>1892</v>
      </c>
      <c r="F111" s="4" t="str">
        <f>"88.96"</f>
        <v>88.96</v>
      </c>
      <c r="G111" s="4" t="str">
        <f>"96.47"</f>
        <v>96.47</v>
      </c>
    </row>
    <row r="112" spans="1:7" ht="15.75" customHeight="1" x14ac:dyDescent="0.15">
      <c r="A112" s="1">
        <v>108</v>
      </c>
      <c r="B112" s="1">
        <v>3351</v>
      </c>
      <c r="C112" s="1" t="s">
        <v>273</v>
      </c>
      <c r="D112" s="1" t="s">
        <v>16</v>
      </c>
      <c r="E112" s="5" t="s">
        <v>1892</v>
      </c>
      <c r="F112" s="4" t="str">
        <f>"89.01"</f>
        <v>89.01</v>
      </c>
      <c r="G112" s="4" t="str">
        <f>"89.01"</f>
        <v>89.01</v>
      </c>
    </row>
    <row r="113" spans="1:7" ht="15.75" customHeight="1" x14ac:dyDescent="0.15">
      <c r="A113" s="1">
        <v>109</v>
      </c>
      <c r="B113" s="1">
        <v>3076</v>
      </c>
      <c r="C113" s="1" t="s">
        <v>190</v>
      </c>
      <c r="D113" s="1" t="s">
        <v>43</v>
      </c>
      <c r="E113" s="5" t="s">
        <v>1892</v>
      </c>
      <c r="F113" s="4" t="str">
        <f>"89.37"</f>
        <v>89.37</v>
      </c>
      <c r="G113" s="4" t="str">
        <f>"96.32"</f>
        <v>96.32</v>
      </c>
    </row>
    <row r="114" spans="1:7" ht="15.75" customHeight="1" x14ac:dyDescent="0.15">
      <c r="A114" s="1">
        <v>110</v>
      </c>
      <c r="B114" s="1">
        <v>4292</v>
      </c>
      <c r="C114" s="1" t="s">
        <v>274</v>
      </c>
      <c r="D114" s="1" t="s">
        <v>11</v>
      </c>
      <c r="E114" s="5" t="s">
        <v>1892</v>
      </c>
      <c r="F114" s="4" t="str">
        <f>"89.90"</f>
        <v>89.90</v>
      </c>
      <c r="G114" s="4" t="str">
        <f>"89.90"</f>
        <v>89.90</v>
      </c>
    </row>
    <row r="115" spans="1:7" ht="15.75" customHeight="1" x14ac:dyDescent="0.15">
      <c r="A115" s="1">
        <v>111</v>
      </c>
      <c r="B115" s="1">
        <v>1885</v>
      </c>
      <c r="C115" s="1" t="s">
        <v>275</v>
      </c>
      <c r="D115" s="1" t="s">
        <v>216</v>
      </c>
      <c r="E115" s="5" t="s">
        <v>1892</v>
      </c>
      <c r="F115" s="4" t="str">
        <f>"90.38"</f>
        <v>90.38</v>
      </c>
      <c r="G115" s="4" t="str">
        <f>"90.38"</f>
        <v>90.38</v>
      </c>
    </row>
    <row r="116" spans="1:7" ht="15.75" customHeight="1" x14ac:dyDescent="0.15">
      <c r="A116" s="1">
        <v>112</v>
      </c>
      <c r="B116" s="1">
        <v>5257</v>
      </c>
      <c r="C116" s="1" t="s">
        <v>196</v>
      </c>
      <c r="D116" s="1" t="s">
        <v>197</v>
      </c>
      <c r="E116" s="5" t="s">
        <v>1892</v>
      </c>
      <c r="F116" s="4" t="str">
        <f>"90.45"</f>
        <v>90.45</v>
      </c>
      <c r="G116" s="4" t="str">
        <f>"90.45"</f>
        <v>90.45</v>
      </c>
    </row>
    <row r="117" spans="1:7" ht="15.75" customHeight="1" x14ac:dyDescent="0.15">
      <c r="A117" s="1">
        <v>113</v>
      </c>
      <c r="B117" s="1">
        <v>5072</v>
      </c>
      <c r="C117" s="1" t="s">
        <v>276</v>
      </c>
      <c r="D117" s="1" t="s">
        <v>72</v>
      </c>
      <c r="E117" s="5" t="s">
        <v>1892</v>
      </c>
      <c r="F117" s="4" t="str">
        <f>"90.95"</f>
        <v>90.95</v>
      </c>
      <c r="G117" s="4" t="str">
        <f>"90.95"</f>
        <v>90.95</v>
      </c>
    </row>
    <row r="118" spans="1:7" ht="15.75" customHeight="1" x14ac:dyDescent="0.15">
      <c r="A118" s="1">
        <v>114</v>
      </c>
      <c r="B118" s="1">
        <v>7050</v>
      </c>
      <c r="C118" s="1" t="s">
        <v>221</v>
      </c>
      <c r="D118" s="1" t="s">
        <v>87</v>
      </c>
      <c r="E118" s="5" t="s">
        <v>1892</v>
      </c>
      <c r="F118" s="4" t="str">
        <f>"91.71"</f>
        <v>91.71</v>
      </c>
      <c r="G118" s="4" t="str">
        <f>"102.35"</f>
        <v>102.35</v>
      </c>
    </row>
    <row r="119" spans="1:7" ht="15.75" customHeight="1" x14ac:dyDescent="0.15">
      <c r="A119" s="1">
        <v>115</v>
      </c>
      <c r="B119" s="1">
        <v>4108</v>
      </c>
      <c r="C119" s="1" t="s">
        <v>266</v>
      </c>
      <c r="D119" s="1" t="s">
        <v>8</v>
      </c>
      <c r="E119" s="5" t="s">
        <v>1892</v>
      </c>
      <c r="F119" s="4" t="str">
        <f>"91.90"</f>
        <v>91.90</v>
      </c>
      <c r="G119" s="4" t="str">
        <f>"96.81"</f>
        <v>96.81</v>
      </c>
    </row>
    <row r="120" spans="1:7" ht="15.75" customHeight="1" x14ac:dyDescent="0.15">
      <c r="A120" s="1">
        <v>116</v>
      </c>
      <c r="B120" s="1">
        <v>7816</v>
      </c>
      <c r="C120" s="1" t="s">
        <v>205</v>
      </c>
      <c r="D120" s="1" t="s">
        <v>5</v>
      </c>
      <c r="E120" s="5" t="s">
        <v>1892</v>
      </c>
      <c r="F120" s="4" t="str">
        <f>"92.00"</f>
        <v>92.00</v>
      </c>
      <c r="G120" s="4" t="str">
        <f>"92.00"</f>
        <v>92.00</v>
      </c>
    </row>
    <row r="121" spans="1:7" ht="15.75" customHeight="1" x14ac:dyDescent="0.15">
      <c r="A121" s="1">
        <v>117</v>
      </c>
      <c r="B121" s="1">
        <v>2491</v>
      </c>
      <c r="C121" s="1" t="s">
        <v>202</v>
      </c>
      <c r="D121" s="1" t="s">
        <v>37</v>
      </c>
      <c r="E121" s="5" t="s">
        <v>1892</v>
      </c>
      <c r="F121" s="4" t="str">
        <f>"92.23"</f>
        <v>92.23</v>
      </c>
      <c r="G121" s="4" t="str">
        <f>"99.09"</f>
        <v>99.09</v>
      </c>
    </row>
    <row r="122" spans="1:7" ht="15.75" customHeight="1" x14ac:dyDescent="0.15">
      <c r="A122" s="1">
        <v>118</v>
      </c>
      <c r="B122" s="1">
        <v>2557</v>
      </c>
      <c r="C122" s="1" t="s">
        <v>193</v>
      </c>
      <c r="D122" s="1" t="s">
        <v>102</v>
      </c>
      <c r="E122" s="5" t="s">
        <v>1892</v>
      </c>
      <c r="F122" s="4" t="str">
        <f>"92.67"</f>
        <v>92.67</v>
      </c>
      <c r="G122" s="4" t="str">
        <f>"119.78"</f>
        <v>119.78</v>
      </c>
    </row>
    <row r="123" spans="1:7" ht="15.75" customHeight="1" x14ac:dyDescent="0.15">
      <c r="A123" s="1">
        <v>119</v>
      </c>
      <c r="B123" s="1">
        <v>5234</v>
      </c>
      <c r="C123" s="1" t="s">
        <v>262</v>
      </c>
      <c r="D123" s="1" t="s">
        <v>27</v>
      </c>
      <c r="E123" s="5" t="s">
        <v>1892</v>
      </c>
      <c r="F123" s="4" t="str">
        <f>"93.04"</f>
        <v>93.04</v>
      </c>
      <c r="G123" s="4" t="str">
        <f>"93.04"</f>
        <v>93.04</v>
      </c>
    </row>
    <row r="124" spans="1:7" ht="15.75" customHeight="1" x14ac:dyDescent="0.15">
      <c r="A124" s="1">
        <v>120</v>
      </c>
      <c r="B124" s="1">
        <v>10313</v>
      </c>
      <c r="C124" s="1" t="s">
        <v>283</v>
      </c>
      <c r="D124" s="1" t="s">
        <v>13</v>
      </c>
      <c r="E124" s="5" t="s">
        <v>1892</v>
      </c>
      <c r="F124" s="4" t="str">
        <f>"93.75"</f>
        <v>93.75</v>
      </c>
      <c r="G124" s="4" t="str">
        <f>"93.75"</f>
        <v>93.75</v>
      </c>
    </row>
    <row r="125" spans="1:7" ht="15.75" customHeight="1" x14ac:dyDescent="0.15">
      <c r="A125" s="1">
        <v>121</v>
      </c>
      <c r="B125" s="1">
        <v>2915</v>
      </c>
      <c r="C125" s="1" t="s">
        <v>199</v>
      </c>
      <c r="D125" s="1" t="s">
        <v>18</v>
      </c>
      <c r="E125" s="5" t="s">
        <v>1892</v>
      </c>
      <c r="F125" s="4" t="str">
        <f>"94.99"</f>
        <v>94.99</v>
      </c>
      <c r="G125" s="4" t="str">
        <f>"131.53"</f>
        <v>131.53</v>
      </c>
    </row>
    <row r="126" spans="1:7" ht="15.75" customHeight="1" x14ac:dyDescent="0.15">
      <c r="A126" s="1">
        <v>122</v>
      </c>
      <c r="B126" s="1">
        <v>1899</v>
      </c>
      <c r="C126" s="1" t="s">
        <v>200</v>
      </c>
      <c r="D126" s="1" t="s">
        <v>23</v>
      </c>
      <c r="E126" s="5" t="s">
        <v>1892</v>
      </c>
      <c r="F126" s="4" t="str">
        <f>"95.51"</f>
        <v>95.51</v>
      </c>
      <c r="G126" s="4" t="str">
        <f>"157.06"</f>
        <v>157.06</v>
      </c>
    </row>
    <row r="127" spans="1:7" ht="15.75" customHeight="1" x14ac:dyDescent="0.15">
      <c r="A127" s="1">
        <v>123</v>
      </c>
      <c r="B127" s="1">
        <v>3523</v>
      </c>
      <c r="C127" s="1" t="s">
        <v>284</v>
      </c>
      <c r="D127" s="1" t="s">
        <v>285</v>
      </c>
      <c r="E127" s="5" t="s">
        <v>1892</v>
      </c>
      <c r="F127" s="4" t="str">
        <f>"95.77"</f>
        <v>95.77</v>
      </c>
      <c r="G127" s="4" t="str">
        <f>"95.77"</f>
        <v>95.77</v>
      </c>
    </row>
    <row r="128" spans="1:7" ht="15.75" customHeight="1" x14ac:dyDescent="0.15">
      <c r="A128" s="1">
        <v>124</v>
      </c>
      <c r="B128" s="1">
        <v>1820</v>
      </c>
      <c r="C128" s="1" t="s">
        <v>201</v>
      </c>
      <c r="D128" s="1" t="s">
        <v>93</v>
      </c>
      <c r="E128" s="5" t="s">
        <v>1892</v>
      </c>
      <c r="F128" s="4" t="str">
        <f>"96.55"</f>
        <v>96.55</v>
      </c>
      <c r="G128" s="4" t="str">
        <f>"115.39"</f>
        <v>115.39</v>
      </c>
    </row>
    <row r="129" spans="1:7" ht="15.75" customHeight="1" x14ac:dyDescent="0.15">
      <c r="A129" s="1">
        <v>125</v>
      </c>
      <c r="B129" s="1">
        <v>11053</v>
      </c>
      <c r="C129" s="1" t="s">
        <v>344</v>
      </c>
      <c r="D129" s="1" t="s">
        <v>93</v>
      </c>
      <c r="E129" s="5" t="s">
        <v>1892</v>
      </c>
      <c r="F129" s="4" t="str">
        <f>"97.14"</f>
        <v>97.14</v>
      </c>
      <c r="G129" s="4" t="str">
        <f>"97.14"</f>
        <v>97.14</v>
      </c>
    </row>
    <row r="130" spans="1:7" ht="15.75" customHeight="1" x14ac:dyDescent="0.15">
      <c r="A130" s="1">
        <v>126</v>
      </c>
      <c r="B130" s="1">
        <v>2541</v>
      </c>
      <c r="C130" s="1" t="s">
        <v>291</v>
      </c>
      <c r="D130" s="1" t="s">
        <v>8</v>
      </c>
      <c r="E130" s="5" t="s">
        <v>1892</v>
      </c>
      <c r="F130" s="4" t="str">
        <f>"97.86"</f>
        <v>97.86</v>
      </c>
      <c r="G130" s="4" t="str">
        <f>"97.86"</f>
        <v>97.86</v>
      </c>
    </row>
    <row r="131" spans="1:7" ht="15.75" customHeight="1" x14ac:dyDescent="0.15">
      <c r="A131" s="1">
        <v>127</v>
      </c>
      <c r="B131" s="1">
        <v>3192</v>
      </c>
      <c r="C131" s="1" t="s">
        <v>336</v>
      </c>
      <c r="D131" s="1" t="s">
        <v>5</v>
      </c>
      <c r="E131" s="5" t="s">
        <v>1892</v>
      </c>
      <c r="F131" s="4" t="str">
        <f>"98.41"</f>
        <v>98.41</v>
      </c>
      <c r="G131" s="4" t="str">
        <f>"98.41"</f>
        <v>98.41</v>
      </c>
    </row>
    <row r="132" spans="1:7" ht="15.75" customHeight="1" x14ac:dyDescent="0.15">
      <c r="A132" s="1">
        <v>128</v>
      </c>
      <c r="B132" s="1">
        <v>8310</v>
      </c>
      <c r="C132" s="1" t="s">
        <v>207</v>
      </c>
      <c r="D132" s="1" t="s">
        <v>208</v>
      </c>
      <c r="E132" s="5" t="s">
        <v>1892</v>
      </c>
      <c r="F132" s="4" t="str">
        <f>"98.50"</f>
        <v>98.50</v>
      </c>
      <c r="G132" s="4" t="str">
        <f>"101.82"</f>
        <v>101.82</v>
      </c>
    </row>
    <row r="133" spans="1:7" ht="15.75" customHeight="1" x14ac:dyDescent="0.15">
      <c r="A133" s="1">
        <v>129</v>
      </c>
      <c r="B133" s="1">
        <v>8494</v>
      </c>
      <c r="C133" s="1" t="s">
        <v>206</v>
      </c>
      <c r="D133" s="1" t="s">
        <v>5</v>
      </c>
      <c r="E133" s="5" t="s">
        <v>1892</v>
      </c>
      <c r="F133" s="4" t="str">
        <f>"98.87"</f>
        <v>98.87</v>
      </c>
      <c r="G133" s="4" t="str">
        <f>"118.76"</f>
        <v>118.76</v>
      </c>
    </row>
    <row r="134" spans="1:7" ht="15.75" customHeight="1" x14ac:dyDescent="0.15">
      <c r="A134" s="1">
        <v>130</v>
      </c>
      <c r="B134" s="1">
        <v>146</v>
      </c>
      <c r="C134" s="1" t="s">
        <v>210</v>
      </c>
      <c r="D134" s="1" t="s">
        <v>11</v>
      </c>
      <c r="E134" s="5" t="s">
        <v>1892</v>
      </c>
      <c r="F134" s="4" t="str">
        <f>"99.60"</f>
        <v>99.60</v>
      </c>
      <c r="G134" s="4" t="str">
        <f>"106.88"</f>
        <v>106.88</v>
      </c>
    </row>
    <row r="135" spans="1:7" ht="15.75" customHeight="1" x14ac:dyDescent="0.15">
      <c r="A135" s="1">
        <v>131</v>
      </c>
      <c r="B135" s="1">
        <v>3987</v>
      </c>
      <c r="C135" s="1" t="s">
        <v>321</v>
      </c>
      <c r="D135" s="1" t="s">
        <v>12</v>
      </c>
      <c r="E135" s="5" t="s">
        <v>1892</v>
      </c>
      <c r="F135" s="4" t="str">
        <f>"99.93"</f>
        <v>99.93</v>
      </c>
      <c r="G135" s="4" t="str">
        <f>"99.93"</f>
        <v>99.93</v>
      </c>
    </row>
    <row r="136" spans="1:7" ht="15.75" customHeight="1" x14ac:dyDescent="0.15">
      <c r="A136" s="1">
        <v>132</v>
      </c>
      <c r="B136" s="1">
        <v>10950</v>
      </c>
      <c r="C136" s="1" t="s">
        <v>237</v>
      </c>
      <c r="D136" s="1" t="s">
        <v>238</v>
      </c>
      <c r="E136" s="5" t="s">
        <v>1892</v>
      </c>
      <c r="F136" s="4" t="str">
        <f>"100.23"</f>
        <v>100.23</v>
      </c>
      <c r="G136" s="4" t="str">
        <f>"100.23"</f>
        <v>100.23</v>
      </c>
    </row>
    <row r="137" spans="1:7" ht="15.75" customHeight="1" x14ac:dyDescent="0.15">
      <c r="A137" s="1">
        <v>133</v>
      </c>
      <c r="B137" s="1">
        <v>4218</v>
      </c>
      <c r="C137" s="1" t="s">
        <v>294</v>
      </c>
      <c r="D137" s="1" t="s">
        <v>8</v>
      </c>
      <c r="E137" s="5" t="s">
        <v>1892</v>
      </c>
      <c r="F137" s="4" t="str">
        <f>"100.27"</f>
        <v>100.27</v>
      </c>
      <c r="G137" s="4" t="str">
        <f>"100.27"</f>
        <v>100.27</v>
      </c>
    </row>
    <row r="138" spans="1:7" ht="15.75" customHeight="1" x14ac:dyDescent="0.15">
      <c r="A138" s="1">
        <v>134</v>
      </c>
      <c r="B138" s="1">
        <v>6131</v>
      </c>
      <c r="C138" s="1" t="s">
        <v>295</v>
      </c>
      <c r="D138" s="1" t="s">
        <v>19</v>
      </c>
      <c r="E138" s="5" t="s">
        <v>1892</v>
      </c>
      <c r="F138" s="4" t="str">
        <f>"100.29"</f>
        <v>100.29</v>
      </c>
      <c r="G138" s="4" t="str">
        <f>"100.29"</f>
        <v>100.29</v>
      </c>
    </row>
    <row r="139" spans="1:7" ht="15.75" customHeight="1" x14ac:dyDescent="0.15">
      <c r="A139" s="1">
        <v>135</v>
      </c>
      <c r="B139" s="1">
        <v>1848</v>
      </c>
      <c r="C139" s="1" t="s">
        <v>211</v>
      </c>
      <c r="D139" s="1" t="s">
        <v>7</v>
      </c>
      <c r="E139" s="5" t="s">
        <v>1892</v>
      </c>
      <c r="F139" s="4" t="str">
        <f>"100.36"</f>
        <v>100.36</v>
      </c>
      <c r="G139" s="4" t="str">
        <f>"120.43"</f>
        <v>120.43</v>
      </c>
    </row>
    <row r="140" spans="1:7" ht="15.75" customHeight="1" x14ac:dyDescent="0.15">
      <c r="A140" s="1">
        <v>136</v>
      </c>
      <c r="B140" s="1">
        <v>5279</v>
      </c>
      <c r="C140" s="1" t="s">
        <v>297</v>
      </c>
      <c r="D140" s="1" t="s">
        <v>4</v>
      </c>
      <c r="E140" s="5" t="s">
        <v>1892</v>
      </c>
      <c r="F140" s="4" t="str">
        <f>"101.07"</f>
        <v>101.07</v>
      </c>
      <c r="G140" s="4" t="str">
        <f>"101.07"</f>
        <v>101.07</v>
      </c>
    </row>
    <row r="141" spans="1:7" ht="15.75" customHeight="1" x14ac:dyDescent="0.15">
      <c r="A141" s="1">
        <v>137</v>
      </c>
      <c r="B141" s="1">
        <v>5759</v>
      </c>
      <c r="C141" s="1" t="s">
        <v>298</v>
      </c>
      <c r="D141" s="1" t="s">
        <v>9</v>
      </c>
      <c r="E141" s="5" t="s">
        <v>1892</v>
      </c>
      <c r="F141" s="4" t="str">
        <f>"101.10"</f>
        <v>101.10</v>
      </c>
      <c r="G141" s="4" t="str">
        <f>"101.10"</f>
        <v>101.10</v>
      </c>
    </row>
    <row r="142" spans="1:7" ht="15.75" customHeight="1" x14ac:dyDescent="0.15">
      <c r="A142" s="1">
        <v>138</v>
      </c>
      <c r="B142" s="1">
        <v>10351</v>
      </c>
      <c r="C142" s="1" t="s">
        <v>212</v>
      </c>
      <c r="D142" s="1" t="s">
        <v>24</v>
      </c>
      <c r="E142" s="5" t="s">
        <v>1892</v>
      </c>
      <c r="F142" s="4" t="str">
        <f>"101.14"</f>
        <v>101.14</v>
      </c>
      <c r="G142" s="4" t="str">
        <f>"132.17"</f>
        <v>132.17</v>
      </c>
    </row>
    <row r="143" spans="1:7" ht="15.75" customHeight="1" x14ac:dyDescent="0.15">
      <c r="A143" s="1">
        <v>139</v>
      </c>
      <c r="B143" s="1">
        <v>3405</v>
      </c>
      <c r="C143" s="1" t="s">
        <v>327</v>
      </c>
      <c r="D143" s="1" t="s">
        <v>17</v>
      </c>
      <c r="E143" s="5" t="s">
        <v>1892</v>
      </c>
      <c r="F143" s="4" t="str">
        <f>"101.16"</f>
        <v>101.16</v>
      </c>
      <c r="G143" s="4" t="str">
        <f>"101.16"</f>
        <v>101.16</v>
      </c>
    </row>
    <row r="144" spans="1:7" ht="15.75" customHeight="1" x14ac:dyDescent="0.15">
      <c r="A144" s="1">
        <v>140</v>
      </c>
      <c r="B144" s="1">
        <v>1880</v>
      </c>
      <c r="C144" s="1" t="s">
        <v>217</v>
      </c>
      <c r="D144" s="1" t="s">
        <v>218</v>
      </c>
      <c r="E144" s="5" t="s">
        <v>1892</v>
      </c>
      <c r="F144" s="4" t="str">
        <f>"101.30"</f>
        <v>101.30</v>
      </c>
      <c r="G144" s="4" t="str">
        <f>"120.32"</f>
        <v>120.32</v>
      </c>
    </row>
    <row r="145" spans="1:7" ht="15.75" customHeight="1" x14ac:dyDescent="0.15">
      <c r="A145" s="1">
        <v>141</v>
      </c>
      <c r="B145" s="1">
        <v>2038</v>
      </c>
      <c r="C145" s="1" t="s">
        <v>374</v>
      </c>
      <c r="D145" s="1" t="s">
        <v>16</v>
      </c>
      <c r="E145" s="5" t="s">
        <v>1892</v>
      </c>
      <c r="F145" s="4" t="str">
        <f>"101.77"</f>
        <v>101.77</v>
      </c>
      <c r="G145" s="4" t="str">
        <f>"101.77"</f>
        <v>101.77</v>
      </c>
    </row>
    <row r="146" spans="1:7" ht="15.75" customHeight="1" x14ac:dyDescent="0.15">
      <c r="A146" s="1">
        <v>142</v>
      </c>
      <c r="B146" s="1">
        <v>8362</v>
      </c>
      <c r="C146" s="1" t="s">
        <v>220</v>
      </c>
      <c r="D146" s="1" t="s">
        <v>19</v>
      </c>
      <c r="E146" s="5" t="s">
        <v>1892</v>
      </c>
      <c r="F146" s="4" t="str">
        <f>"101.78"</f>
        <v>101.78</v>
      </c>
      <c r="G146" s="4" t="str">
        <f>"132.62"</f>
        <v>132.62</v>
      </c>
    </row>
    <row r="147" spans="1:7" ht="15.75" customHeight="1" x14ac:dyDescent="0.15">
      <c r="A147" s="1">
        <v>143</v>
      </c>
      <c r="B147" s="1">
        <v>4454</v>
      </c>
      <c r="C147" s="1" t="s">
        <v>379</v>
      </c>
      <c r="D147" s="1" t="s">
        <v>8</v>
      </c>
      <c r="E147" s="5" t="s">
        <v>1892</v>
      </c>
      <c r="F147" s="4" t="str">
        <f>"102.08"</f>
        <v>102.08</v>
      </c>
      <c r="G147" s="4" t="str">
        <f>"102.08"</f>
        <v>102.08</v>
      </c>
    </row>
    <row r="148" spans="1:7" ht="15.75" customHeight="1" x14ac:dyDescent="0.15">
      <c r="A148" s="1">
        <v>144</v>
      </c>
      <c r="B148" s="1">
        <v>8490</v>
      </c>
      <c r="C148" s="1" t="s">
        <v>300</v>
      </c>
      <c r="D148" s="1" t="s">
        <v>5</v>
      </c>
      <c r="E148" s="5" t="s">
        <v>1892</v>
      </c>
      <c r="F148" s="4" t="str">
        <f>"102.34"</f>
        <v>102.34</v>
      </c>
      <c r="G148" s="4" t="str">
        <f>"102.34"</f>
        <v>102.34</v>
      </c>
    </row>
    <row r="149" spans="1:7" ht="15.75" customHeight="1" x14ac:dyDescent="0.15">
      <c r="A149" s="1">
        <v>145</v>
      </c>
      <c r="B149" s="1">
        <v>2573</v>
      </c>
      <c r="C149" s="1" t="s">
        <v>304</v>
      </c>
      <c r="D149" s="1" t="s">
        <v>7</v>
      </c>
      <c r="E149" s="5" t="s">
        <v>1892</v>
      </c>
      <c r="F149" s="4" t="str">
        <f>"103.11"</f>
        <v>103.11</v>
      </c>
      <c r="G149" s="4" t="str">
        <f>"103.11"</f>
        <v>103.11</v>
      </c>
    </row>
    <row r="150" spans="1:7" ht="15.75" customHeight="1" x14ac:dyDescent="0.15">
      <c r="A150" s="1">
        <v>146</v>
      </c>
      <c r="B150" s="1">
        <v>2179</v>
      </c>
      <c r="C150" s="1" t="s">
        <v>307</v>
      </c>
      <c r="D150" s="1" t="s">
        <v>64</v>
      </c>
      <c r="E150" s="5" t="s">
        <v>1892</v>
      </c>
      <c r="F150" s="4" t="str">
        <f>"103.61"</f>
        <v>103.61</v>
      </c>
      <c r="G150" s="4" t="str">
        <f>"103.61"</f>
        <v>103.61</v>
      </c>
    </row>
    <row r="151" spans="1:7" ht="15.75" customHeight="1" x14ac:dyDescent="0.15">
      <c r="A151" s="1">
        <v>147</v>
      </c>
      <c r="B151" s="1">
        <v>2845</v>
      </c>
      <c r="C151" s="1" t="s">
        <v>231</v>
      </c>
      <c r="D151" s="1" t="s">
        <v>148</v>
      </c>
      <c r="E151" s="5" t="s">
        <v>1892</v>
      </c>
      <c r="F151" s="4" t="str">
        <f>"103.66"</f>
        <v>103.66</v>
      </c>
      <c r="G151" s="4" t="str">
        <f>"108.77"</f>
        <v>108.77</v>
      </c>
    </row>
    <row r="152" spans="1:7" ht="15.75" customHeight="1" x14ac:dyDescent="0.15">
      <c r="A152" s="1">
        <v>148</v>
      </c>
      <c r="B152" s="1">
        <v>6466</v>
      </c>
      <c r="C152" s="1" t="s">
        <v>366</v>
      </c>
      <c r="D152" s="1" t="s">
        <v>40</v>
      </c>
      <c r="E152" s="5" t="s">
        <v>1892</v>
      </c>
      <c r="F152" s="4" t="str">
        <f>"104.60"</f>
        <v>104.60</v>
      </c>
      <c r="G152" s="4" t="str">
        <f>"104.60"</f>
        <v>104.60</v>
      </c>
    </row>
    <row r="153" spans="1:7" ht="15.75" customHeight="1" x14ac:dyDescent="0.15">
      <c r="A153" s="1">
        <v>149</v>
      </c>
      <c r="B153" s="1">
        <v>10291</v>
      </c>
      <c r="C153" s="1" t="s">
        <v>223</v>
      </c>
      <c r="D153" s="1" t="s">
        <v>5</v>
      </c>
      <c r="E153" s="5" t="s">
        <v>1892</v>
      </c>
      <c r="F153" s="4" t="str">
        <f>"104.89"</f>
        <v>104.89</v>
      </c>
      <c r="G153" s="4" t="str">
        <f>"105.50"</f>
        <v>105.50</v>
      </c>
    </row>
    <row r="154" spans="1:7" ht="15.75" customHeight="1" x14ac:dyDescent="0.15">
      <c r="A154" s="1">
        <v>150</v>
      </c>
      <c r="B154" s="1">
        <v>11084</v>
      </c>
      <c r="C154" s="1" t="s">
        <v>229</v>
      </c>
      <c r="D154" s="1" t="s">
        <v>230</v>
      </c>
      <c r="E154" s="5" t="s">
        <v>1892</v>
      </c>
      <c r="F154" s="4" t="str">
        <f>"105.26"</f>
        <v>105.26</v>
      </c>
      <c r="G154" s="4" t="str">
        <f>"111.74"</f>
        <v>111.74</v>
      </c>
    </row>
    <row r="155" spans="1:7" ht="15.75" customHeight="1" x14ac:dyDescent="0.15">
      <c r="A155" s="1">
        <v>151</v>
      </c>
      <c r="B155" s="1">
        <v>7806</v>
      </c>
      <c r="C155" s="1" t="s">
        <v>264</v>
      </c>
      <c r="D155" s="1" t="s">
        <v>216</v>
      </c>
      <c r="E155" s="5" t="s">
        <v>1892</v>
      </c>
      <c r="F155" s="4" t="str">
        <f>"105.37"</f>
        <v>105.37</v>
      </c>
      <c r="G155" s="4" t="str">
        <f>"110.12"</f>
        <v>110.12</v>
      </c>
    </row>
    <row r="156" spans="1:7" ht="15.75" customHeight="1" x14ac:dyDescent="0.15">
      <c r="A156" s="1">
        <v>152</v>
      </c>
      <c r="B156" s="1">
        <v>5726</v>
      </c>
      <c r="C156" s="1" t="s">
        <v>224</v>
      </c>
      <c r="D156" s="1" t="s">
        <v>19</v>
      </c>
      <c r="E156" s="5" t="s">
        <v>1892</v>
      </c>
      <c r="F156" s="4" t="str">
        <f>"105.59"</f>
        <v>105.59</v>
      </c>
      <c r="G156" s="4" t="str">
        <f>"112.31"</f>
        <v>112.31</v>
      </c>
    </row>
    <row r="157" spans="1:7" ht="15.75" customHeight="1" x14ac:dyDescent="0.15">
      <c r="A157" s="1">
        <v>153</v>
      </c>
      <c r="B157" s="1">
        <v>4409</v>
      </c>
      <c r="C157" s="1" t="s">
        <v>225</v>
      </c>
      <c r="D157" s="1" t="s">
        <v>8</v>
      </c>
      <c r="E157" s="5" t="s">
        <v>1892</v>
      </c>
      <c r="F157" s="4" t="str">
        <f>"105.86"</f>
        <v>105.86</v>
      </c>
      <c r="G157" s="4" t="str">
        <f>"138.48"</f>
        <v>138.48</v>
      </c>
    </row>
    <row r="158" spans="1:7" ht="15.75" customHeight="1" x14ac:dyDescent="0.15">
      <c r="A158" s="1">
        <v>154</v>
      </c>
      <c r="B158" s="1">
        <v>5238</v>
      </c>
      <c r="C158" s="1" t="s">
        <v>226</v>
      </c>
      <c r="D158" s="1" t="s">
        <v>19</v>
      </c>
      <c r="E158" s="5" t="s">
        <v>1892</v>
      </c>
      <c r="F158" s="4" t="str">
        <f>"105.87"</f>
        <v>105.87</v>
      </c>
      <c r="G158" s="4" t="str">
        <f>"139.40"</f>
        <v>139.40</v>
      </c>
    </row>
    <row r="159" spans="1:7" ht="15.75" customHeight="1" x14ac:dyDescent="0.15">
      <c r="A159" s="1">
        <v>155</v>
      </c>
      <c r="B159" s="1">
        <v>3139</v>
      </c>
      <c r="C159" s="1" t="s">
        <v>313</v>
      </c>
      <c r="D159" s="1" t="s">
        <v>88</v>
      </c>
      <c r="E159" s="5" t="s">
        <v>1892</v>
      </c>
      <c r="F159" s="4" t="str">
        <f>"106.17"</f>
        <v>106.17</v>
      </c>
      <c r="G159" s="4" t="str">
        <f>"106.17"</f>
        <v>106.17</v>
      </c>
    </row>
    <row r="160" spans="1:7" ht="15.75" customHeight="1" x14ac:dyDescent="0.15">
      <c r="A160" s="1">
        <v>156</v>
      </c>
      <c r="B160" s="1">
        <v>5247</v>
      </c>
      <c r="C160" s="1" t="s">
        <v>228</v>
      </c>
      <c r="D160" s="1" t="s">
        <v>23</v>
      </c>
      <c r="E160" s="5" t="s">
        <v>1892</v>
      </c>
      <c r="F160" s="4" t="str">
        <f>"106.40"</f>
        <v>106.40</v>
      </c>
      <c r="G160" s="4" t="str">
        <f>"125.26"</f>
        <v>125.26</v>
      </c>
    </row>
    <row r="161" spans="1:7" ht="15.75" customHeight="1" x14ac:dyDescent="0.15">
      <c r="A161" s="1">
        <v>157</v>
      </c>
      <c r="B161" s="1">
        <v>9957</v>
      </c>
      <c r="C161" s="1" t="s">
        <v>192</v>
      </c>
      <c r="D161" s="1" t="s">
        <v>19</v>
      </c>
      <c r="E161" s="5" t="s">
        <v>1892</v>
      </c>
      <c r="F161" s="4" t="str">
        <f>"106.97"</f>
        <v>106.97</v>
      </c>
      <c r="G161" s="4" t="str">
        <f>"149.74"</f>
        <v>149.74</v>
      </c>
    </row>
    <row r="162" spans="1:7" ht="15.75" customHeight="1" x14ac:dyDescent="0.15">
      <c r="A162" s="1">
        <v>158</v>
      </c>
      <c r="B162" s="1">
        <v>3368</v>
      </c>
      <c r="C162" s="1" t="s">
        <v>315</v>
      </c>
      <c r="D162" s="1" t="s">
        <v>316</v>
      </c>
      <c r="E162" s="5" t="s">
        <v>1892</v>
      </c>
      <c r="F162" s="4" t="str">
        <f>"107.04"</f>
        <v>107.04</v>
      </c>
      <c r="G162" s="4" t="str">
        <f>"107.04"</f>
        <v>107.04</v>
      </c>
    </row>
    <row r="163" spans="1:7" ht="15.75" customHeight="1" x14ac:dyDescent="0.15">
      <c r="A163" s="1">
        <v>159</v>
      </c>
      <c r="B163" s="1">
        <v>4286</v>
      </c>
      <c r="C163" s="1" t="s">
        <v>296</v>
      </c>
      <c r="D163" s="1" t="s">
        <v>33</v>
      </c>
      <c r="E163" s="5" t="s">
        <v>1892</v>
      </c>
      <c r="F163" s="4" t="str">
        <f>"107.21"</f>
        <v>107.21</v>
      </c>
      <c r="G163" s="4" t="str">
        <f>"107.21"</f>
        <v>107.21</v>
      </c>
    </row>
    <row r="164" spans="1:7" ht="15.75" customHeight="1" x14ac:dyDescent="0.15">
      <c r="A164" s="1">
        <v>160</v>
      </c>
      <c r="B164" s="1">
        <v>7210</v>
      </c>
      <c r="C164" s="1" t="s">
        <v>286</v>
      </c>
      <c r="D164" s="1" t="s">
        <v>287</v>
      </c>
      <c r="E164" s="5" t="s">
        <v>1892</v>
      </c>
      <c r="F164" s="4" t="str">
        <f>"107.49"</f>
        <v>107.49</v>
      </c>
      <c r="G164" s="4" t="str">
        <f>"118.12"</f>
        <v>118.12</v>
      </c>
    </row>
    <row r="165" spans="1:7" ht="15.75" customHeight="1" x14ac:dyDescent="0.15">
      <c r="A165" s="1">
        <v>161</v>
      </c>
      <c r="B165" s="1">
        <v>1764</v>
      </c>
      <c r="C165" s="1" t="s">
        <v>317</v>
      </c>
      <c r="D165" s="1" t="s">
        <v>101</v>
      </c>
      <c r="E165" s="5" t="s">
        <v>1892</v>
      </c>
      <c r="F165" s="4" t="str">
        <f>"108.16"</f>
        <v>108.16</v>
      </c>
      <c r="G165" s="4" t="str">
        <f>"108.16"</f>
        <v>108.16</v>
      </c>
    </row>
    <row r="166" spans="1:7" ht="15.75" customHeight="1" x14ac:dyDescent="0.15">
      <c r="A166" s="1">
        <v>162</v>
      </c>
      <c r="B166" s="1">
        <v>3954</v>
      </c>
      <c r="C166" s="1" t="s">
        <v>334</v>
      </c>
      <c r="D166" s="1" t="s">
        <v>112</v>
      </c>
      <c r="E166" s="5" t="s">
        <v>1892</v>
      </c>
      <c r="F166" s="4" t="str">
        <f>"108.38"</f>
        <v>108.38</v>
      </c>
      <c r="G166" s="4" t="str">
        <f>"108.38"</f>
        <v>108.38</v>
      </c>
    </row>
    <row r="167" spans="1:7" ht="15.75" customHeight="1" x14ac:dyDescent="0.15">
      <c r="A167" s="1">
        <v>163</v>
      </c>
      <c r="B167" s="1">
        <v>1610</v>
      </c>
      <c r="C167" s="1" t="s">
        <v>474</v>
      </c>
      <c r="D167" s="1" t="s">
        <v>22</v>
      </c>
      <c r="E167" s="5" t="s">
        <v>1892</v>
      </c>
      <c r="F167" s="4" t="str">
        <f>"108.83"</f>
        <v>108.83</v>
      </c>
      <c r="G167" s="4" t="str">
        <f>"108.83"</f>
        <v>108.83</v>
      </c>
    </row>
    <row r="168" spans="1:7" ht="15.75" customHeight="1" x14ac:dyDescent="0.15">
      <c r="A168" s="1">
        <v>164</v>
      </c>
      <c r="B168" s="1">
        <v>4858</v>
      </c>
      <c r="C168" s="1" t="s">
        <v>232</v>
      </c>
      <c r="D168" s="1" t="s">
        <v>233</v>
      </c>
      <c r="E168" s="5" t="s">
        <v>1892</v>
      </c>
      <c r="F168" s="4" t="str">
        <f>"109.11"</f>
        <v>109.11</v>
      </c>
      <c r="G168" s="4" t="str">
        <f>"178.85"</f>
        <v>178.85</v>
      </c>
    </row>
    <row r="169" spans="1:7" ht="15.75" customHeight="1" x14ac:dyDescent="0.15">
      <c r="A169" s="1">
        <v>165</v>
      </c>
      <c r="B169" s="1">
        <v>1740</v>
      </c>
      <c r="C169" s="1" t="s">
        <v>372</v>
      </c>
      <c r="D169" s="1" t="s">
        <v>60</v>
      </c>
      <c r="E169" s="5" t="s">
        <v>1892</v>
      </c>
      <c r="F169" s="4" t="str">
        <f>"109.23"</f>
        <v>109.23</v>
      </c>
      <c r="G169" s="4" t="str">
        <f>"109.23"</f>
        <v>109.23</v>
      </c>
    </row>
    <row r="170" spans="1:7" ht="15.75" customHeight="1" x14ac:dyDescent="0.15">
      <c r="A170" s="1">
        <v>166</v>
      </c>
      <c r="B170" s="1">
        <v>6863</v>
      </c>
      <c r="C170" s="1" t="s">
        <v>234</v>
      </c>
      <c r="D170" s="1" t="s">
        <v>5</v>
      </c>
      <c r="E170" s="5" t="s">
        <v>1892</v>
      </c>
      <c r="F170" s="4" t="str">
        <f>"109.26"</f>
        <v>109.26</v>
      </c>
      <c r="G170" s="4" t="str">
        <f>"174.04"</f>
        <v>174.04</v>
      </c>
    </row>
    <row r="171" spans="1:7" ht="15.75" customHeight="1" x14ac:dyDescent="0.15">
      <c r="A171" s="1">
        <v>167</v>
      </c>
      <c r="B171" s="1">
        <v>10409</v>
      </c>
      <c r="C171" s="1" t="s">
        <v>235</v>
      </c>
      <c r="D171" s="1" t="s">
        <v>19</v>
      </c>
      <c r="E171" s="5" t="s">
        <v>1892</v>
      </c>
      <c r="F171" s="4" t="str">
        <f>"109.40"</f>
        <v>109.40</v>
      </c>
      <c r="G171" s="4" t="str">
        <f>"170.59"</f>
        <v>170.59</v>
      </c>
    </row>
    <row r="172" spans="1:7" ht="15.75" customHeight="1" x14ac:dyDescent="0.15">
      <c r="A172" s="1">
        <v>168</v>
      </c>
      <c r="B172" s="1">
        <v>3112</v>
      </c>
      <c r="C172" s="1" t="s">
        <v>271</v>
      </c>
      <c r="D172" s="1" t="s">
        <v>49</v>
      </c>
      <c r="E172" s="5" t="s">
        <v>1892</v>
      </c>
      <c r="F172" s="4" t="str">
        <f>"110.04"</f>
        <v>110.04</v>
      </c>
      <c r="G172" s="4" t="str">
        <f>"110.04"</f>
        <v>110.04</v>
      </c>
    </row>
    <row r="173" spans="1:7" ht="15.75" customHeight="1" x14ac:dyDescent="0.15">
      <c r="A173" s="1">
        <v>169</v>
      </c>
      <c r="B173" s="1">
        <v>7550</v>
      </c>
      <c r="C173" s="1" t="s">
        <v>319</v>
      </c>
      <c r="D173" s="1" t="s">
        <v>102</v>
      </c>
      <c r="E173" s="5" t="s">
        <v>1892</v>
      </c>
      <c r="F173" s="4" t="str">
        <f>"110.09"</f>
        <v>110.09</v>
      </c>
      <c r="G173" s="4" t="str">
        <f>"110.09"</f>
        <v>110.09</v>
      </c>
    </row>
    <row r="174" spans="1:7" ht="15.75" customHeight="1" x14ac:dyDescent="0.15">
      <c r="A174" s="1">
        <v>170</v>
      </c>
      <c r="B174" s="1">
        <v>2519</v>
      </c>
      <c r="C174" s="1" t="s">
        <v>293</v>
      </c>
      <c r="D174" s="1" t="s">
        <v>94</v>
      </c>
      <c r="E174" s="5" t="s">
        <v>1892</v>
      </c>
      <c r="F174" s="4" t="str">
        <f>"112.17"</f>
        <v>112.17</v>
      </c>
      <c r="G174" s="4" t="str">
        <f>"112.17"</f>
        <v>112.17</v>
      </c>
    </row>
    <row r="175" spans="1:7" ht="15.75" customHeight="1" x14ac:dyDescent="0.15">
      <c r="A175" s="1">
        <v>171</v>
      </c>
      <c r="B175" s="1">
        <v>4951</v>
      </c>
      <c r="C175" s="1" t="s">
        <v>339</v>
      </c>
      <c r="D175" s="1" t="s">
        <v>38</v>
      </c>
      <c r="E175" s="5" t="s">
        <v>1892</v>
      </c>
      <c r="F175" s="4" t="str">
        <f>"112.20"</f>
        <v>112.20</v>
      </c>
      <c r="G175" s="4" t="str">
        <f>"112.20"</f>
        <v>112.20</v>
      </c>
    </row>
    <row r="176" spans="1:7" ht="15.75" customHeight="1" x14ac:dyDescent="0.15">
      <c r="A176" s="1">
        <v>172</v>
      </c>
      <c r="B176" s="1">
        <v>6847</v>
      </c>
      <c r="C176" s="1" t="s">
        <v>443</v>
      </c>
      <c r="D176" s="1" t="s">
        <v>5</v>
      </c>
      <c r="E176" s="5" t="s">
        <v>1892</v>
      </c>
      <c r="F176" s="4" t="str">
        <f>"112.20"</f>
        <v>112.20</v>
      </c>
      <c r="G176" s="4" t="str">
        <f>"112.20"</f>
        <v>112.20</v>
      </c>
    </row>
    <row r="177" spans="1:7" ht="15.75" customHeight="1" x14ac:dyDescent="0.15">
      <c r="A177" s="1">
        <v>173</v>
      </c>
      <c r="B177" s="1">
        <v>5252</v>
      </c>
      <c r="C177" s="1" t="s">
        <v>278</v>
      </c>
      <c r="D177" s="1" t="s">
        <v>23</v>
      </c>
      <c r="E177" s="5" t="s">
        <v>1892</v>
      </c>
      <c r="F177" s="4" t="str">
        <f>"112.46"</f>
        <v>112.46</v>
      </c>
      <c r="G177" s="4" t="str">
        <f>"112.46"</f>
        <v>112.46</v>
      </c>
    </row>
    <row r="178" spans="1:7" ht="15.75" customHeight="1" x14ac:dyDescent="0.15">
      <c r="A178" s="1">
        <v>174</v>
      </c>
      <c r="B178" s="1">
        <v>9224</v>
      </c>
      <c r="C178" s="1" t="s">
        <v>322</v>
      </c>
      <c r="D178" s="1" t="s">
        <v>65</v>
      </c>
      <c r="E178" s="5" t="s">
        <v>1892</v>
      </c>
      <c r="F178" s="4" t="str">
        <f>"112.55"</f>
        <v>112.55</v>
      </c>
      <c r="G178" s="4" t="str">
        <f>"114.21"</f>
        <v>114.21</v>
      </c>
    </row>
    <row r="179" spans="1:7" ht="15.75" customHeight="1" x14ac:dyDescent="0.15">
      <c r="A179" s="1">
        <v>175</v>
      </c>
      <c r="B179" s="1">
        <v>141</v>
      </c>
      <c r="C179" s="1" t="s">
        <v>242</v>
      </c>
      <c r="D179" s="1" t="s">
        <v>16</v>
      </c>
      <c r="E179" s="5" t="s">
        <v>1892</v>
      </c>
      <c r="F179" s="4" t="str">
        <f>"112.80"</f>
        <v>112.80</v>
      </c>
      <c r="G179" s="4" t="str">
        <f>"120.32"</f>
        <v>120.32</v>
      </c>
    </row>
    <row r="180" spans="1:7" ht="15.75" customHeight="1" x14ac:dyDescent="0.15">
      <c r="A180" s="1">
        <v>176</v>
      </c>
      <c r="B180" s="1">
        <v>9214</v>
      </c>
      <c r="C180" s="1" t="s">
        <v>325</v>
      </c>
      <c r="D180" s="1" t="s">
        <v>72</v>
      </c>
      <c r="E180" s="5" t="s">
        <v>1892</v>
      </c>
      <c r="F180" s="4" t="str">
        <f>"113.22"</f>
        <v>113.22</v>
      </c>
      <c r="G180" s="4" t="str">
        <f>"113.22"</f>
        <v>113.22</v>
      </c>
    </row>
    <row r="181" spans="1:7" ht="15.75" customHeight="1" x14ac:dyDescent="0.15">
      <c r="A181" s="1">
        <v>177</v>
      </c>
      <c r="B181" s="1">
        <v>7177</v>
      </c>
      <c r="C181" s="1" t="s">
        <v>248</v>
      </c>
      <c r="D181" s="1" t="s">
        <v>27</v>
      </c>
      <c r="E181" s="5" t="s">
        <v>1892</v>
      </c>
      <c r="F181" s="4" t="str">
        <f>"113.23"</f>
        <v>113.23</v>
      </c>
      <c r="G181" s="4" t="str">
        <f>"113.23"</f>
        <v>113.23</v>
      </c>
    </row>
    <row r="182" spans="1:7" ht="15.75" customHeight="1" x14ac:dyDescent="0.15">
      <c r="A182" s="1">
        <v>178</v>
      </c>
      <c r="B182" s="1">
        <v>8778</v>
      </c>
      <c r="C182" s="1" t="s">
        <v>243</v>
      </c>
      <c r="D182" s="1" t="s">
        <v>7</v>
      </c>
      <c r="E182" s="5" t="s">
        <v>1892</v>
      </c>
      <c r="F182" s="4" t="str">
        <f>"113.63"</f>
        <v>113.63</v>
      </c>
      <c r="G182" s="4"/>
    </row>
    <row r="183" spans="1:7" ht="15.75" customHeight="1" x14ac:dyDescent="0.15">
      <c r="A183" s="1">
        <v>179</v>
      </c>
      <c r="B183" s="1">
        <v>1226</v>
      </c>
      <c r="C183" s="1" t="s">
        <v>323</v>
      </c>
      <c r="D183" s="1" t="s">
        <v>27</v>
      </c>
      <c r="E183" s="5" t="s">
        <v>1892</v>
      </c>
      <c r="F183" s="4" t="str">
        <f>"114.81"</f>
        <v>114.81</v>
      </c>
      <c r="G183" s="4" t="str">
        <f>"117.89"</f>
        <v>117.89</v>
      </c>
    </row>
    <row r="184" spans="1:7" ht="15.75" customHeight="1" x14ac:dyDescent="0.15">
      <c r="A184" s="1">
        <v>180</v>
      </c>
      <c r="B184" s="1">
        <v>2408</v>
      </c>
      <c r="C184" s="1" t="s">
        <v>331</v>
      </c>
      <c r="D184" s="1" t="s">
        <v>5</v>
      </c>
      <c r="E184" s="5" t="s">
        <v>1892</v>
      </c>
      <c r="F184" s="4" t="str">
        <f>"115.16"</f>
        <v>115.16</v>
      </c>
      <c r="G184" s="4" t="str">
        <f>"115.16"</f>
        <v>115.16</v>
      </c>
    </row>
    <row r="185" spans="1:7" ht="15.75" customHeight="1" x14ac:dyDescent="0.15">
      <c r="A185" s="1">
        <v>181</v>
      </c>
      <c r="B185" s="1">
        <v>3414</v>
      </c>
      <c r="C185" s="1" t="s">
        <v>261</v>
      </c>
      <c r="D185" s="1" t="s">
        <v>57</v>
      </c>
      <c r="E185" s="5" t="s">
        <v>1892</v>
      </c>
      <c r="F185" s="4" t="str">
        <f>"115.36"</f>
        <v>115.36</v>
      </c>
      <c r="G185" s="4" t="str">
        <f>"121.72"</f>
        <v>121.72</v>
      </c>
    </row>
    <row r="186" spans="1:7" ht="15.75" customHeight="1" x14ac:dyDescent="0.15">
      <c r="A186" s="1">
        <v>182</v>
      </c>
      <c r="B186" s="1">
        <v>10278</v>
      </c>
      <c r="C186" s="1" t="s">
        <v>332</v>
      </c>
      <c r="D186" s="1" t="s">
        <v>6</v>
      </c>
      <c r="E186" s="5" t="s">
        <v>1892</v>
      </c>
      <c r="F186" s="4" t="str">
        <f>"115.63"</f>
        <v>115.63</v>
      </c>
      <c r="G186" s="4" t="str">
        <f>"115.63"</f>
        <v>115.63</v>
      </c>
    </row>
    <row r="187" spans="1:7" ht="15.75" customHeight="1" x14ac:dyDescent="0.15">
      <c r="A187" s="1">
        <v>183</v>
      </c>
      <c r="B187" s="1">
        <v>10355</v>
      </c>
      <c r="C187" s="1" t="s">
        <v>259</v>
      </c>
      <c r="D187" s="1" t="s">
        <v>260</v>
      </c>
      <c r="E187" s="5" t="s">
        <v>1892</v>
      </c>
      <c r="F187" s="4" t="str">
        <f>"116.28"</f>
        <v>116.28</v>
      </c>
      <c r="G187" s="4" t="str">
        <f>"116.28"</f>
        <v>116.28</v>
      </c>
    </row>
    <row r="188" spans="1:7" ht="15.75" customHeight="1" x14ac:dyDescent="0.15">
      <c r="A188" s="1">
        <v>184</v>
      </c>
      <c r="B188" s="1">
        <v>8103</v>
      </c>
      <c r="C188" s="1" t="s">
        <v>288</v>
      </c>
      <c r="D188" s="1" t="s">
        <v>26</v>
      </c>
      <c r="E188" s="5" t="s">
        <v>1892</v>
      </c>
      <c r="F188" s="4" t="str">
        <f>"116.89"</f>
        <v>116.89</v>
      </c>
      <c r="G188" s="4" t="str">
        <f>"116.89"</f>
        <v>116.89</v>
      </c>
    </row>
    <row r="189" spans="1:7" ht="15.75" customHeight="1" x14ac:dyDescent="0.15">
      <c r="A189" s="1">
        <v>185</v>
      </c>
      <c r="B189" s="1">
        <v>600</v>
      </c>
      <c r="C189" s="1" t="s">
        <v>621</v>
      </c>
      <c r="D189" s="1" t="s">
        <v>39</v>
      </c>
      <c r="E189" s="5" t="s">
        <v>1892</v>
      </c>
      <c r="F189" s="4" t="str">
        <f>"117.13"</f>
        <v>117.13</v>
      </c>
      <c r="G189" s="4" t="str">
        <f>"117.13"</f>
        <v>117.13</v>
      </c>
    </row>
    <row r="190" spans="1:7" ht="15.75" customHeight="1" x14ac:dyDescent="0.15">
      <c r="A190" s="1">
        <v>186</v>
      </c>
      <c r="B190" s="1">
        <v>412</v>
      </c>
      <c r="C190" s="1" t="s">
        <v>395</v>
      </c>
      <c r="D190" s="1" t="s">
        <v>42</v>
      </c>
      <c r="E190" s="5" t="s">
        <v>1892</v>
      </c>
      <c r="F190" s="4" t="str">
        <f>"118.63"</f>
        <v>118.63</v>
      </c>
      <c r="G190" s="4" t="str">
        <f>"118.63"</f>
        <v>118.63</v>
      </c>
    </row>
    <row r="191" spans="1:7" ht="15.75" customHeight="1" x14ac:dyDescent="0.15">
      <c r="A191" s="1">
        <v>187</v>
      </c>
      <c r="B191" s="1">
        <v>6310</v>
      </c>
      <c r="C191" s="1" t="s">
        <v>267</v>
      </c>
      <c r="D191" s="1" t="s">
        <v>94</v>
      </c>
      <c r="E191" s="5" t="s">
        <v>1892</v>
      </c>
      <c r="F191" s="4" t="str">
        <f>"118.73"</f>
        <v>118.73</v>
      </c>
      <c r="G191" s="4" t="str">
        <f>"118.73"</f>
        <v>118.73</v>
      </c>
    </row>
    <row r="192" spans="1:7" ht="15.75" customHeight="1" x14ac:dyDescent="0.15">
      <c r="A192" s="1">
        <v>188</v>
      </c>
      <c r="B192" s="1">
        <v>5159</v>
      </c>
      <c r="C192" s="1" t="s">
        <v>340</v>
      </c>
      <c r="D192" s="1" t="s">
        <v>5</v>
      </c>
      <c r="E192" s="5" t="s">
        <v>1892</v>
      </c>
      <c r="F192" s="4" t="str">
        <f>"119.23"</f>
        <v>119.23</v>
      </c>
      <c r="G192" s="4" t="str">
        <f>"119.23"</f>
        <v>119.23</v>
      </c>
    </row>
    <row r="193" spans="1:7" ht="15.75" customHeight="1" x14ac:dyDescent="0.15">
      <c r="A193" s="1">
        <v>189</v>
      </c>
      <c r="B193" s="1">
        <v>9685</v>
      </c>
      <c r="C193" s="1" t="s">
        <v>268</v>
      </c>
      <c r="D193" s="1" t="s">
        <v>6</v>
      </c>
      <c r="E193" s="5" t="s">
        <v>1892</v>
      </c>
      <c r="F193" s="4" t="str">
        <f>"119.33"</f>
        <v>119.33</v>
      </c>
      <c r="G193" s="4" t="str">
        <f>"119.33"</f>
        <v>119.33</v>
      </c>
    </row>
    <row r="194" spans="1:7" ht="15.75" customHeight="1" x14ac:dyDescent="0.15">
      <c r="A194" s="1">
        <v>190</v>
      </c>
      <c r="B194" s="1">
        <v>2636</v>
      </c>
      <c r="C194" s="1" t="s">
        <v>439</v>
      </c>
      <c r="D194" s="1" t="s">
        <v>27</v>
      </c>
      <c r="E194" s="5" t="s">
        <v>1892</v>
      </c>
      <c r="F194" s="4" t="str">
        <f>"119.41"</f>
        <v>119.41</v>
      </c>
      <c r="G194" s="4" t="str">
        <f>"119.41"</f>
        <v>119.41</v>
      </c>
    </row>
    <row r="195" spans="1:7" ht="15.75" customHeight="1" x14ac:dyDescent="0.15">
      <c r="A195" s="1">
        <v>191</v>
      </c>
      <c r="B195" s="1">
        <v>3557</v>
      </c>
      <c r="C195" s="1" t="s">
        <v>341</v>
      </c>
      <c r="D195" s="1" t="s">
        <v>342</v>
      </c>
      <c r="E195" s="5" t="s">
        <v>1892</v>
      </c>
      <c r="F195" s="4" t="str">
        <f>"119.76"</f>
        <v>119.76</v>
      </c>
      <c r="G195" s="4" t="str">
        <f>"119.76"</f>
        <v>119.76</v>
      </c>
    </row>
    <row r="196" spans="1:7" ht="15.75" customHeight="1" x14ac:dyDescent="0.15">
      <c r="A196" s="1">
        <v>192</v>
      </c>
      <c r="B196" s="1">
        <v>9752</v>
      </c>
      <c r="C196" s="1" t="s">
        <v>280</v>
      </c>
      <c r="D196" s="1" t="s">
        <v>281</v>
      </c>
      <c r="E196" s="5" t="s">
        <v>1892</v>
      </c>
      <c r="F196" s="4" t="str">
        <f>"120.12"</f>
        <v>120.12</v>
      </c>
      <c r="G196" s="4" t="str">
        <f>"120.12"</f>
        <v>120.12</v>
      </c>
    </row>
    <row r="197" spans="1:7" ht="15.75" customHeight="1" x14ac:dyDescent="0.15">
      <c r="A197" s="1">
        <v>193</v>
      </c>
      <c r="B197" s="1">
        <v>3655</v>
      </c>
      <c r="C197" s="1" t="s">
        <v>256</v>
      </c>
      <c r="D197" s="1" t="s">
        <v>6</v>
      </c>
      <c r="E197" s="5" t="s">
        <v>1892</v>
      </c>
      <c r="F197" s="4" t="str">
        <f>"120.38"</f>
        <v>120.38</v>
      </c>
      <c r="G197" s="4" t="str">
        <f>"198.91"</f>
        <v>198.91</v>
      </c>
    </row>
    <row r="198" spans="1:7" ht="15.75" customHeight="1" x14ac:dyDescent="0.15">
      <c r="A198" s="1">
        <v>194</v>
      </c>
      <c r="B198" s="1">
        <v>6852</v>
      </c>
      <c r="C198" s="1" t="s">
        <v>257</v>
      </c>
      <c r="D198" s="1" t="s">
        <v>94</v>
      </c>
      <c r="E198" s="5" t="s">
        <v>1892</v>
      </c>
      <c r="F198" s="4" t="str">
        <f>"120.40"</f>
        <v>120.40</v>
      </c>
      <c r="G198" s="4" t="str">
        <f>"138.83"</f>
        <v>138.83</v>
      </c>
    </row>
    <row r="199" spans="1:7" ht="15.75" customHeight="1" x14ac:dyDescent="0.15">
      <c r="A199" s="1">
        <v>195</v>
      </c>
      <c r="B199" s="1">
        <v>7788</v>
      </c>
      <c r="C199" s="1" t="s">
        <v>299</v>
      </c>
      <c r="D199" s="1" t="s">
        <v>8</v>
      </c>
      <c r="E199" s="5" t="s">
        <v>1892</v>
      </c>
      <c r="F199" s="4" t="str">
        <f>"120.83"</f>
        <v>120.83</v>
      </c>
      <c r="G199" s="4" t="str">
        <f>"120.83"</f>
        <v>120.83</v>
      </c>
    </row>
    <row r="200" spans="1:7" ht="15.75" customHeight="1" x14ac:dyDescent="0.15">
      <c r="A200" s="1">
        <v>196</v>
      </c>
      <c r="B200" s="1">
        <v>2275</v>
      </c>
      <c r="C200" s="1" t="s">
        <v>301</v>
      </c>
      <c r="D200" s="1" t="s">
        <v>27</v>
      </c>
      <c r="E200" s="5" t="s">
        <v>1892</v>
      </c>
      <c r="F200" s="4" t="str">
        <f>"121.78"</f>
        <v>121.78</v>
      </c>
      <c r="G200" s="4" t="str">
        <f>"140.80"</f>
        <v>140.80</v>
      </c>
    </row>
    <row r="201" spans="1:7" ht="15.75" customHeight="1" x14ac:dyDescent="0.15">
      <c r="A201" s="1">
        <v>197</v>
      </c>
      <c r="B201" s="1">
        <v>6313</v>
      </c>
      <c r="C201" s="1" t="s">
        <v>269</v>
      </c>
      <c r="D201" s="1" t="s">
        <v>14</v>
      </c>
      <c r="E201" s="5" t="s">
        <v>1892</v>
      </c>
      <c r="F201" s="4" t="str">
        <f>"121.85"</f>
        <v>121.85</v>
      </c>
      <c r="G201" s="4" t="str">
        <f>"127.77"</f>
        <v>127.77</v>
      </c>
    </row>
    <row r="202" spans="1:7" ht="15.75" customHeight="1" x14ac:dyDescent="0.15">
      <c r="A202" s="1">
        <v>198</v>
      </c>
      <c r="B202" s="1">
        <v>199</v>
      </c>
      <c r="C202" s="1" t="s">
        <v>567</v>
      </c>
      <c r="D202" s="1" t="s">
        <v>148</v>
      </c>
      <c r="E202" s="5" t="s">
        <v>1892</v>
      </c>
      <c r="F202" s="4" t="str">
        <f>"122.04"</f>
        <v>122.04</v>
      </c>
      <c r="G202" s="4" t="str">
        <f>"122.04"</f>
        <v>122.04</v>
      </c>
    </row>
    <row r="203" spans="1:7" ht="15.75" customHeight="1" x14ac:dyDescent="0.15">
      <c r="A203" s="1">
        <v>199</v>
      </c>
      <c r="B203" s="1">
        <v>2918</v>
      </c>
      <c r="C203" s="1" t="s">
        <v>347</v>
      </c>
      <c r="D203" s="1" t="s">
        <v>36</v>
      </c>
      <c r="E203" s="5" t="s">
        <v>1892</v>
      </c>
      <c r="F203" s="4" t="str">
        <f>"122.11"</f>
        <v>122.11</v>
      </c>
      <c r="G203" s="4" t="str">
        <f>"122.11"</f>
        <v>122.11</v>
      </c>
    </row>
    <row r="204" spans="1:7" ht="15.75" customHeight="1" x14ac:dyDescent="0.15">
      <c r="A204" s="1">
        <v>200</v>
      </c>
      <c r="B204" s="1">
        <v>11081</v>
      </c>
      <c r="C204" s="1" t="s">
        <v>236</v>
      </c>
      <c r="D204" s="1" t="s">
        <v>37</v>
      </c>
      <c r="E204" s="5" t="s">
        <v>1892</v>
      </c>
      <c r="F204" s="4" t="str">
        <f>"122.64"</f>
        <v>122.64</v>
      </c>
      <c r="G204" s="4" t="str">
        <f>"169.29"</f>
        <v>169.29</v>
      </c>
    </row>
    <row r="205" spans="1:7" ht="15.75" customHeight="1" x14ac:dyDescent="0.15">
      <c r="A205" s="1">
        <v>201</v>
      </c>
      <c r="B205" s="1">
        <v>3526</v>
      </c>
      <c r="C205" s="1" t="s">
        <v>328</v>
      </c>
      <c r="D205" s="1" t="s">
        <v>27</v>
      </c>
      <c r="E205" s="5" t="s">
        <v>1892</v>
      </c>
      <c r="F205" s="4" t="str">
        <f>"122.74"</f>
        <v>122.74</v>
      </c>
      <c r="G205" s="4" t="str">
        <f>"131.60"</f>
        <v>131.60</v>
      </c>
    </row>
    <row r="206" spans="1:7" ht="15.75" customHeight="1" x14ac:dyDescent="0.15">
      <c r="A206" s="1">
        <v>202</v>
      </c>
      <c r="B206" s="1">
        <v>6314</v>
      </c>
      <c r="C206" s="1" t="s">
        <v>405</v>
      </c>
      <c r="D206" s="1" t="s">
        <v>79</v>
      </c>
      <c r="E206" s="5" t="s">
        <v>1892</v>
      </c>
      <c r="F206" s="4" t="str">
        <f>"122.77"</f>
        <v>122.77</v>
      </c>
      <c r="G206" s="4" t="str">
        <f>"122.77"</f>
        <v>122.77</v>
      </c>
    </row>
    <row r="207" spans="1:7" ht="15.75" customHeight="1" x14ac:dyDescent="0.15">
      <c r="A207" s="1">
        <v>203</v>
      </c>
      <c r="B207" s="1">
        <v>10236</v>
      </c>
      <c r="C207" s="1" t="s">
        <v>265</v>
      </c>
      <c r="D207" s="1" t="s">
        <v>5</v>
      </c>
      <c r="E207" s="5" t="s">
        <v>1892</v>
      </c>
      <c r="F207" s="4" t="str">
        <f>"122.98"</f>
        <v>122.98</v>
      </c>
      <c r="G207" s="4" t="str">
        <f>"128.76"</f>
        <v>128.76</v>
      </c>
    </row>
    <row r="208" spans="1:7" ht="15.75" customHeight="1" x14ac:dyDescent="0.15">
      <c r="A208" s="1">
        <v>204</v>
      </c>
      <c r="B208" s="1">
        <v>4196</v>
      </c>
      <c r="C208" s="1" t="s">
        <v>349</v>
      </c>
      <c r="D208" s="1" t="s">
        <v>19</v>
      </c>
      <c r="E208" s="5" t="s">
        <v>1892</v>
      </c>
      <c r="F208" s="4" t="str">
        <f>"123.35"</f>
        <v>123.35</v>
      </c>
      <c r="G208" s="4" t="str">
        <f>"123.35"</f>
        <v>123.35</v>
      </c>
    </row>
    <row r="209" spans="1:7" ht="15.75" customHeight="1" x14ac:dyDescent="0.15">
      <c r="A209" s="1">
        <v>205</v>
      </c>
      <c r="B209" s="1">
        <v>1817</v>
      </c>
      <c r="C209" s="1" t="s">
        <v>351</v>
      </c>
      <c r="D209" s="1" t="s">
        <v>8</v>
      </c>
      <c r="E209" s="5" t="s">
        <v>1892</v>
      </c>
      <c r="F209" s="4" t="str">
        <f>"123.56"</f>
        <v>123.56</v>
      </c>
      <c r="G209" s="4" t="str">
        <f>"123.56"</f>
        <v>123.56</v>
      </c>
    </row>
    <row r="210" spans="1:7" ht="15.75" customHeight="1" x14ac:dyDescent="0.15">
      <c r="A210" s="1">
        <v>206</v>
      </c>
      <c r="B210" s="1">
        <v>2480</v>
      </c>
      <c r="C210" s="1" t="s">
        <v>356</v>
      </c>
      <c r="D210" s="1" t="s">
        <v>55</v>
      </c>
      <c r="E210" s="5" t="s">
        <v>1892</v>
      </c>
      <c r="F210" s="4" t="str">
        <f>"125.71"</f>
        <v>125.71</v>
      </c>
      <c r="G210" s="4" t="str">
        <f>"125.71"</f>
        <v>125.71</v>
      </c>
    </row>
    <row r="211" spans="1:7" ht="15.75" customHeight="1" x14ac:dyDescent="0.15">
      <c r="A211" s="1">
        <v>207</v>
      </c>
      <c r="B211" s="1">
        <v>2718</v>
      </c>
      <c r="C211" s="1" t="s">
        <v>277</v>
      </c>
      <c r="D211" s="1" t="s">
        <v>6</v>
      </c>
      <c r="E211" s="5" t="s">
        <v>1892</v>
      </c>
      <c r="F211" s="4" t="str">
        <f>"126.24"</f>
        <v>126.24</v>
      </c>
      <c r="G211" s="4" t="str">
        <f>"161.36"</f>
        <v>161.36</v>
      </c>
    </row>
    <row r="212" spans="1:7" ht="15.75" customHeight="1" x14ac:dyDescent="0.15">
      <c r="A212" s="1">
        <v>208</v>
      </c>
      <c r="B212" s="1">
        <v>198</v>
      </c>
      <c r="C212" s="1" t="s">
        <v>358</v>
      </c>
      <c r="D212" s="1" t="s">
        <v>148</v>
      </c>
      <c r="E212" s="5" t="s">
        <v>1892</v>
      </c>
      <c r="F212" s="4" t="str">
        <f>"126.32"</f>
        <v>126.32</v>
      </c>
      <c r="G212" s="4" t="str">
        <f>"126.32"</f>
        <v>126.32</v>
      </c>
    </row>
    <row r="213" spans="1:7" ht="15.75" customHeight="1" x14ac:dyDescent="0.15">
      <c r="A213" s="1">
        <v>209</v>
      </c>
      <c r="B213" s="1">
        <v>5493</v>
      </c>
      <c r="C213" s="1" t="s">
        <v>412</v>
      </c>
      <c r="D213" s="1" t="s">
        <v>255</v>
      </c>
      <c r="E213" s="5" t="s">
        <v>1892</v>
      </c>
      <c r="F213" s="4" t="str">
        <f>"127.65"</f>
        <v>127.65</v>
      </c>
      <c r="G213" s="4" t="str">
        <f>"127.65"</f>
        <v>127.65</v>
      </c>
    </row>
    <row r="214" spans="1:7" ht="15.75" customHeight="1" x14ac:dyDescent="0.15">
      <c r="A214" s="1">
        <v>210</v>
      </c>
      <c r="B214" s="1">
        <v>10504</v>
      </c>
      <c r="C214" s="1" t="s">
        <v>272</v>
      </c>
      <c r="D214" s="1" t="s">
        <v>5</v>
      </c>
      <c r="E214" s="5" t="s">
        <v>1892</v>
      </c>
      <c r="F214" s="4" t="str">
        <f>"128.17"</f>
        <v>128.17</v>
      </c>
      <c r="G214" s="4" t="str">
        <f>"185.38"</f>
        <v>185.38</v>
      </c>
    </row>
    <row r="215" spans="1:7" ht="15.75" customHeight="1" x14ac:dyDescent="0.15">
      <c r="A215" s="1">
        <v>211</v>
      </c>
      <c r="B215" s="1">
        <v>5273</v>
      </c>
      <c r="C215" s="1" t="s">
        <v>361</v>
      </c>
      <c r="D215" s="1" t="s">
        <v>8</v>
      </c>
      <c r="E215" s="5" t="s">
        <v>1892</v>
      </c>
      <c r="F215" s="4" t="str">
        <f>"129.34"</f>
        <v>129.34</v>
      </c>
      <c r="G215" s="4" t="str">
        <f>"129.34"</f>
        <v>129.34</v>
      </c>
    </row>
    <row r="216" spans="1:7" ht="15.75" customHeight="1" x14ac:dyDescent="0.15">
      <c r="A216" s="1">
        <v>212</v>
      </c>
      <c r="B216" s="1">
        <v>3908</v>
      </c>
      <c r="C216" s="1" t="s">
        <v>426</v>
      </c>
      <c r="D216" s="1" t="s">
        <v>94</v>
      </c>
      <c r="E216" s="5" t="s">
        <v>1892</v>
      </c>
      <c r="F216" s="4" t="str">
        <f>"129.50"</f>
        <v>129.50</v>
      </c>
      <c r="G216" s="4" t="str">
        <f>"129.50"</f>
        <v>129.50</v>
      </c>
    </row>
    <row r="217" spans="1:7" ht="15.75" customHeight="1" x14ac:dyDescent="0.15">
      <c r="A217" s="1">
        <v>213</v>
      </c>
      <c r="B217" s="1">
        <v>4039</v>
      </c>
      <c r="C217" s="1" t="s">
        <v>292</v>
      </c>
      <c r="D217" s="1" t="s">
        <v>37</v>
      </c>
      <c r="E217" s="5" t="s">
        <v>1892</v>
      </c>
      <c r="F217" s="4" t="str">
        <f>"130.35"</f>
        <v>130.35</v>
      </c>
      <c r="G217" s="4" t="str">
        <f>"136.35"</f>
        <v>136.35</v>
      </c>
    </row>
    <row r="218" spans="1:7" ht="15.75" customHeight="1" x14ac:dyDescent="0.15">
      <c r="A218" s="1">
        <v>214</v>
      </c>
      <c r="B218" s="1">
        <v>10087</v>
      </c>
      <c r="C218" s="1" t="s">
        <v>363</v>
      </c>
      <c r="D218" s="1" t="s">
        <v>50</v>
      </c>
      <c r="E218" s="5" t="s">
        <v>1892</v>
      </c>
      <c r="F218" s="4" t="str">
        <f>"130.69"</f>
        <v>130.69</v>
      </c>
      <c r="G218" s="4" t="str">
        <f>"130.69"</f>
        <v>130.69</v>
      </c>
    </row>
    <row r="219" spans="1:7" ht="15.75" customHeight="1" x14ac:dyDescent="0.15">
      <c r="A219" s="1">
        <v>215</v>
      </c>
      <c r="B219" s="1">
        <v>10334</v>
      </c>
      <c r="C219" s="1" t="s">
        <v>365</v>
      </c>
      <c r="D219" s="1" t="s">
        <v>19</v>
      </c>
      <c r="E219" s="5" t="s">
        <v>1892</v>
      </c>
      <c r="F219" s="4" t="str">
        <f>"131.05"</f>
        <v>131.05</v>
      </c>
      <c r="G219" s="4" t="str">
        <f>"131.05"</f>
        <v>131.05</v>
      </c>
    </row>
    <row r="220" spans="1:7" ht="15.75" customHeight="1" x14ac:dyDescent="0.15">
      <c r="A220" s="1">
        <v>216</v>
      </c>
      <c r="B220" s="1">
        <v>3699</v>
      </c>
      <c r="C220" s="1" t="s">
        <v>305</v>
      </c>
      <c r="D220" s="1" t="s">
        <v>306</v>
      </c>
      <c r="E220" s="5" t="s">
        <v>1892</v>
      </c>
      <c r="F220" s="4" t="str">
        <f>"131.09"</f>
        <v>131.09</v>
      </c>
      <c r="G220" s="4" t="str">
        <f>"131.09"</f>
        <v>131.09</v>
      </c>
    </row>
    <row r="221" spans="1:7" ht="15.75" customHeight="1" x14ac:dyDescent="0.15">
      <c r="A221" s="1">
        <v>217</v>
      </c>
      <c r="B221" s="1">
        <v>10320</v>
      </c>
      <c r="C221" s="1" t="s">
        <v>367</v>
      </c>
      <c r="D221" s="1" t="s">
        <v>24</v>
      </c>
      <c r="E221" s="5" t="s">
        <v>1892</v>
      </c>
      <c r="F221" s="4" t="str">
        <f>"131.24"</f>
        <v>131.24</v>
      </c>
      <c r="G221" s="4" t="str">
        <f>"131.24"</f>
        <v>131.24</v>
      </c>
    </row>
    <row r="222" spans="1:7" ht="15.75" customHeight="1" x14ac:dyDescent="0.15">
      <c r="A222" s="1">
        <v>218</v>
      </c>
      <c r="B222" s="1">
        <v>7504</v>
      </c>
      <c r="C222" s="1" t="s">
        <v>279</v>
      </c>
      <c r="D222" s="1" t="s">
        <v>60</v>
      </c>
      <c r="E222" s="5" t="s">
        <v>1892</v>
      </c>
      <c r="F222" s="4" t="str">
        <f>"131.63"</f>
        <v>131.63</v>
      </c>
      <c r="G222" s="4" t="str">
        <f>"144.12"</f>
        <v>144.12</v>
      </c>
    </row>
    <row r="223" spans="1:7" ht="15.75" customHeight="1" x14ac:dyDescent="0.15">
      <c r="A223" s="1">
        <v>219</v>
      </c>
      <c r="B223" s="1">
        <v>5414</v>
      </c>
      <c r="C223" s="1" t="s">
        <v>370</v>
      </c>
      <c r="D223" s="1" t="s">
        <v>58</v>
      </c>
      <c r="E223" s="5" t="s">
        <v>1892</v>
      </c>
      <c r="F223" s="4" t="str">
        <f>"132.23"</f>
        <v>132.23</v>
      </c>
      <c r="G223" s="4" t="str">
        <f>"132.23"</f>
        <v>132.23</v>
      </c>
    </row>
    <row r="224" spans="1:7" ht="15.75" customHeight="1" x14ac:dyDescent="0.15">
      <c r="A224" s="1">
        <v>220</v>
      </c>
      <c r="B224" s="1">
        <v>134</v>
      </c>
      <c r="C224" s="1" t="s">
        <v>373</v>
      </c>
      <c r="D224" s="1" t="s">
        <v>24</v>
      </c>
      <c r="E224" s="5" t="s">
        <v>1892</v>
      </c>
      <c r="F224" s="4" t="str">
        <f>"133.04"</f>
        <v>133.04</v>
      </c>
      <c r="G224" s="4" t="str">
        <f>"133.04"</f>
        <v>133.04</v>
      </c>
    </row>
    <row r="225" spans="1:7" ht="15.75" customHeight="1" x14ac:dyDescent="0.15">
      <c r="A225" s="1">
        <v>221</v>
      </c>
      <c r="B225" s="1">
        <v>3703</v>
      </c>
      <c r="C225" s="1" t="s">
        <v>282</v>
      </c>
      <c r="D225" s="1" t="s">
        <v>89</v>
      </c>
      <c r="E225" s="5" t="s">
        <v>1892</v>
      </c>
      <c r="F225" s="4" t="str">
        <f>"133.27"</f>
        <v>133.27</v>
      </c>
      <c r="G225" s="4" t="str">
        <f>"150.16"</f>
        <v>150.16</v>
      </c>
    </row>
    <row r="226" spans="1:7" ht="15.75" customHeight="1" x14ac:dyDescent="0.15">
      <c r="A226" s="1">
        <v>222</v>
      </c>
      <c r="B226" s="1">
        <v>1435</v>
      </c>
      <c r="C226" s="1" t="s">
        <v>314</v>
      </c>
      <c r="D226" s="1" t="s">
        <v>17</v>
      </c>
      <c r="E226" s="5" t="s">
        <v>1892</v>
      </c>
      <c r="F226" s="4" t="str">
        <f>"133.92"</f>
        <v>133.92</v>
      </c>
      <c r="G226" s="4" t="str">
        <f>"133.92"</f>
        <v>133.92</v>
      </c>
    </row>
    <row r="227" spans="1:7" ht="15.75" customHeight="1" x14ac:dyDescent="0.15">
      <c r="A227" s="1">
        <v>223</v>
      </c>
      <c r="B227" s="1">
        <v>7123</v>
      </c>
      <c r="C227" s="1" t="s">
        <v>329</v>
      </c>
      <c r="D227" s="1" t="s">
        <v>36</v>
      </c>
      <c r="E227" s="5" t="s">
        <v>1892</v>
      </c>
      <c r="F227" s="4" t="str">
        <f>"134.31"</f>
        <v>134.31</v>
      </c>
      <c r="G227" s="4" t="str">
        <f>"154.19"</f>
        <v>154.19</v>
      </c>
    </row>
    <row r="228" spans="1:7" ht="15.75" customHeight="1" x14ac:dyDescent="0.15">
      <c r="A228" s="1">
        <v>224</v>
      </c>
      <c r="B228" s="1">
        <v>8378</v>
      </c>
      <c r="C228" s="1" t="s">
        <v>759</v>
      </c>
      <c r="D228" s="1" t="s">
        <v>47</v>
      </c>
      <c r="E228" s="5" t="s">
        <v>1892</v>
      </c>
      <c r="F228" s="4" t="str">
        <f>"135.19"</f>
        <v>135.19</v>
      </c>
      <c r="G228" s="4" t="str">
        <f>"135.19"</f>
        <v>135.19</v>
      </c>
    </row>
    <row r="229" spans="1:7" ht="15.75" customHeight="1" x14ac:dyDescent="0.15">
      <c r="A229" s="1">
        <v>225</v>
      </c>
      <c r="B229" s="1">
        <v>10277</v>
      </c>
      <c r="C229" s="1" t="s">
        <v>371</v>
      </c>
      <c r="D229" s="1" t="s">
        <v>6</v>
      </c>
      <c r="E229" s="5" t="s">
        <v>1892</v>
      </c>
      <c r="F229" s="4" t="str">
        <f>"136.25"</f>
        <v>136.25</v>
      </c>
      <c r="G229" s="4" t="str">
        <f>"139.71"</f>
        <v>139.71</v>
      </c>
    </row>
    <row r="230" spans="1:7" ht="15.75" customHeight="1" x14ac:dyDescent="0.15">
      <c r="A230" s="1">
        <v>226</v>
      </c>
      <c r="B230" s="1">
        <v>3432</v>
      </c>
      <c r="C230" s="1" t="s">
        <v>337</v>
      </c>
      <c r="D230" s="1" t="s">
        <v>4</v>
      </c>
      <c r="E230" s="5" t="s">
        <v>1892</v>
      </c>
      <c r="F230" s="4" t="str">
        <f>"136.41"</f>
        <v>136.41</v>
      </c>
      <c r="G230" s="4" t="str">
        <f>"136.41"</f>
        <v>136.41</v>
      </c>
    </row>
    <row r="231" spans="1:7" ht="15.75" customHeight="1" x14ac:dyDescent="0.15">
      <c r="A231" s="1">
        <v>227</v>
      </c>
      <c r="B231" s="1">
        <v>3008</v>
      </c>
      <c r="C231" s="1" t="s">
        <v>380</v>
      </c>
      <c r="D231" s="1" t="s">
        <v>141</v>
      </c>
      <c r="E231" s="5" t="s">
        <v>1892</v>
      </c>
      <c r="F231" s="4" t="str">
        <f>"136.46"</f>
        <v>136.46</v>
      </c>
      <c r="G231" s="4" t="str">
        <f>"136.46"</f>
        <v>136.46</v>
      </c>
    </row>
    <row r="232" spans="1:7" ht="15.75" customHeight="1" x14ac:dyDescent="0.15">
      <c r="A232" s="1">
        <v>228</v>
      </c>
      <c r="B232" s="1">
        <v>3179</v>
      </c>
      <c r="C232" s="1" t="s">
        <v>382</v>
      </c>
      <c r="D232" s="1" t="s">
        <v>29</v>
      </c>
      <c r="E232" s="5" t="s">
        <v>1892</v>
      </c>
      <c r="F232" s="4" t="str">
        <f>"136.81"</f>
        <v>136.81</v>
      </c>
      <c r="G232" s="4" t="str">
        <f>"136.81"</f>
        <v>136.81</v>
      </c>
    </row>
    <row r="233" spans="1:7" ht="15.75" customHeight="1" x14ac:dyDescent="0.15">
      <c r="A233" s="1">
        <v>229</v>
      </c>
      <c r="B233" s="1">
        <v>6963</v>
      </c>
      <c r="C233" s="1" t="s">
        <v>355</v>
      </c>
      <c r="D233" s="1" t="s">
        <v>79</v>
      </c>
      <c r="E233" s="5" t="s">
        <v>1892</v>
      </c>
      <c r="F233" s="4" t="str">
        <f>"137.31"</f>
        <v>137.31</v>
      </c>
      <c r="G233" s="4" t="str">
        <f>"137.31"</f>
        <v>137.31</v>
      </c>
    </row>
    <row r="234" spans="1:7" ht="15.75" customHeight="1" x14ac:dyDescent="0.15">
      <c r="A234" s="1">
        <v>230</v>
      </c>
      <c r="B234" s="1">
        <v>11346</v>
      </c>
      <c r="C234" s="1" t="s">
        <v>289</v>
      </c>
      <c r="D234" s="1" t="s">
        <v>6</v>
      </c>
      <c r="E234" s="5" t="s">
        <v>1892</v>
      </c>
      <c r="F234" s="4" t="str">
        <f>"137.69"</f>
        <v>137.69</v>
      </c>
      <c r="G234" s="4"/>
    </row>
    <row r="235" spans="1:7" ht="15.75" customHeight="1" x14ac:dyDescent="0.15">
      <c r="A235" s="1">
        <v>231</v>
      </c>
      <c r="B235" s="1">
        <v>6871</v>
      </c>
      <c r="C235" s="1" t="s">
        <v>386</v>
      </c>
      <c r="D235" s="1" t="s">
        <v>69</v>
      </c>
      <c r="E235" s="5" t="s">
        <v>1892</v>
      </c>
      <c r="F235" s="4" t="str">
        <f>"138.21"</f>
        <v>138.21</v>
      </c>
      <c r="G235" s="4" t="str">
        <f>"138.21"</f>
        <v>138.21</v>
      </c>
    </row>
    <row r="236" spans="1:7" ht="15.75" customHeight="1" x14ac:dyDescent="0.15">
      <c r="A236" s="1">
        <v>232</v>
      </c>
      <c r="B236" s="1">
        <v>9967</v>
      </c>
      <c r="C236" s="1" t="s">
        <v>310</v>
      </c>
      <c r="D236" s="1" t="s">
        <v>7</v>
      </c>
      <c r="E236" s="5" t="s">
        <v>1892</v>
      </c>
      <c r="F236" s="4" t="str">
        <f>"138.56"</f>
        <v>138.56</v>
      </c>
      <c r="G236" s="4" t="str">
        <f>"147.61"</f>
        <v>147.61</v>
      </c>
    </row>
    <row r="237" spans="1:7" ht="15.75" customHeight="1" x14ac:dyDescent="0.15">
      <c r="A237" s="1">
        <v>233</v>
      </c>
      <c r="B237" s="1">
        <v>2782</v>
      </c>
      <c r="C237" s="1" t="s">
        <v>376</v>
      </c>
      <c r="D237" s="1" t="s">
        <v>208</v>
      </c>
      <c r="E237" s="5" t="s">
        <v>1892</v>
      </c>
      <c r="F237" s="4" t="str">
        <f>"138.91"</f>
        <v>138.91</v>
      </c>
      <c r="G237" s="4" t="str">
        <f>"138.91"</f>
        <v>138.91</v>
      </c>
    </row>
    <row r="238" spans="1:7" ht="15.75" customHeight="1" x14ac:dyDescent="0.15">
      <c r="A238" s="1">
        <v>234</v>
      </c>
      <c r="B238" s="1">
        <v>10815</v>
      </c>
      <c r="C238" s="1" t="s">
        <v>391</v>
      </c>
      <c r="D238" s="1" t="s">
        <v>19</v>
      </c>
      <c r="E238" s="5" t="s">
        <v>1892</v>
      </c>
      <c r="F238" s="4" t="str">
        <f>"139.93"</f>
        <v>139.93</v>
      </c>
      <c r="G238" s="4" t="str">
        <f>"139.93"</f>
        <v>139.93</v>
      </c>
    </row>
    <row r="239" spans="1:7" ht="15.75" customHeight="1" x14ac:dyDescent="0.15">
      <c r="A239" s="1">
        <v>235</v>
      </c>
      <c r="B239" s="1">
        <v>5551</v>
      </c>
      <c r="C239" s="1" t="s">
        <v>369</v>
      </c>
      <c r="D239" s="1" t="s">
        <v>37</v>
      </c>
      <c r="E239" s="5" t="s">
        <v>1892</v>
      </c>
      <c r="F239" s="4" t="str">
        <f>"140.19"</f>
        <v>140.19</v>
      </c>
      <c r="G239" s="4" t="str">
        <f>"140.19"</f>
        <v>140.19</v>
      </c>
    </row>
    <row r="240" spans="1:7" ht="15.75" customHeight="1" x14ac:dyDescent="0.15">
      <c r="A240" s="1">
        <v>236</v>
      </c>
      <c r="B240" s="1">
        <v>2017</v>
      </c>
      <c r="C240" s="1" t="s">
        <v>392</v>
      </c>
      <c r="D240" s="1" t="s">
        <v>388</v>
      </c>
      <c r="E240" s="5" t="s">
        <v>1892</v>
      </c>
      <c r="F240" s="4" t="str">
        <f>"140.25"</f>
        <v>140.25</v>
      </c>
      <c r="G240" s="4" t="str">
        <f>"140.25"</f>
        <v>140.25</v>
      </c>
    </row>
    <row r="241" spans="1:7" ht="15.75" customHeight="1" x14ac:dyDescent="0.15">
      <c r="A241" s="1">
        <v>237</v>
      </c>
      <c r="B241" s="1">
        <v>4377</v>
      </c>
      <c r="C241" s="1" t="s">
        <v>338</v>
      </c>
      <c r="D241" s="1" t="s">
        <v>17</v>
      </c>
      <c r="E241" s="5" t="s">
        <v>1892</v>
      </c>
      <c r="F241" s="4" t="str">
        <f>"140.27"</f>
        <v>140.27</v>
      </c>
      <c r="G241" s="4" t="str">
        <f>"140.65"</f>
        <v>140.65</v>
      </c>
    </row>
    <row r="242" spans="1:7" ht="15.75" customHeight="1" x14ac:dyDescent="0.15">
      <c r="A242" s="1">
        <v>238</v>
      </c>
      <c r="B242" s="1">
        <v>5262</v>
      </c>
      <c r="C242" s="1" t="s">
        <v>396</v>
      </c>
      <c r="D242" s="1" t="s">
        <v>14</v>
      </c>
      <c r="E242" s="5" t="s">
        <v>1892</v>
      </c>
      <c r="F242" s="4" t="str">
        <f>"140.65"</f>
        <v>140.65</v>
      </c>
      <c r="G242" s="4" t="str">
        <f>"140.65"</f>
        <v>140.65</v>
      </c>
    </row>
    <row r="243" spans="1:7" ht="15.75" customHeight="1" x14ac:dyDescent="0.15">
      <c r="A243" s="1">
        <v>239</v>
      </c>
      <c r="B243" s="1">
        <v>3627</v>
      </c>
      <c r="C243" s="1" t="s">
        <v>399</v>
      </c>
      <c r="D243" s="1" t="s">
        <v>4</v>
      </c>
      <c r="E243" s="5" t="s">
        <v>1892</v>
      </c>
      <c r="F243" s="4" t="str">
        <f>"141.73"</f>
        <v>141.73</v>
      </c>
      <c r="G243" s="4" t="str">
        <f>"141.73"</f>
        <v>141.73</v>
      </c>
    </row>
    <row r="244" spans="1:7" ht="15.75" customHeight="1" x14ac:dyDescent="0.15">
      <c r="A244" s="1">
        <v>240</v>
      </c>
      <c r="B244" s="1">
        <v>8632</v>
      </c>
      <c r="C244" s="1" t="s">
        <v>400</v>
      </c>
      <c r="D244" s="1" t="s">
        <v>5</v>
      </c>
      <c r="E244" s="5" t="s">
        <v>1892</v>
      </c>
      <c r="F244" s="4" t="str">
        <f>"141.83"</f>
        <v>141.83</v>
      </c>
      <c r="G244" s="4" t="str">
        <f>"141.83"</f>
        <v>141.83</v>
      </c>
    </row>
    <row r="245" spans="1:7" ht="15.75" customHeight="1" x14ac:dyDescent="0.15">
      <c r="A245" s="1">
        <v>241</v>
      </c>
      <c r="B245" s="1">
        <v>3684</v>
      </c>
      <c r="C245" s="1" t="s">
        <v>401</v>
      </c>
      <c r="D245" s="1" t="s">
        <v>42</v>
      </c>
      <c r="E245" s="5" t="s">
        <v>1892</v>
      </c>
      <c r="F245" s="4" t="str">
        <f>"142.04"</f>
        <v>142.04</v>
      </c>
      <c r="G245" s="4" t="str">
        <f>"142.04"</f>
        <v>142.04</v>
      </c>
    </row>
    <row r="246" spans="1:7" ht="15.75" customHeight="1" x14ac:dyDescent="0.15">
      <c r="A246" s="1">
        <v>242</v>
      </c>
      <c r="B246" s="1">
        <v>5483</v>
      </c>
      <c r="C246" s="1" t="s">
        <v>402</v>
      </c>
      <c r="D246" s="1" t="s">
        <v>19</v>
      </c>
      <c r="E246" s="5" t="s">
        <v>1892</v>
      </c>
      <c r="F246" s="4" t="str">
        <f>"142.30"</f>
        <v>142.30</v>
      </c>
      <c r="G246" s="4" t="str">
        <f>"142.30"</f>
        <v>142.30</v>
      </c>
    </row>
    <row r="247" spans="1:7" ht="15.75" customHeight="1" x14ac:dyDescent="0.15">
      <c r="A247" s="1">
        <v>243</v>
      </c>
      <c r="B247" s="1">
        <v>8372</v>
      </c>
      <c r="C247" s="1" t="s">
        <v>403</v>
      </c>
      <c r="D247" s="1" t="s">
        <v>250</v>
      </c>
      <c r="E247" s="5" t="s">
        <v>1892</v>
      </c>
      <c r="F247" s="4" t="str">
        <f>"142.41"</f>
        <v>142.41</v>
      </c>
      <c r="G247" s="4" t="str">
        <f>"142.41"</f>
        <v>142.41</v>
      </c>
    </row>
    <row r="248" spans="1:7" ht="15.75" customHeight="1" x14ac:dyDescent="0.15">
      <c r="A248" s="1">
        <v>244</v>
      </c>
      <c r="B248" s="1">
        <v>10695</v>
      </c>
      <c r="C248" s="1" t="s">
        <v>404</v>
      </c>
      <c r="D248" s="1" t="s">
        <v>32</v>
      </c>
      <c r="E248" s="5" t="s">
        <v>1892</v>
      </c>
      <c r="F248" s="4" t="str">
        <f>"142.47"</f>
        <v>142.47</v>
      </c>
      <c r="G248" s="4" t="str">
        <f>"142.47"</f>
        <v>142.47</v>
      </c>
    </row>
    <row r="249" spans="1:7" ht="15.75" customHeight="1" x14ac:dyDescent="0.15">
      <c r="A249" s="1">
        <v>245</v>
      </c>
      <c r="B249" s="1">
        <v>8628</v>
      </c>
      <c r="C249" s="1" t="s">
        <v>302</v>
      </c>
      <c r="D249" s="1" t="s">
        <v>5</v>
      </c>
      <c r="E249" s="5" t="s">
        <v>1892</v>
      </c>
      <c r="F249" s="4" t="str">
        <f>"142.81"</f>
        <v>142.81</v>
      </c>
      <c r="G249" s="4" t="str">
        <f>"241.75"</f>
        <v>241.75</v>
      </c>
    </row>
    <row r="250" spans="1:7" ht="15.75" customHeight="1" x14ac:dyDescent="0.15">
      <c r="A250" s="1">
        <v>246</v>
      </c>
      <c r="B250" s="1">
        <v>9547</v>
      </c>
      <c r="C250" s="1" t="s">
        <v>513</v>
      </c>
      <c r="D250" s="1" t="s">
        <v>38</v>
      </c>
      <c r="E250" s="5" t="s">
        <v>1892</v>
      </c>
      <c r="F250" s="4" t="str">
        <f>"143.11"</f>
        <v>143.11</v>
      </c>
      <c r="G250" s="4" t="str">
        <f>"143.11"</f>
        <v>143.11</v>
      </c>
    </row>
    <row r="251" spans="1:7" ht="15.75" customHeight="1" x14ac:dyDescent="0.15">
      <c r="A251" s="1">
        <v>247</v>
      </c>
      <c r="B251" s="1">
        <v>10673</v>
      </c>
      <c r="C251" s="1" t="s">
        <v>406</v>
      </c>
      <c r="D251" s="1" t="s">
        <v>4</v>
      </c>
      <c r="E251" s="5" t="s">
        <v>1892</v>
      </c>
      <c r="F251" s="4" t="str">
        <f>"143.17"</f>
        <v>143.17</v>
      </c>
      <c r="G251" s="4" t="str">
        <f>"143.17"</f>
        <v>143.17</v>
      </c>
    </row>
    <row r="252" spans="1:7" ht="15.75" customHeight="1" x14ac:dyDescent="0.15">
      <c r="A252" s="1">
        <v>248</v>
      </c>
      <c r="B252" s="1">
        <v>5871</v>
      </c>
      <c r="C252" s="1" t="s">
        <v>308</v>
      </c>
      <c r="D252" s="1" t="s">
        <v>309</v>
      </c>
      <c r="E252" s="5" t="s">
        <v>1892</v>
      </c>
      <c r="F252" s="4" t="str">
        <f>"144.01"</f>
        <v>144.01</v>
      </c>
      <c r="G252" s="4" t="str">
        <f>"158.86"</f>
        <v>158.86</v>
      </c>
    </row>
    <row r="253" spans="1:7" ht="15.75" customHeight="1" x14ac:dyDescent="0.15">
      <c r="A253" s="1">
        <v>249</v>
      </c>
      <c r="B253" s="1">
        <v>1247</v>
      </c>
      <c r="C253" s="1" t="s">
        <v>408</v>
      </c>
      <c r="D253" s="1" t="s">
        <v>39</v>
      </c>
      <c r="E253" s="5" t="s">
        <v>1892</v>
      </c>
      <c r="F253" s="4" t="str">
        <f>"144.11"</f>
        <v>144.11</v>
      </c>
      <c r="G253" s="4" t="str">
        <f>"144.11"</f>
        <v>144.11</v>
      </c>
    </row>
    <row r="254" spans="1:7" ht="15.75" customHeight="1" x14ac:dyDescent="0.15">
      <c r="A254" s="1">
        <v>250</v>
      </c>
      <c r="B254" s="1">
        <v>10537</v>
      </c>
      <c r="C254" s="1" t="s">
        <v>455</v>
      </c>
      <c r="D254" s="1" t="s">
        <v>5</v>
      </c>
      <c r="E254" s="5" t="s">
        <v>1892</v>
      </c>
      <c r="F254" s="4" t="str">
        <f>"144.51"</f>
        <v>144.51</v>
      </c>
      <c r="G254" s="4" t="str">
        <f>"144.51"</f>
        <v>144.51</v>
      </c>
    </row>
    <row r="255" spans="1:7" ht="15.75" customHeight="1" x14ac:dyDescent="0.15">
      <c r="A255" s="1">
        <v>251</v>
      </c>
      <c r="B255" s="1">
        <v>6859</v>
      </c>
      <c r="C255" s="1" t="s">
        <v>594</v>
      </c>
      <c r="D255" s="1" t="s">
        <v>595</v>
      </c>
      <c r="E255" s="5" t="s">
        <v>1892</v>
      </c>
      <c r="F255" s="4" t="str">
        <f>"144.55"</f>
        <v>144.55</v>
      </c>
      <c r="G255" s="4" t="str">
        <f>"144.55"</f>
        <v>144.55</v>
      </c>
    </row>
    <row r="256" spans="1:7" ht="15.75" customHeight="1" x14ac:dyDescent="0.15">
      <c r="A256" s="1">
        <v>252</v>
      </c>
      <c r="B256" s="1">
        <v>10999</v>
      </c>
      <c r="C256" s="1" t="s">
        <v>409</v>
      </c>
      <c r="D256" s="1" t="s">
        <v>342</v>
      </c>
      <c r="E256" s="5" t="s">
        <v>1892</v>
      </c>
      <c r="F256" s="4" t="str">
        <f>"144.58"</f>
        <v>144.58</v>
      </c>
      <c r="G256" s="4" t="str">
        <f>"144.58"</f>
        <v>144.58</v>
      </c>
    </row>
    <row r="257" spans="1:7" ht="15.75" customHeight="1" x14ac:dyDescent="0.15">
      <c r="A257" s="1">
        <v>253</v>
      </c>
      <c r="B257" s="1">
        <v>6757</v>
      </c>
      <c r="C257" s="1" t="s">
        <v>411</v>
      </c>
      <c r="D257" s="1" t="s">
        <v>88</v>
      </c>
      <c r="E257" s="5" t="s">
        <v>1892</v>
      </c>
      <c r="F257" s="4" t="str">
        <f>"145.18"</f>
        <v>145.18</v>
      </c>
      <c r="G257" s="4" t="str">
        <f>"145.18"</f>
        <v>145.18</v>
      </c>
    </row>
    <row r="258" spans="1:7" ht="15.75" customHeight="1" x14ac:dyDescent="0.15">
      <c r="A258" s="1">
        <v>254</v>
      </c>
      <c r="B258" s="1">
        <v>2188</v>
      </c>
      <c r="C258" s="1" t="s">
        <v>614</v>
      </c>
      <c r="D258" s="1" t="s">
        <v>36</v>
      </c>
      <c r="E258" s="5" t="s">
        <v>1892</v>
      </c>
      <c r="F258" s="4" t="str">
        <f>"145.56"</f>
        <v>145.56</v>
      </c>
      <c r="G258" s="4" t="str">
        <f>"145.56"</f>
        <v>145.56</v>
      </c>
    </row>
    <row r="259" spans="1:7" ht="15.75" customHeight="1" x14ac:dyDescent="0.15">
      <c r="A259" s="1">
        <v>255</v>
      </c>
      <c r="B259" s="1">
        <v>9143</v>
      </c>
      <c r="C259" s="1" t="s">
        <v>497</v>
      </c>
      <c r="D259" s="1" t="s">
        <v>21</v>
      </c>
      <c r="E259" s="5" t="s">
        <v>1892</v>
      </c>
      <c r="F259" s="4" t="str">
        <f>"145.70"</f>
        <v>145.70</v>
      </c>
      <c r="G259" s="4" t="str">
        <f>"145.70"</f>
        <v>145.70</v>
      </c>
    </row>
    <row r="260" spans="1:7" ht="15.75" customHeight="1" x14ac:dyDescent="0.15">
      <c r="A260" s="1">
        <v>256</v>
      </c>
      <c r="B260" s="1">
        <v>4429</v>
      </c>
      <c r="C260" s="1" t="s">
        <v>343</v>
      </c>
      <c r="D260" s="1" t="s">
        <v>34</v>
      </c>
      <c r="E260" s="5" t="s">
        <v>1892</v>
      </c>
      <c r="F260" s="4" t="str">
        <f>"145.84"</f>
        <v>145.84</v>
      </c>
      <c r="G260" s="4" t="str">
        <f>"145.84"</f>
        <v>145.84</v>
      </c>
    </row>
    <row r="261" spans="1:7" ht="15.75" customHeight="1" x14ac:dyDescent="0.15">
      <c r="A261" s="1">
        <v>257</v>
      </c>
      <c r="B261" s="1">
        <v>10106</v>
      </c>
      <c r="C261" s="1" t="s">
        <v>311</v>
      </c>
      <c r="D261" s="1" t="s">
        <v>312</v>
      </c>
      <c r="E261" s="5" t="s">
        <v>1892</v>
      </c>
      <c r="F261" s="4" t="str">
        <f>"145.94"</f>
        <v>145.94</v>
      </c>
      <c r="G261" s="4" t="str">
        <f>"177.99"</f>
        <v>177.99</v>
      </c>
    </row>
    <row r="262" spans="1:7" ht="15.75" customHeight="1" x14ac:dyDescent="0.15">
      <c r="A262" s="1">
        <v>258</v>
      </c>
      <c r="B262" s="1">
        <v>311</v>
      </c>
      <c r="C262" s="1" t="s">
        <v>673</v>
      </c>
      <c r="D262" s="1" t="s">
        <v>69</v>
      </c>
      <c r="E262" s="5" t="s">
        <v>1892</v>
      </c>
      <c r="F262" s="4" t="str">
        <f>"147.45"</f>
        <v>147.45</v>
      </c>
      <c r="G262" s="4" t="str">
        <f>"147.45"</f>
        <v>147.45</v>
      </c>
    </row>
    <row r="263" spans="1:7" ht="15.75" customHeight="1" x14ac:dyDescent="0.15">
      <c r="A263" s="1">
        <v>259</v>
      </c>
      <c r="B263" s="1">
        <v>2494</v>
      </c>
      <c r="C263" s="1" t="s">
        <v>318</v>
      </c>
      <c r="D263" s="1" t="s">
        <v>87</v>
      </c>
      <c r="E263" s="5" t="s">
        <v>1892</v>
      </c>
      <c r="F263" s="4" t="str">
        <f>"148.34"</f>
        <v>148.34</v>
      </c>
      <c r="G263" s="4" t="str">
        <f>"177.07"</f>
        <v>177.07</v>
      </c>
    </row>
    <row r="264" spans="1:7" ht="15.75" customHeight="1" x14ac:dyDescent="0.15">
      <c r="A264" s="1">
        <v>260</v>
      </c>
      <c r="B264" s="1">
        <v>8481</v>
      </c>
      <c r="C264" s="1" t="s">
        <v>416</v>
      </c>
      <c r="D264" s="1" t="s">
        <v>5</v>
      </c>
      <c r="E264" s="5" t="s">
        <v>1892</v>
      </c>
      <c r="F264" s="4" t="str">
        <f>"148.64"</f>
        <v>148.64</v>
      </c>
      <c r="G264" s="4" t="str">
        <f>"148.64"</f>
        <v>148.64</v>
      </c>
    </row>
    <row r="265" spans="1:7" ht="15.75" customHeight="1" x14ac:dyDescent="0.15">
      <c r="A265" s="1">
        <v>261</v>
      </c>
      <c r="B265" s="1">
        <v>10259</v>
      </c>
      <c r="C265" s="1" t="s">
        <v>359</v>
      </c>
      <c r="D265" s="1" t="s">
        <v>35</v>
      </c>
      <c r="E265" s="5" t="s">
        <v>1892</v>
      </c>
      <c r="F265" s="4" t="str">
        <f>"148.90"</f>
        <v>148.90</v>
      </c>
      <c r="G265" s="4" t="str">
        <f>"166.47"</f>
        <v>166.47</v>
      </c>
    </row>
    <row r="266" spans="1:7" ht="15.75" customHeight="1" x14ac:dyDescent="0.15">
      <c r="A266" s="1">
        <v>262</v>
      </c>
      <c r="B266" s="1">
        <v>8486</v>
      </c>
      <c r="C266" s="1" t="s">
        <v>348</v>
      </c>
      <c r="D266" s="1" t="s">
        <v>5</v>
      </c>
      <c r="E266" s="5" t="s">
        <v>1892</v>
      </c>
      <c r="F266" s="4" t="str">
        <f>"149.11"</f>
        <v>149.11</v>
      </c>
      <c r="G266" s="4" t="str">
        <f>"154.20"</f>
        <v>154.20</v>
      </c>
    </row>
    <row r="267" spans="1:7" ht="15.75" customHeight="1" x14ac:dyDescent="0.15">
      <c r="A267" s="1">
        <v>263</v>
      </c>
      <c r="B267" s="1">
        <v>6298</v>
      </c>
      <c r="C267" s="1" t="s">
        <v>418</v>
      </c>
      <c r="D267" s="1" t="s">
        <v>19</v>
      </c>
      <c r="E267" s="5" t="s">
        <v>1892</v>
      </c>
      <c r="F267" s="4" t="str">
        <f>"149.19"</f>
        <v>149.19</v>
      </c>
      <c r="G267" s="4" t="str">
        <f>"149.19"</f>
        <v>149.19</v>
      </c>
    </row>
    <row r="268" spans="1:7" ht="15.75" customHeight="1" x14ac:dyDescent="0.15">
      <c r="A268" s="1">
        <v>264</v>
      </c>
      <c r="B268" s="1">
        <v>4413</v>
      </c>
      <c r="C268" s="1" t="s">
        <v>419</v>
      </c>
      <c r="D268" s="1" t="s">
        <v>8</v>
      </c>
      <c r="E268" s="5" t="s">
        <v>1892</v>
      </c>
      <c r="F268" s="4" t="str">
        <f>"149.39"</f>
        <v>149.39</v>
      </c>
      <c r="G268" s="4" t="str">
        <f>"149.39"</f>
        <v>149.39</v>
      </c>
    </row>
    <row r="269" spans="1:7" ht="15.75" customHeight="1" x14ac:dyDescent="0.15">
      <c r="A269" s="1">
        <v>265</v>
      </c>
      <c r="B269" s="1">
        <v>10478</v>
      </c>
      <c r="C269" s="1" t="s">
        <v>421</v>
      </c>
      <c r="D269" s="1" t="s">
        <v>19</v>
      </c>
      <c r="E269" s="5" t="s">
        <v>1892</v>
      </c>
      <c r="F269" s="4" t="str">
        <f>"149.63"</f>
        <v>149.63</v>
      </c>
      <c r="G269" s="4" t="str">
        <f>"149.63"</f>
        <v>149.63</v>
      </c>
    </row>
    <row r="270" spans="1:7" ht="15.75" customHeight="1" x14ac:dyDescent="0.15">
      <c r="A270" s="1">
        <v>266</v>
      </c>
      <c r="B270" s="1">
        <v>1079</v>
      </c>
      <c r="C270" s="1" t="s">
        <v>320</v>
      </c>
      <c r="D270" s="1" t="s">
        <v>23</v>
      </c>
      <c r="E270" s="5" t="s">
        <v>1892</v>
      </c>
      <c r="F270" s="4" t="str">
        <f>"150.12"</f>
        <v>150.12</v>
      </c>
      <c r="G270" s="4" t="str">
        <f>"159.11"</f>
        <v>159.11</v>
      </c>
    </row>
    <row r="271" spans="1:7" ht="15.75" customHeight="1" x14ac:dyDescent="0.15">
      <c r="A271" s="1">
        <v>267</v>
      </c>
      <c r="B271" s="1">
        <v>4407</v>
      </c>
      <c r="C271" s="1" t="s">
        <v>490</v>
      </c>
      <c r="D271" s="1" t="s">
        <v>29</v>
      </c>
      <c r="E271" s="5" t="s">
        <v>1892</v>
      </c>
      <c r="F271" s="4" t="str">
        <f>"151.14"</f>
        <v>151.14</v>
      </c>
      <c r="G271" s="4" t="str">
        <f>"151.14"</f>
        <v>151.14</v>
      </c>
    </row>
    <row r="272" spans="1:7" ht="15.75" customHeight="1" x14ac:dyDescent="0.15">
      <c r="A272" s="1">
        <v>268</v>
      </c>
      <c r="B272" s="1">
        <v>3391</v>
      </c>
      <c r="C272" s="1" t="s">
        <v>345</v>
      </c>
      <c r="D272" s="1" t="s">
        <v>8</v>
      </c>
      <c r="E272" s="5" t="s">
        <v>1892</v>
      </c>
      <c r="F272" s="4" t="str">
        <f>"151.17"</f>
        <v>151.17</v>
      </c>
      <c r="G272" s="4" t="str">
        <f>"151.38"</f>
        <v>151.38</v>
      </c>
    </row>
    <row r="273" spans="1:7" ht="15.75" customHeight="1" x14ac:dyDescent="0.15">
      <c r="A273" s="1">
        <v>269</v>
      </c>
      <c r="B273" s="1">
        <v>10130</v>
      </c>
      <c r="C273" s="1" t="s">
        <v>362</v>
      </c>
      <c r="D273" s="1" t="s">
        <v>5</v>
      </c>
      <c r="E273" s="5" t="s">
        <v>1892</v>
      </c>
      <c r="F273" s="4" t="str">
        <f>"151.46"</f>
        <v>151.46</v>
      </c>
      <c r="G273" s="4" t="str">
        <f>"151.46"</f>
        <v>151.46</v>
      </c>
    </row>
    <row r="274" spans="1:7" ht="15.75" customHeight="1" x14ac:dyDescent="0.15">
      <c r="A274" s="1">
        <v>270</v>
      </c>
      <c r="B274" s="1">
        <v>3177</v>
      </c>
      <c r="C274" s="1" t="s">
        <v>505</v>
      </c>
      <c r="D274" s="1" t="s">
        <v>91</v>
      </c>
      <c r="E274" s="5" t="s">
        <v>1892</v>
      </c>
      <c r="F274" s="4" t="str">
        <f>"151.66"</f>
        <v>151.66</v>
      </c>
      <c r="G274" s="4" t="str">
        <f>"151.66"</f>
        <v>151.66</v>
      </c>
    </row>
    <row r="275" spans="1:7" ht="15.75" customHeight="1" x14ac:dyDescent="0.15">
      <c r="A275" s="1">
        <v>271</v>
      </c>
      <c r="B275" s="1">
        <v>3346</v>
      </c>
      <c r="C275" s="1" t="s">
        <v>435</v>
      </c>
      <c r="D275" s="1" t="s">
        <v>51</v>
      </c>
      <c r="E275" s="5" t="s">
        <v>1892</v>
      </c>
      <c r="F275" s="4" t="str">
        <f>"152.25"</f>
        <v>152.25</v>
      </c>
      <c r="G275" s="4" t="str">
        <f>"152.25"</f>
        <v>152.25</v>
      </c>
    </row>
    <row r="276" spans="1:7" ht="15.75" customHeight="1" x14ac:dyDescent="0.15">
      <c r="A276" s="1">
        <v>272</v>
      </c>
      <c r="B276" s="1">
        <v>7104</v>
      </c>
      <c r="C276" s="1" t="s">
        <v>324</v>
      </c>
      <c r="D276" s="1" t="s">
        <v>72</v>
      </c>
      <c r="E276" s="5" t="s">
        <v>1892</v>
      </c>
      <c r="F276" s="4" t="str">
        <f>"152.61"</f>
        <v>152.61</v>
      </c>
      <c r="G276" s="4" t="str">
        <f>"207.63"</f>
        <v>207.63</v>
      </c>
    </row>
    <row r="277" spans="1:7" ht="15.75" customHeight="1" x14ac:dyDescent="0.15">
      <c r="A277" s="1">
        <v>273</v>
      </c>
      <c r="B277" s="1">
        <v>7460</v>
      </c>
      <c r="C277" s="1" t="s">
        <v>573</v>
      </c>
      <c r="D277" s="1" t="s">
        <v>574</v>
      </c>
      <c r="E277" s="5" t="s">
        <v>1892</v>
      </c>
      <c r="F277" s="4" t="str">
        <f>"153.28"</f>
        <v>153.28</v>
      </c>
      <c r="G277" s="4" t="str">
        <f>"153.28"</f>
        <v>153.28</v>
      </c>
    </row>
    <row r="278" spans="1:7" ht="15.75" customHeight="1" x14ac:dyDescent="0.15">
      <c r="A278" s="1">
        <v>274</v>
      </c>
      <c r="B278" s="1">
        <v>6853</v>
      </c>
      <c r="C278" s="1" t="s">
        <v>326</v>
      </c>
      <c r="D278" s="1" t="s">
        <v>94</v>
      </c>
      <c r="E278" s="5" t="s">
        <v>1892</v>
      </c>
      <c r="F278" s="4" t="str">
        <f>"153.34"</f>
        <v>153.34</v>
      </c>
      <c r="G278" s="4" t="str">
        <f>"182.66"</f>
        <v>182.66</v>
      </c>
    </row>
    <row r="279" spans="1:7" ht="15.75" customHeight="1" x14ac:dyDescent="0.15">
      <c r="A279" s="1">
        <v>275</v>
      </c>
      <c r="B279" s="1">
        <v>6595</v>
      </c>
      <c r="C279" s="1" t="s">
        <v>441</v>
      </c>
      <c r="D279" s="1" t="s">
        <v>69</v>
      </c>
      <c r="E279" s="5" t="s">
        <v>1892</v>
      </c>
      <c r="F279" s="4" t="str">
        <f>"153.34"</f>
        <v>153.34</v>
      </c>
      <c r="G279" s="4" t="str">
        <f>"153.34"</f>
        <v>153.34</v>
      </c>
    </row>
    <row r="280" spans="1:7" ht="15.75" customHeight="1" x14ac:dyDescent="0.15">
      <c r="A280" s="1">
        <v>276</v>
      </c>
      <c r="B280" s="1">
        <v>3892</v>
      </c>
      <c r="C280" s="1" t="s">
        <v>442</v>
      </c>
      <c r="D280" s="1" t="s">
        <v>87</v>
      </c>
      <c r="E280" s="5" t="s">
        <v>1892</v>
      </c>
      <c r="F280" s="4" t="str">
        <f>"153.86"</f>
        <v>153.86</v>
      </c>
      <c r="G280" s="4" t="str">
        <f>"153.86"</f>
        <v>153.86</v>
      </c>
    </row>
    <row r="281" spans="1:7" ht="15.75" customHeight="1" x14ac:dyDescent="0.15">
      <c r="A281" s="1">
        <v>277</v>
      </c>
      <c r="B281" s="1">
        <v>10703</v>
      </c>
      <c r="C281" s="1" t="s">
        <v>609</v>
      </c>
      <c r="D281" s="1" t="s">
        <v>19</v>
      </c>
      <c r="E281" s="5" t="s">
        <v>1892</v>
      </c>
      <c r="F281" s="4" t="str">
        <f>"154.15"</f>
        <v>154.15</v>
      </c>
      <c r="G281" s="4" t="str">
        <f>"154.15"</f>
        <v>154.15</v>
      </c>
    </row>
    <row r="282" spans="1:7" ht="15.75" customHeight="1" x14ac:dyDescent="0.15">
      <c r="A282" s="1">
        <v>278</v>
      </c>
      <c r="B282" s="1">
        <v>3261</v>
      </c>
      <c r="C282" s="1" t="s">
        <v>330</v>
      </c>
      <c r="D282" s="1" t="s">
        <v>112</v>
      </c>
      <c r="E282" s="5" t="s">
        <v>1892</v>
      </c>
      <c r="F282" s="4" t="str">
        <f>"155.05"</f>
        <v>155.05</v>
      </c>
      <c r="G282" s="4" t="str">
        <f>"166.43"</f>
        <v>166.43</v>
      </c>
    </row>
    <row r="283" spans="1:7" ht="15.75" customHeight="1" x14ac:dyDescent="0.15">
      <c r="A283" s="1">
        <v>279</v>
      </c>
      <c r="B283" s="1">
        <v>6125</v>
      </c>
      <c r="C283" s="1" t="s">
        <v>444</v>
      </c>
      <c r="D283" s="1" t="s">
        <v>19</v>
      </c>
      <c r="E283" s="5" t="s">
        <v>1892</v>
      </c>
      <c r="F283" s="4" t="str">
        <f>"155.05"</f>
        <v>155.05</v>
      </c>
      <c r="G283" s="4" t="str">
        <f>"155.05"</f>
        <v>155.05</v>
      </c>
    </row>
    <row r="284" spans="1:7" ht="15.75" customHeight="1" x14ac:dyDescent="0.15">
      <c r="A284" s="1">
        <v>280</v>
      </c>
      <c r="B284" s="1">
        <v>3996</v>
      </c>
      <c r="C284" s="1" t="s">
        <v>445</v>
      </c>
      <c r="D284" s="1" t="s">
        <v>24</v>
      </c>
      <c r="E284" s="5" t="s">
        <v>1892</v>
      </c>
      <c r="F284" s="4" t="str">
        <f>"155.31"</f>
        <v>155.31</v>
      </c>
      <c r="G284" s="4" t="str">
        <f>"155.31"</f>
        <v>155.31</v>
      </c>
    </row>
    <row r="285" spans="1:7" ht="15.75" customHeight="1" x14ac:dyDescent="0.15">
      <c r="A285" s="1">
        <v>281</v>
      </c>
      <c r="B285" s="1">
        <v>1230</v>
      </c>
      <c r="C285" s="1" t="s">
        <v>446</v>
      </c>
      <c r="D285" s="1" t="s">
        <v>447</v>
      </c>
      <c r="E285" s="5" t="s">
        <v>1892</v>
      </c>
      <c r="F285" s="4" t="str">
        <f>"155.55"</f>
        <v>155.55</v>
      </c>
      <c r="G285" s="4" t="str">
        <f>"155.55"</f>
        <v>155.55</v>
      </c>
    </row>
    <row r="286" spans="1:7" ht="15.75" customHeight="1" x14ac:dyDescent="0.15">
      <c r="A286" s="1">
        <v>282</v>
      </c>
      <c r="B286" s="1">
        <v>10223</v>
      </c>
      <c r="C286" s="1" t="s">
        <v>450</v>
      </c>
      <c r="D286" s="1" t="s">
        <v>74</v>
      </c>
      <c r="E286" s="5" t="s">
        <v>1892</v>
      </c>
      <c r="F286" s="4" t="str">
        <f>"156.26"</f>
        <v>156.26</v>
      </c>
      <c r="G286" s="4" t="str">
        <f>"156.26"</f>
        <v>156.26</v>
      </c>
    </row>
    <row r="287" spans="1:7" ht="15.75" customHeight="1" x14ac:dyDescent="0.15">
      <c r="A287" s="1">
        <v>283</v>
      </c>
      <c r="B287" s="1">
        <v>3126</v>
      </c>
      <c r="C287" s="1" t="s">
        <v>333</v>
      </c>
      <c r="D287" s="1" t="s">
        <v>37</v>
      </c>
      <c r="E287" s="5" t="s">
        <v>1892</v>
      </c>
      <c r="F287" s="4" t="str">
        <f>"156.63"</f>
        <v>156.63</v>
      </c>
      <c r="G287" s="4" t="str">
        <f>"193.94"</f>
        <v>193.94</v>
      </c>
    </row>
    <row r="288" spans="1:7" ht="15.75" customHeight="1" x14ac:dyDescent="0.15">
      <c r="A288" s="1">
        <v>284</v>
      </c>
      <c r="B288" s="1">
        <v>1108</v>
      </c>
      <c r="C288" s="1" t="s">
        <v>453</v>
      </c>
      <c r="D288" s="1" t="s">
        <v>51</v>
      </c>
      <c r="E288" s="5" t="s">
        <v>1892</v>
      </c>
      <c r="F288" s="4" t="str">
        <f>"156.75"</f>
        <v>156.75</v>
      </c>
      <c r="G288" s="4" t="str">
        <f>"156.75"</f>
        <v>156.75</v>
      </c>
    </row>
    <row r="289" spans="1:7" ht="15.75" customHeight="1" x14ac:dyDescent="0.15">
      <c r="A289" s="1">
        <v>285</v>
      </c>
      <c r="B289" s="1">
        <v>2706</v>
      </c>
      <c r="C289" s="1" t="s">
        <v>335</v>
      </c>
      <c r="D289" s="1" t="s">
        <v>112</v>
      </c>
      <c r="E289" s="5" t="s">
        <v>1892</v>
      </c>
      <c r="F289" s="4" t="str">
        <f>"157.03"</f>
        <v>157.03</v>
      </c>
      <c r="G289" s="4" t="str">
        <f>"317.67"</f>
        <v>317.67</v>
      </c>
    </row>
    <row r="290" spans="1:7" ht="15.75" customHeight="1" x14ac:dyDescent="0.15">
      <c r="A290" s="1">
        <v>286</v>
      </c>
      <c r="B290" s="1">
        <v>10530</v>
      </c>
      <c r="C290" s="1" t="s">
        <v>414</v>
      </c>
      <c r="D290" s="1" t="s">
        <v>255</v>
      </c>
      <c r="E290" s="5" t="s">
        <v>1892</v>
      </c>
      <c r="F290" s="4" t="str">
        <f>"157.08"</f>
        <v>157.08</v>
      </c>
      <c r="G290" s="4" t="str">
        <f>"167.35"</f>
        <v>167.35</v>
      </c>
    </row>
    <row r="291" spans="1:7" ht="15.75" customHeight="1" x14ac:dyDescent="0.15">
      <c r="A291" s="1">
        <v>287</v>
      </c>
      <c r="B291" s="1">
        <v>10248</v>
      </c>
      <c r="C291" s="1" t="s">
        <v>456</v>
      </c>
      <c r="D291" s="1" t="s">
        <v>22</v>
      </c>
      <c r="E291" s="5" t="s">
        <v>1892</v>
      </c>
      <c r="F291" s="4" t="str">
        <f>"158.32"</f>
        <v>158.32</v>
      </c>
      <c r="G291" s="4" t="str">
        <f>"158.32"</f>
        <v>158.32</v>
      </c>
    </row>
    <row r="292" spans="1:7" ht="15.75" customHeight="1" x14ac:dyDescent="0.15">
      <c r="A292" s="1">
        <v>288</v>
      </c>
      <c r="B292" s="1">
        <v>7815</v>
      </c>
      <c r="C292" s="1" t="s">
        <v>457</v>
      </c>
      <c r="D292" s="1" t="s">
        <v>19</v>
      </c>
      <c r="E292" s="5" t="s">
        <v>1892</v>
      </c>
      <c r="F292" s="4" t="str">
        <f>"158.77"</f>
        <v>158.77</v>
      </c>
      <c r="G292" s="4" t="str">
        <f>"158.77"</f>
        <v>158.77</v>
      </c>
    </row>
    <row r="293" spans="1:7" ht="15.75" customHeight="1" x14ac:dyDescent="0.15">
      <c r="A293" s="1">
        <v>289</v>
      </c>
      <c r="B293" s="1">
        <v>8630</v>
      </c>
      <c r="C293" s="1" t="s">
        <v>458</v>
      </c>
      <c r="D293" s="1" t="s">
        <v>5</v>
      </c>
      <c r="E293" s="5" t="s">
        <v>1892</v>
      </c>
      <c r="F293" s="4" t="str">
        <f>"159.02"</f>
        <v>159.02</v>
      </c>
      <c r="G293" s="4" t="str">
        <f>"159.02"</f>
        <v>159.02</v>
      </c>
    </row>
    <row r="294" spans="1:7" ht="15.75" customHeight="1" x14ac:dyDescent="0.15">
      <c r="A294" s="1">
        <v>290</v>
      </c>
      <c r="B294" s="1">
        <v>8465</v>
      </c>
      <c r="C294" s="1" t="s">
        <v>517</v>
      </c>
      <c r="D294" s="1" t="s">
        <v>5</v>
      </c>
      <c r="E294" s="5" t="s">
        <v>1892</v>
      </c>
      <c r="F294" s="4" t="str">
        <f>"159.30"</f>
        <v>159.30</v>
      </c>
      <c r="G294" s="4" t="str">
        <f>"159.30"</f>
        <v>159.30</v>
      </c>
    </row>
    <row r="295" spans="1:7" ht="15.75" customHeight="1" x14ac:dyDescent="0.15">
      <c r="A295" s="1">
        <v>291</v>
      </c>
      <c r="B295" s="1">
        <v>7585</v>
      </c>
      <c r="C295" s="1" t="s">
        <v>461</v>
      </c>
      <c r="D295" s="1" t="s">
        <v>462</v>
      </c>
      <c r="E295" s="5" t="s">
        <v>1892</v>
      </c>
      <c r="F295" s="4" t="str">
        <f>"160.05"</f>
        <v>160.05</v>
      </c>
      <c r="G295" s="4" t="str">
        <f>"160.05"</f>
        <v>160.05</v>
      </c>
    </row>
    <row r="296" spans="1:7" ht="15.75" customHeight="1" x14ac:dyDescent="0.15">
      <c r="A296" s="1">
        <v>292</v>
      </c>
      <c r="B296" s="1">
        <v>2482</v>
      </c>
      <c r="C296" s="1" t="s">
        <v>528</v>
      </c>
      <c r="D296" s="1" t="s">
        <v>312</v>
      </c>
      <c r="E296" s="5" t="s">
        <v>1892</v>
      </c>
      <c r="F296" s="4" t="str">
        <f>"160.15"</f>
        <v>160.15</v>
      </c>
      <c r="G296" s="4" t="str">
        <f>"160.15"</f>
        <v>160.15</v>
      </c>
    </row>
    <row r="297" spans="1:7" ht="15.75" customHeight="1" x14ac:dyDescent="0.15">
      <c r="A297" s="1">
        <v>293</v>
      </c>
      <c r="B297" s="1">
        <v>10226</v>
      </c>
      <c r="C297" s="1" t="s">
        <v>463</v>
      </c>
      <c r="D297" s="1" t="s">
        <v>74</v>
      </c>
      <c r="E297" s="5" t="s">
        <v>1892</v>
      </c>
      <c r="F297" s="4" t="str">
        <f>"160.23"</f>
        <v>160.23</v>
      </c>
      <c r="G297" s="4" t="str">
        <f>"160.23"</f>
        <v>160.23</v>
      </c>
    </row>
    <row r="298" spans="1:7" ht="15.75" customHeight="1" x14ac:dyDescent="0.15">
      <c r="A298" s="1">
        <v>294</v>
      </c>
      <c r="B298" s="1">
        <v>10517</v>
      </c>
      <c r="C298" s="1" t="s">
        <v>466</v>
      </c>
      <c r="D298" s="1" t="s">
        <v>342</v>
      </c>
      <c r="E298" s="5" t="s">
        <v>1892</v>
      </c>
      <c r="F298" s="4" t="str">
        <f>"161.72"</f>
        <v>161.72</v>
      </c>
      <c r="G298" s="4" t="str">
        <f>"161.72"</f>
        <v>161.72</v>
      </c>
    </row>
    <row r="299" spans="1:7" ht="15.75" customHeight="1" x14ac:dyDescent="0.15">
      <c r="A299" s="1">
        <v>295</v>
      </c>
      <c r="B299" s="1">
        <v>7942</v>
      </c>
      <c r="C299" s="1" t="s">
        <v>368</v>
      </c>
      <c r="D299" s="1" t="s">
        <v>27</v>
      </c>
      <c r="E299" s="5" t="s">
        <v>1892</v>
      </c>
      <c r="F299" s="4" t="str">
        <f>"161.80"</f>
        <v>161.80</v>
      </c>
      <c r="G299" s="4" t="str">
        <f>"166.66"</f>
        <v>166.66</v>
      </c>
    </row>
    <row r="300" spans="1:7" ht="15.75" customHeight="1" x14ac:dyDescent="0.15">
      <c r="A300" s="1">
        <v>296</v>
      </c>
      <c r="B300" s="1">
        <v>11234</v>
      </c>
      <c r="C300" s="1" t="s">
        <v>346</v>
      </c>
      <c r="D300" s="1" t="s">
        <v>5</v>
      </c>
      <c r="E300" s="5" t="s">
        <v>1892</v>
      </c>
      <c r="F300" s="4" t="str">
        <f>"161.89"</f>
        <v>161.89</v>
      </c>
      <c r="G300" s="4"/>
    </row>
    <row r="301" spans="1:7" ht="15.75" customHeight="1" x14ac:dyDescent="0.15">
      <c r="A301" s="1">
        <v>297</v>
      </c>
      <c r="B301" s="1">
        <v>10996</v>
      </c>
      <c r="C301" s="1" t="s">
        <v>467</v>
      </c>
      <c r="D301" s="1" t="s">
        <v>468</v>
      </c>
      <c r="E301" s="5" t="s">
        <v>1892</v>
      </c>
      <c r="F301" s="4" t="str">
        <f>"162.14"</f>
        <v>162.14</v>
      </c>
      <c r="G301" s="4" t="str">
        <f>"162.14"</f>
        <v>162.14</v>
      </c>
    </row>
    <row r="302" spans="1:7" ht="15.75" customHeight="1" x14ac:dyDescent="0.15">
      <c r="A302" s="1">
        <v>298</v>
      </c>
      <c r="B302" s="1">
        <v>7024</v>
      </c>
      <c r="C302" s="1" t="s">
        <v>420</v>
      </c>
      <c r="D302" s="1" t="s">
        <v>12</v>
      </c>
      <c r="E302" s="5" t="s">
        <v>1892</v>
      </c>
      <c r="F302" s="4" t="str">
        <f>"162.66"</f>
        <v>162.66</v>
      </c>
      <c r="G302" s="4" t="str">
        <f>"175.75"</f>
        <v>175.75</v>
      </c>
    </row>
    <row r="303" spans="1:7" ht="15.75" customHeight="1" x14ac:dyDescent="0.15">
      <c r="A303" s="1">
        <v>299</v>
      </c>
      <c r="B303" s="1">
        <v>3338</v>
      </c>
      <c r="C303" s="1" t="s">
        <v>390</v>
      </c>
      <c r="D303" s="1" t="s">
        <v>23</v>
      </c>
      <c r="E303" s="5" t="s">
        <v>1892</v>
      </c>
      <c r="F303" s="4" t="str">
        <f>"162.85"</f>
        <v>162.85</v>
      </c>
      <c r="G303" s="4" t="str">
        <f>"162.85"</f>
        <v>162.85</v>
      </c>
    </row>
    <row r="304" spans="1:7" ht="15.75" customHeight="1" x14ac:dyDescent="0.15">
      <c r="A304" s="1">
        <v>300</v>
      </c>
      <c r="B304" s="1">
        <v>4896</v>
      </c>
      <c r="C304" s="1" t="s">
        <v>469</v>
      </c>
      <c r="D304" s="1" t="s">
        <v>27</v>
      </c>
      <c r="E304" s="5" t="s">
        <v>1892</v>
      </c>
      <c r="F304" s="4" t="str">
        <f>"162.89"</f>
        <v>162.89</v>
      </c>
      <c r="G304" s="4" t="str">
        <f>"162.89"</f>
        <v>162.89</v>
      </c>
    </row>
    <row r="305" spans="1:7" ht="15.75" customHeight="1" x14ac:dyDescent="0.15">
      <c r="A305" s="1">
        <v>301</v>
      </c>
      <c r="B305" s="1">
        <v>3026</v>
      </c>
      <c r="C305" s="1" t="s">
        <v>470</v>
      </c>
      <c r="D305" s="1" t="s">
        <v>47</v>
      </c>
      <c r="E305" s="5" t="s">
        <v>1892</v>
      </c>
      <c r="F305" s="4" t="str">
        <f>"162.98"</f>
        <v>162.98</v>
      </c>
      <c r="G305" s="4" t="str">
        <f>"162.98"</f>
        <v>162.98</v>
      </c>
    </row>
    <row r="306" spans="1:7" ht="15.75" customHeight="1" x14ac:dyDescent="0.15">
      <c r="A306" s="1">
        <v>302</v>
      </c>
      <c r="B306" s="1">
        <v>8267</v>
      </c>
      <c r="C306" s="1" t="s">
        <v>472</v>
      </c>
      <c r="D306" s="1" t="s">
        <v>60</v>
      </c>
      <c r="E306" s="5" t="s">
        <v>1892</v>
      </c>
      <c r="F306" s="4" t="str">
        <f>"163.08"</f>
        <v>163.08</v>
      </c>
      <c r="G306" s="4" t="str">
        <f>"163.08"</f>
        <v>163.08</v>
      </c>
    </row>
    <row r="307" spans="1:7" ht="15.75" customHeight="1" x14ac:dyDescent="0.15">
      <c r="A307" s="1">
        <v>303</v>
      </c>
      <c r="B307" s="1">
        <v>5292</v>
      </c>
      <c r="C307" s="1" t="s">
        <v>350</v>
      </c>
      <c r="D307" s="1" t="s">
        <v>61</v>
      </c>
      <c r="E307" s="5" t="s">
        <v>1892</v>
      </c>
      <c r="F307" s="4" t="str">
        <f>"163.36"</f>
        <v>163.36</v>
      </c>
      <c r="G307" s="4" t="str">
        <f>"179.17"</f>
        <v>179.17</v>
      </c>
    </row>
    <row r="308" spans="1:7" ht="15.75" customHeight="1" x14ac:dyDescent="0.15">
      <c r="A308" s="1">
        <v>304</v>
      </c>
      <c r="B308" s="1">
        <v>10618</v>
      </c>
      <c r="C308" s="1" t="s">
        <v>688</v>
      </c>
      <c r="D308" s="1" t="s">
        <v>5</v>
      </c>
      <c r="E308" s="5" t="s">
        <v>1892</v>
      </c>
      <c r="F308" s="4" t="str">
        <f>"163.77"</f>
        <v>163.77</v>
      </c>
      <c r="G308" s="4" t="str">
        <f>"163.77"</f>
        <v>163.77</v>
      </c>
    </row>
    <row r="309" spans="1:7" ht="15.75" customHeight="1" x14ac:dyDescent="0.15">
      <c r="A309" s="1">
        <v>305</v>
      </c>
      <c r="B309" s="1">
        <v>10704</v>
      </c>
      <c r="C309" s="1" t="s">
        <v>352</v>
      </c>
      <c r="D309" s="1" t="s">
        <v>25</v>
      </c>
      <c r="E309" s="5" t="s">
        <v>1892</v>
      </c>
      <c r="F309" s="4" t="str">
        <f>"164.11"</f>
        <v>164.11</v>
      </c>
      <c r="G309" s="4" t="str">
        <f>"242.31"</f>
        <v>242.31</v>
      </c>
    </row>
    <row r="310" spans="1:7" ht="15.75" customHeight="1" x14ac:dyDescent="0.15">
      <c r="A310" s="1">
        <v>306</v>
      </c>
      <c r="B310" s="1">
        <v>9812</v>
      </c>
      <c r="C310" s="1" t="s">
        <v>353</v>
      </c>
      <c r="D310" s="1" t="s">
        <v>67</v>
      </c>
      <c r="E310" s="5" t="s">
        <v>1892</v>
      </c>
      <c r="F310" s="4" t="str">
        <f>"164.37"</f>
        <v>164.37</v>
      </c>
      <c r="G310" s="4" t="str">
        <f>"185.30"</f>
        <v>185.30</v>
      </c>
    </row>
    <row r="311" spans="1:7" ht="15.75" customHeight="1" x14ac:dyDescent="0.15">
      <c r="A311" s="1">
        <v>307</v>
      </c>
      <c r="B311" s="1">
        <v>3678</v>
      </c>
      <c r="C311" s="1" t="s">
        <v>407</v>
      </c>
      <c r="D311" s="1" t="s">
        <v>76</v>
      </c>
      <c r="E311" s="5" t="s">
        <v>1892</v>
      </c>
      <c r="F311" s="4" t="str">
        <f>"164.40"</f>
        <v>164.40</v>
      </c>
      <c r="G311" s="4" t="str">
        <f>"164.40"</f>
        <v>164.40</v>
      </c>
    </row>
    <row r="312" spans="1:7" ht="15.75" customHeight="1" x14ac:dyDescent="0.15">
      <c r="A312" s="1">
        <v>308</v>
      </c>
      <c r="B312" s="1">
        <v>6856</v>
      </c>
      <c r="C312" s="1" t="s">
        <v>354</v>
      </c>
      <c r="D312" s="1" t="s">
        <v>37</v>
      </c>
      <c r="E312" s="5" t="s">
        <v>1892</v>
      </c>
      <c r="F312" s="4" t="str">
        <f>"164.86"</f>
        <v>164.86</v>
      </c>
      <c r="G312" s="4" t="str">
        <f>"212.46"</f>
        <v>212.46</v>
      </c>
    </row>
    <row r="313" spans="1:7" ht="15.75" customHeight="1" x14ac:dyDescent="0.15">
      <c r="A313" s="1">
        <v>309</v>
      </c>
      <c r="B313" s="1">
        <v>10126</v>
      </c>
      <c r="C313" s="1" t="s">
        <v>451</v>
      </c>
      <c r="D313" s="1" t="s">
        <v>5</v>
      </c>
      <c r="E313" s="5" t="s">
        <v>1892</v>
      </c>
      <c r="F313" s="4" t="str">
        <f>"164.93"</f>
        <v>164.93</v>
      </c>
      <c r="G313" s="4" t="str">
        <f>"173.51"</f>
        <v>173.51</v>
      </c>
    </row>
    <row r="314" spans="1:7" ht="15.75" customHeight="1" x14ac:dyDescent="0.15">
      <c r="A314" s="1">
        <v>310</v>
      </c>
      <c r="B314" s="1">
        <v>1645</v>
      </c>
      <c r="C314" s="1" t="s">
        <v>454</v>
      </c>
      <c r="D314" s="1" t="s">
        <v>31</v>
      </c>
      <c r="E314" s="5" t="s">
        <v>1892</v>
      </c>
      <c r="F314" s="4" t="str">
        <f>"165.85"</f>
        <v>165.85</v>
      </c>
      <c r="G314" s="4" t="str">
        <f>"165.85"</f>
        <v>165.85</v>
      </c>
    </row>
    <row r="315" spans="1:7" ht="15.75" customHeight="1" x14ac:dyDescent="0.15">
      <c r="A315" s="1">
        <v>311</v>
      </c>
      <c r="B315" s="1">
        <v>4225</v>
      </c>
      <c r="C315" s="1" t="s">
        <v>357</v>
      </c>
      <c r="D315" s="1" t="s">
        <v>87</v>
      </c>
      <c r="E315" s="5" t="s">
        <v>1892</v>
      </c>
      <c r="F315" s="4" t="str">
        <f>"166.05"</f>
        <v>166.05</v>
      </c>
      <c r="G315" s="4" t="str">
        <f>"177.11"</f>
        <v>177.11</v>
      </c>
    </row>
    <row r="316" spans="1:7" ht="15.75" customHeight="1" x14ac:dyDescent="0.15">
      <c r="A316" s="1">
        <v>312</v>
      </c>
      <c r="B316" s="1">
        <v>6312</v>
      </c>
      <c r="C316" s="1" t="s">
        <v>815</v>
      </c>
      <c r="D316" s="1" t="s">
        <v>14</v>
      </c>
      <c r="E316" s="5" t="s">
        <v>1892</v>
      </c>
      <c r="F316" s="4" t="str">
        <f>"166.12"</f>
        <v>166.12</v>
      </c>
      <c r="G316" s="4" t="str">
        <f>"166.12"</f>
        <v>166.12</v>
      </c>
    </row>
    <row r="317" spans="1:7" ht="15.75" customHeight="1" x14ac:dyDescent="0.15">
      <c r="A317" s="1">
        <v>313</v>
      </c>
      <c r="B317" s="1">
        <v>1241</v>
      </c>
      <c r="C317" s="1" t="s">
        <v>381</v>
      </c>
      <c r="D317" s="1" t="s">
        <v>148</v>
      </c>
      <c r="E317" s="5" t="s">
        <v>1892</v>
      </c>
      <c r="F317" s="4" t="str">
        <f>"166.20"</f>
        <v>166.20</v>
      </c>
      <c r="G317" s="4" t="str">
        <f>"170.69"</f>
        <v>170.69</v>
      </c>
    </row>
    <row r="318" spans="1:7" ht="15.75" customHeight="1" x14ac:dyDescent="0.15">
      <c r="A318" s="1">
        <v>314</v>
      </c>
      <c r="B318" s="1">
        <v>7854</v>
      </c>
      <c r="C318" s="1" t="s">
        <v>477</v>
      </c>
      <c r="D318" s="1" t="s">
        <v>19</v>
      </c>
      <c r="E318" s="5" t="s">
        <v>1892</v>
      </c>
      <c r="F318" s="4" t="str">
        <f>"166.30"</f>
        <v>166.30</v>
      </c>
      <c r="G318" s="4" t="str">
        <f>"166.30"</f>
        <v>166.30</v>
      </c>
    </row>
    <row r="319" spans="1:7" ht="15.75" customHeight="1" x14ac:dyDescent="0.15">
      <c r="A319" s="1">
        <v>315</v>
      </c>
      <c r="B319" s="1">
        <v>8483</v>
      </c>
      <c r="C319" s="1" t="s">
        <v>542</v>
      </c>
      <c r="D319" s="1" t="s">
        <v>5</v>
      </c>
      <c r="E319" s="5" t="s">
        <v>1892</v>
      </c>
      <c r="F319" s="4" t="str">
        <f>"166.52"</f>
        <v>166.52</v>
      </c>
      <c r="G319" s="4" t="str">
        <f>"166.52"</f>
        <v>166.52</v>
      </c>
    </row>
    <row r="320" spans="1:7" ht="15.75" customHeight="1" x14ac:dyDescent="0.15">
      <c r="A320" s="1">
        <v>316</v>
      </c>
      <c r="B320" s="1">
        <v>5111</v>
      </c>
      <c r="C320" s="1" t="s">
        <v>479</v>
      </c>
      <c r="D320" s="1" t="s">
        <v>8</v>
      </c>
      <c r="E320" s="5" t="s">
        <v>1892</v>
      </c>
      <c r="F320" s="4" t="str">
        <f>"166.58"</f>
        <v>166.58</v>
      </c>
      <c r="G320" s="4" t="str">
        <f>"166.58"</f>
        <v>166.58</v>
      </c>
    </row>
    <row r="321" spans="1:7" ht="15.75" customHeight="1" x14ac:dyDescent="0.15">
      <c r="A321" s="1">
        <v>317</v>
      </c>
      <c r="B321" s="1">
        <v>2279</v>
      </c>
      <c r="C321" s="1" t="s">
        <v>480</v>
      </c>
      <c r="D321" s="1" t="s">
        <v>27</v>
      </c>
      <c r="E321" s="5" t="s">
        <v>1892</v>
      </c>
      <c r="F321" s="4" t="str">
        <f>"166.69"</f>
        <v>166.69</v>
      </c>
      <c r="G321" s="4" t="str">
        <f>"166.69"</f>
        <v>166.69</v>
      </c>
    </row>
    <row r="322" spans="1:7" ht="15.75" customHeight="1" x14ac:dyDescent="0.15">
      <c r="A322" s="1">
        <v>318</v>
      </c>
      <c r="B322" s="1">
        <v>8682</v>
      </c>
      <c r="C322" s="1" t="s">
        <v>481</v>
      </c>
      <c r="D322" s="1" t="s">
        <v>482</v>
      </c>
      <c r="E322" s="5" t="s">
        <v>1892</v>
      </c>
      <c r="F322" s="4" t="str">
        <f>"166.78"</f>
        <v>166.78</v>
      </c>
      <c r="G322" s="4" t="str">
        <f>"166.78"</f>
        <v>166.78</v>
      </c>
    </row>
    <row r="323" spans="1:7" ht="15.75" customHeight="1" x14ac:dyDescent="0.15">
      <c r="A323" s="1">
        <v>319</v>
      </c>
      <c r="B323" s="1">
        <v>2039</v>
      </c>
      <c r="C323" s="1" t="s">
        <v>531</v>
      </c>
      <c r="D323" s="1" t="s">
        <v>342</v>
      </c>
      <c r="E323" s="5" t="s">
        <v>1892</v>
      </c>
      <c r="F323" s="4" t="str">
        <f>"166.82"</f>
        <v>166.82</v>
      </c>
      <c r="G323" s="4" t="str">
        <f>"166.82"</f>
        <v>166.82</v>
      </c>
    </row>
    <row r="324" spans="1:7" ht="15.75" customHeight="1" x14ac:dyDescent="0.15">
      <c r="A324" s="1">
        <v>320</v>
      </c>
      <c r="B324" s="1">
        <v>9639</v>
      </c>
      <c r="C324" s="1" t="s">
        <v>484</v>
      </c>
      <c r="D324" s="1" t="s">
        <v>69</v>
      </c>
      <c r="E324" s="5" t="s">
        <v>1892</v>
      </c>
      <c r="F324" s="4" t="str">
        <f>"166.92"</f>
        <v>166.92</v>
      </c>
      <c r="G324" s="4" t="str">
        <f>"166.92"</f>
        <v>166.92</v>
      </c>
    </row>
    <row r="325" spans="1:7" ht="15.75" customHeight="1" x14ac:dyDescent="0.15">
      <c r="A325" s="1">
        <v>321</v>
      </c>
      <c r="B325" s="1">
        <v>5122</v>
      </c>
      <c r="C325" s="1" t="s">
        <v>708</v>
      </c>
      <c r="D325" s="1" t="s">
        <v>34</v>
      </c>
      <c r="E325" s="5" t="s">
        <v>1892</v>
      </c>
      <c r="F325" s="4" t="str">
        <f>"167.19"</f>
        <v>167.19</v>
      </c>
      <c r="G325" s="4" t="str">
        <f>"167.19"</f>
        <v>167.19</v>
      </c>
    </row>
    <row r="326" spans="1:7" ht="15.75" customHeight="1" x14ac:dyDescent="0.15">
      <c r="A326" s="1">
        <v>322</v>
      </c>
      <c r="B326" s="1">
        <v>1879</v>
      </c>
      <c r="C326" s="1" t="s">
        <v>592</v>
      </c>
      <c r="D326" s="1" t="s">
        <v>55</v>
      </c>
      <c r="E326" s="5" t="s">
        <v>1892</v>
      </c>
      <c r="F326" s="4" t="str">
        <f>"167.28"</f>
        <v>167.28</v>
      </c>
      <c r="G326" s="4" t="str">
        <f>"167.28"</f>
        <v>167.28</v>
      </c>
    </row>
    <row r="327" spans="1:7" ht="15.75" customHeight="1" x14ac:dyDescent="0.15">
      <c r="A327" s="1">
        <v>323</v>
      </c>
      <c r="B327" s="1">
        <v>4366</v>
      </c>
      <c r="C327" s="1" t="s">
        <v>485</v>
      </c>
      <c r="D327" s="1" t="s">
        <v>27</v>
      </c>
      <c r="E327" s="5" t="s">
        <v>1892</v>
      </c>
      <c r="F327" s="4" t="str">
        <f>"167.50"</f>
        <v>167.50</v>
      </c>
      <c r="G327" s="4" t="str">
        <f>"167.50"</f>
        <v>167.50</v>
      </c>
    </row>
    <row r="328" spans="1:7" ht="15.75" customHeight="1" x14ac:dyDescent="0.15">
      <c r="A328" s="1">
        <v>324</v>
      </c>
      <c r="B328" s="1">
        <v>5679</v>
      </c>
      <c r="C328" s="1" t="s">
        <v>429</v>
      </c>
      <c r="D328" s="1" t="s">
        <v>8</v>
      </c>
      <c r="E328" s="5" t="s">
        <v>1892</v>
      </c>
      <c r="F328" s="4" t="str">
        <f>"167.53"</f>
        <v>167.53</v>
      </c>
      <c r="G328" s="4" t="str">
        <f>"167.53"</f>
        <v>167.53</v>
      </c>
    </row>
    <row r="329" spans="1:7" ht="15.75" customHeight="1" x14ac:dyDescent="0.15">
      <c r="A329" s="1">
        <v>325</v>
      </c>
      <c r="B329" s="1">
        <v>10343</v>
      </c>
      <c r="C329" s="1" t="s">
        <v>581</v>
      </c>
      <c r="D329" s="1" t="s">
        <v>5</v>
      </c>
      <c r="E329" s="5" t="s">
        <v>1892</v>
      </c>
      <c r="F329" s="4" t="str">
        <f>"167.58"</f>
        <v>167.58</v>
      </c>
      <c r="G329" s="4" t="str">
        <f>"167.58"</f>
        <v>167.58</v>
      </c>
    </row>
    <row r="330" spans="1:7" ht="15.75" customHeight="1" x14ac:dyDescent="0.15">
      <c r="A330" s="1">
        <v>326</v>
      </c>
      <c r="B330" s="1">
        <v>3464</v>
      </c>
      <c r="C330" s="1" t="s">
        <v>486</v>
      </c>
      <c r="D330" s="1" t="s">
        <v>46</v>
      </c>
      <c r="E330" s="5" t="s">
        <v>1892</v>
      </c>
      <c r="F330" s="4" t="str">
        <f>"168.01"</f>
        <v>168.01</v>
      </c>
      <c r="G330" s="4" t="str">
        <f>"168.01"</f>
        <v>168.01</v>
      </c>
    </row>
    <row r="331" spans="1:7" ht="15.75" customHeight="1" x14ac:dyDescent="0.15">
      <c r="A331" s="1">
        <v>327</v>
      </c>
      <c r="B331" s="1">
        <v>1188</v>
      </c>
      <c r="C331" s="1" t="s">
        <v>360</v>
      </c>
      <c r="D331" s="1" t="s">
        <v>281</v>
      </c>
      <c r="E331" s="5" t="s">
        <v>1892</v>
      </c>
      <c r="F331" s="4" t="str">
        <f>"168.64"</f>
        <v>168.64</v>
      </c>
      <c r="G331" s="4" t="str">
        <f>"247.23"</f>
        <v>247.23</v>
      </c>
    </row>
    <row r="332" spans="1:7" ht="15.75" customHeight="1" x14ac:dyDescent="0.15">
      <c r="A332" s="1">
        <v>328</v>
      </c>
      <c r="B332" s="1">
        <v>753</v>
      </c>
      <c r="C332" s="1" t="s">
        <v>410</v>
      </c>
      <c r="D332" s="1" t="s">
        <v>27</v>
      </c>
      <c r="E332" s="5" t="s">
        <v>1892</v>
      </c>
      <c r="F332" s="4" t="str">
        <f>"169.13"</f>
        <v>169.13</v>
      </c>
      <c r="G332" s="4" t="str">
        <f>"169.13"</f>
        <v>169.13</v>
      </c>
    </row>
    <row r="333" spans="1:7" ht="15.75" customHeight="1" x14ac:dyDescent="0.15">
      <c r="A333" s="1">
        <v>329</v>
      </c>
      <c r="B333" s="1">
        <v>10645</v>
      </c>
      <c r="C333" s="1" t="s">
        <v>491</v>
      </c>
      <c r="D333" s="1" t="s">
        <v>5</v>
      </c>
      <c r="E333" s="5" t="s">
        <v>1892</v>
      </c>
      <c r="F333" s="4" t="str">
        <f>"169.13"</f>
        <v>169.13</v>
      </c>
      <c r="G333" s="4" t="str">
        <f>"169.13"</f>
        <v>169.13</v>
      </c>
    </row>
    <row r="334" spans="1:7" ht="15.75" customHeight="1" x14ac:dyDescent="0.15">
      <c r="A334" s="1">
        <v>330</v>
      </c>
      <c r="B334" s="1">
        <v>4599</v>
      </c>
      <c r="C334" s="1" t="s">
        <v>493</v>
      </c>
      <c r="D334" s="1" t="s">
        <v>76</v>
      </c>
      <c r="E334" s="5" t="s">
        <v>1892</v>
      </c>
      <c r="F334" s="4" t="str">
        <f>"169.98"</f>
        <v>169.98</v>
      </c>
      <c r="G334" s="4" t="str">
        <f>"169.98"</f>
        <v>169.98</v>
      </c>
    </row>
    <row r="335" spans="1:7" ht="15.75" customHeight="1" x14ac:dyDescent="0.15">
      <c r="A335" s="1">
        <v>331</v>
      </c>
      <c r="B335" s="1">
        <v>2331</v>
      </c>
      <c r="C335" s="1" t="s">
        <v>494</v>
      </c>
      <c r="D335" s="1" t="s">
        <v>5</v>
      </c>
      <c r="E335" s="5" t="s">
        <v>1892</v>
      </c>
      <c r="F335" s="4" t="str">
        <f>"170.11"</f>
        <v>170.11</v>
      </c>
      <c r="G335" s="4" t="str">
        <f>"170.11"</f>
        <v>170.11</v>
      </c>
    </row>
    <row r="336" spans="1:7" ht="15.75" customHeight="1" x14ac:dyDescent="0.15">
      <c r="A336" s="1">
        <v>332</v>
      </c>
      <c r="B336" s="1">
        <v>2356</v>
      </c>
      <c r="C336" s="1" t="s">
        <v>495</v>
      </c>
      <c r="D336" s="1" t="s">
        <v>5</v>
      </c>
      <c r="E336" s="5" t="s">
        <v>1892</v>
      </c>
      <c r="F336" s="4" t="str">
        <f>"170.28"</f>
        <v>170.28</v>
      </c>
      <c r="G336" s="4" t="str">
        <f>"170.28"</f>
        <v>170.28</v>
      </c>
    </row>
    <row r="337" spans="1:7" ht="15.75" customHeight="1" x14ac:dyDescent="0.15">
      <c r="A337" s="1">
        <v>333</v>
      </c>
      <c r="B337" s="1">
        <v>3611</v>
      </c>
      <c r="C337" s="1" t="s">
        <v>364</v>
      </c>
      <c r="D337" s="1" t="s">
        <v>285</v>
      </c>
      <c r="E337" s="5" t="s">
        <v>1892</v>
      </c>
      <c r="F337" s="4" t="str">
        <f>"171.01"</f>
        <v>171.01</v>
      </c>
      <c r="G337" s="4" t="str">
        <f>"224.54"</f>
        <v>224.54</v>
      </c>
    </row>
    <row r="338" spans="1:7" ht="15.75" customHeight="1" x14ac:dyDescent="0.15">
      <c r="A338" s="1">
        <v>334</v>
      </c>
      <c r="B338" s="1">
        <v>8361</v>
      </c>
      <c r="C338" s="1" t="s">
        <v>498</v>
      </c>
      <c r="D338" s="1" t="s">
        <v>19</v>
      </c>
      <c r="E338" s="5" t="s">
        <v>1892</v>
      </c>
      <c r="F338" s="4" t="str">
        <f>"171.54"</f>
        <v>171.54</v>
      </c>
      <c r="G338" s="4" t="str">
        <f>"171.54"</f>
        <v>171.54</v>
      </c>
    </row>
    <row r="339" spans="1:7" ht="15.75" customHeight="1" x14ac:dyDescent="0.15">
      <c r="A339" s="1">
        <v>335</v>
      </c>
      <c r="B339" s="1">
        <v>1546</v>
      </c>
      <c r="C339" s="1" t="s">
        <v>550</v>
      </c>
      <c r="D339" s="1" t="s">
        <v>94</v>
      </c>
      <c r="E339" s="5" t="s">
        <v>1892</v>
      </c>
      <c r="F339" s="4" t="str">
        <f>"172.48"</f>
        <v>172.48</v>
      </c>
      <c r="G339" s="4" t="str">
        <f>"172.48"</f>
        <v>172.48</v>
      </c>
    </row>
    <row r="340" spans="1:7" ht="15.75" customHeight="1" x14ac:dyDescent="0.15">
      <c r="A340" s="1">
        <v>336</v>
      </c>
      <c r="B340" s="1">
        <v>8090</v>
      </c>
      <c r="C340" s="1" t="s">
        <v>502</v>
      </c>
      <c r="D340" s="1" t="s">
        <v>93</v>
      </c>
      <c r="E340" s="5" t="s">
        <v>1892</v>
      </c>
      <c r="F340" s="4" t="str">
        <f>"172.63"</f>
        <v>172.63</v>
      </c>
      <c r="G340" s="4" t="str">
        <f>"172.63"</f>
        <v>172.63</v>
      </c>
    </row>
    <row r="341" spans="1:7" ht="15.75" customHeight="1" x14ac:dyDescent="0.15">
      <c r="A341" s="1">
        <v>337</v>
      </c>
      <c r="B341" s="1">
        <v>7606</v>
      </c>
      <c r="C341" s="1" t="s">
        <v>503</v>
      </c>
      <c r="D341" s="1" t="s">
        <v>59</v>
      </c>
      <c r="E341" s="5" t="s">
        <v>1892</v>
      </c>
      <c r="F341" s="4" t="str">
        <f>"172.70"</f>
        <v>172.70</v>
      </c>
      <c r="G341" s="4" t="str">
        <f>"172.70"</f>
        <v>172.70</v>
      </c>
    </row>
    <row r="342" spans="1:7" ht="15.75" customHeight="1" x14ac:dyDescent="0.15">
      <c r="A342" s="1">
        <v>338</v>
      </c>
      <c r="B342" s="1">
        <v>1911</v>
      </c>
      <c r="C342" s="1" t="s">
        <v>387</v>
      </c>
      <c r="D342" s="1" t="s">
        <v>388</v>
      </c>
      <c r="E342" s="5" t="s">
        <v>1892</v>
      </c>
      <c r="F342" s="4" t="str">
        <f>"173.76"</f>
        <v>173.76</v>
      </c>
      <c r="G342" s="4" t="str">
        <f>"181.93"</f>
        <v>181.93</v>
      </c>
    </row>
    <row r="343" spans="1:7" ht="15.75" customHeight="1" x14ac:dyDescent="0.15">
      <c r="A343" s="1">
        <v>339</v>
      </c>
      <c r="B343" s="1">
        <v>10577</v>
      </c>
      <c r="C343" s="1" t="s">
        <v>375</v>
      </c>
      <c r="D343" s="1" t="s">
        <v>5</v>
      </c>
      <c r="E343" s="5" t="s">
        <v>1892</v>
      </c>
      <c r="F343" s="4" t="str">
        <f>"174.10"</f>
        <v>174.10</v>
      </c>
      <c r="G343" s="4" t="str">
        <f>"232.50"</f>
        <v>232.50</v>
      </c>
    </row>
    <row r="344" spans="1:7" ht="15.75" customHeight="1" x14ac:dyDescent="0.15">
      <c r="A344" s="1">
        <v>340</v>
      </c>
      <c r="B344" s="1">
        <v>7864</v>
      </c>
      <c r="C344" s="1" t="s">
        <v>508</v>
      </c>
      <c r="D344" s="1" t="s">
        <v>43</v>
      </c>
      <c r="E344" s="5" t="s">
        <v>1892</v>
      </c>
      <c r="F344" s="4" t="str">
        <f>"174.72"</f>
        <v>174.72</v>
      </c>
      <c r="G344" s="4" t="str">
        <f>"174.72"</f>
        <v>174.72</v>
      </c>
    </row>
    <row r="345" spans="1:7" ht="15.75" customHeight="1" x14ac:dyDescent="0.15">
      <c r="A345" s="1">
        <v>341</v>
      </c>
      <c r="B345" s="1">
        <v>5911</v>
      </c>
      <c r="C345" s="1" t="s">
        <v>378</v>
      </c>
      <c r="D345" s="1" t="s">
        <v>8</v>
      </c>
      <c r="E345" s="5" t="s">
        <v>1892</v>
      </c>
      <c r="F345" s="4" t="str">
        <f>"174.89"</f>
        <v>174.89</v>
      </c>
      <c r="G345" s="4" t="str">
        <f>"200.92"</f>
        <v>200.92</v>
      </c>
    </row>
    <row r="346" spans="1:7" ht="15.75" customHeight="1" x14ac:dyDescent="0.15">
      <c r="A346" s="1">
        <v>342</v>
      </c>
      <c r="B346" s="1">
        <v>7609</v>
      </c>
      <c r="C346" s="1" t="s">
        <v>509</v>
      </c>
      <c r="D346" s="1" t="s">
        <v>216</v>
      </c>
      <c r="E346" s="5" t="s">
        <v>1892</v>
      </c>
      <c r="F346" s="4" t="str">
        <f>"174.93"</f>
        <v>174.93</v>
      </c>
      <c r="G346" s="4" t="str">
        <f>"174.93"</f>
        <v>174.93</v>
      </c>
    </row>
    <row r="347" spans="1:7" ht="15.75" customHeight="1" x14ac:dyDescent="0.15">
      <c r="A347" s="1">
        <v>343</v>
      </c>
      <c r="B347" s="1">
        <v>1193</v>
      </c>
      <c r="C347" s="1" t="s">
        <v>438</v>
      </c>
      <c r="D347" s="1" t="s">
        <v>31</v>
      </c>
      <c r="E347" s="5" t="s">
        <v>1892</v>
      </c>
      <c r="F347" s="4" t="str">
        <f>"175.34"</f>
        <v>175.34</v>
      </c>
      <c r="G347" s="4" t="str">
        <f>"197.46"</f>
        <v>197.46</v>
      </c>
    </row>
    <row r="348" spans="1:7" ht="15.75" customHeight="1" x14ac:dyDescent="0.15">
      <c r="A348" s="1">
        <v>344</v>
      </c>
      <c r="B348" s="1">
        <v>6180</v>
      </c>
      <c r="C348" s="1" t="s">
        <v>483</v>
      </c>
      <c r="D348" s="1" t="s">
        <v>148</v>
      </c>
      <c r="E348" s="5" t="s">
        <v>1892</v>
      </c>
      <c r="F348" s="4" t="str">
        <f>"175.37"</f>
        <v>175.37</v>
      </c>
      <c r="G348" s="4" t="str">
        <f>"183.92"</f>
        <v>183.92</v>
      </c>
    </row>
    <row r="349" spans="1:7" ht="15.75" customHeight="1" x14ac:dyDescent="0.15">
      <c r="A349" s="1">
        <v>345</v>
      </c>
      <c r="B349" s="1">
        <v>10690</v>
      </c>
      <c r="C349" s="1" t="s">
        <v>512</v>
      </c>
      <c r="D349" s="1" t="s">
        <v>8</v>
      </c>
      <c r="E349" s="5" t="s">
        <v>1892</v>
      </c>
      <c r="F349" s="4" t="str">
        <f>"175.65"</f>
        <v>175.65</v>
      </c>
      <c r="G349" s="4" t="str">
        <f>"175.65"</f>
        <v>175.65</v>
      </c>
    </row>
    <row r="350" spans="1:7" ht="15.75" customHeight="1" x14ac:dyDescent="0.15">
      <c r="A350" s="1">
        <v>346</v>
      </c>
      <c r="B350" s="1">
        <v>5258</v>
      </c>
      <c r="C350" s="1" t="s">
        <v>515</v>
      </c>
      <c r="D350" s="1" t="s">
        <v>141</v>
      </c>
      <c r="E350" s="5" t="s">
        <v>1892</v>
      </c>
      <c r="F350" s="4" t="str">
        <f>"176.01"</f>
        <v>176.01</v>
      </c>
      <c r="G350" s="4" t="str">
        <f>"176.01"</f>
        <v>176.01</v>
      </c>
    </row>
    <row r="351" spans="1:7" ht="15.75" customHeight="1" x14ac:dyDescent="0.15">
      <c r="A351" s="1">
        <v>347</v>
      </c>
      <c r="B351" s="1">
        <v>1973</v>
      </c>
      <c r="C351" s="1" t="s">
        <v>475</v>
      </c>
      <c r="D351" s="1" t="s">
        <v>87</v>
      </c>
      <c r="E351" s="5" t="s">
        <v>1892</v>
      </c>
      <c r="F351" s="4" t="str">
        <f>"176.06"</f>
        <v>176.06</v>
      </c>
      <c r="G351" s="4" t="str">
        <f>"176.06"</f>
        <v>176.06</v>
      </c>
    </row>
    <row r="352" spans="1:7" ht="15.75" customHeight="1" x14ac:dyDescent="0.15">
      <c r="A352" s="1">
        <v>348</v>
      </c>
      <c r="B352" s="1">
        <v>3681</v>
      </c>
      <c r="C352" s="1" t="s">
        <v>518</v>
      </c>
      <c r="D352" s="1" t="s">
        <v>72</v>
      </c>
      <c r="E352" s="5" t="s">
        <v>1892</v>
      </c>
      <c r="F352" s="4" t="str">
        <f>"176.57"</f>
        <v>176.57</v>
      </c>
      <c r="G352" s="4" t="str">
        <f>"176.57"</f>
        <v>176.57</v>
      </c>
    </row>
    <row r="353" spans="1:7" ht="15.75" customHeight="1" x14ac:dyDescent="0.15">
      <c r="A353" s="1">
        <v>349</v>
      </c>
      <c r="B353" s="1">
        <v>4092</v>
      </c>
      <c r="C353" s="1" t="s">
        <v>413</v>
      </c>
      <c r="D353" s="1" t="s">
        <v>22</v>
      </c>
      <c r="E353" s="5" t="s">
        <v>1892</v>
      </c>
      <c r="F353" s="4" t="str">
        <f>"176.75"</f>
        <v>176.75</v>
      </c>
      <c r="G353" s="4" t="str">
        <f>"206.86"</f>
        <v>206.86</v>
      </c>
    </row>
    <row r="354" spans="1:7" ht="15.75" customHeight="1" x14ac:dyDescent="0.15">
      <c r="A354" s="1">
        <v>350</v>
      </c>
      <c r="B354" s="1">
        <v>2237</v>
      </c>
      <c r="C354" s="1" t="s">
        <v>519</v>
      </c>
      <c r="D354" s="1" t="s">
        <v>14</v>
      </c>
      <c r="E354" s="5" t="s">
        <v>1892</v>
      </c>
      <c r="F354" s="4" t="str">
        <f>"176.86"</f>
        <v>176.86</v>
      </c>
      <c r="G354" s="4" t="str">
        <f>"176.86"</f>
        <v>176.86</v>
      </c>
    </row>
    <row r="355" spans="1:7" ht="15.75" customHeight="1" x14ac:dyDescent="0.15">
      <c r="A355" s="1">
        <v>351</v>
      </c>
      <c r="B355" s="1">
        <v>4167</v>
      </c>
      <c r="C355" s="1" t="s">
        <v>520</v>
      </c>
      <c r="D355" s="1" t="s">
        <v>53</v>
      </c>
      <c r="E355" s="5" t="s">
        <v>1892</v>
      </c>
      <c r="F355" s="4" t="str">
        <f>"176.87"</f>
        <v>176.87</v>
      </c>
      <c r="G355" s="4" t="str">
        <f>"176.87"</f>
        <v>176.87</v>
      </c>
    </row>
    <row r="356" spans="1:7" ht="15.75" customHeight="1" x14ac:dyDescent="0.15">
      <c r="A356" s="1">
        <v>352</v>
      </c>
      <c r="B356" s="1">
        <v>5145</v>
      </c>
      <c r="C356" s="1" t="s">
        <v>674</v>
      </c>
      <c r="D356" s="1" t="s">
        <v>21</v>
      </c>
      <c r="E356" s="5" t="s">
        <v>1892</v>
      </c>
      <c r="F356" s="4" t="str">
        <f>"177.14"</f>
        <v>177.14</v>
      </c>
      <c r="G356" s="4" t="str">
        <f>"177.14"</f>
        <v>177.14</v>
      </c>
    </row>
    <row r="357" spans="1:7" ht="15.75" customHeight="1" x14ac:dyDescent="0.15">
      <c r="A357" s="1">
        <v>353</v>
      </c>
      <c r="B357" s="1">
        <v>2989</v>
      </c>
      <c r="C357" s="1" t="s">
        <v>383</v>
      </c>
      <c r="D357" s="1" t="s">
        <v>41</v>
      </c>
      <c r="E357" s="5" t="s">
        <v>1892</v>
      </c>
      <c r="F357" s="4" t="str">
        <f>"177.33"</f>
        <v>177.33</v>
      </c>
      <c r="G357" s="4" t="str">
        <f>"202.81"</f>
        <v>202.81</v>
      </c>
    </row>
    <row r="358" spans="1:7" ht="15.75" customHeight="1" x14ac:dyDescent="0.15">
      <c r="A358" s="1">
        <v>354</v>
      </c>
      <c r="B358" s="1">
        <v>5478</v>
      </c>
      <c r="C358" s="1" t="s">
        <v>522</v>
      </c>
      <c r="D358" s="1" t="s">
        <v>19</v>
      </c>
      <c r="E358" s="5" t="s">
        <v>1892</v>
      </c>
      <c r="F358" s="4" t="str">
        <f>"177.38"</f>
        <v>177.38</v>
      </c>
      <c r="G358" s="4" t="str">
        <f>"177.38"</f>
        <v>177.38</v>
      </c>
    </row>
    <row r="359" spans="1:7" ht="15.75" customHeight="1" x14ac:dyDescent="0.15">
      <c r="A359" s="1">
        <v>355</v>
      </c>
      <c r="B359" s="1">
        <v>6796</v>
      </c>
      <c r="C359" s="1" t="s">
        <v>384</v>
      </c>
      <c r="D359" s="1" t="s">
        <v>64</v>
      </c>
      <c r="E359" s="5" t="s">
        <v>1892</v>
      </c>
      <c r="F359" s="4" t="str">
        <f>"177.76"</f>
        <v>177.76</v>
      </c>
      <c r="G359" s="4" t="str">
        <f>"214.95"</f>
        <v>214.95</v>
      </c>
    </row>
    <row r="360" spans="1:7" ht="15.75" customHeight="1" x14ac:dyDescent="0.15">
      <c r="A360" s="1">
        <v>356</v>
      </c>
      <c r="B360" s="1">
        <v>6405</v>
      </c>
      <c r="C360" s="1" t="s">
        <v>385</v>
      </c>
      <c r="D360" s="1" t="s">
        <v>285</v>
      </c>
      <c r="E360" s="5" t="s">
        <v>1892</v>
      </c>
      <c r="F360" s="4" t="str">
        <f>"177.89"</f>
        <v>177.89</v>
      </c>
      <c r="G360" s="4" t="str">
        <f>"219.30"</f>
        <v>219.30</v>
      </c>
    </row>
    <row r="361" spans="1:7" ht="15.75" customHeight="1" x14ac:dyDescent="0.15">
      <c r="A361" s="1">
        <v>357</v>
      </c>
      <c r="B361" s="1">
        <v>1621</v>
      </c>
      <c r="C361" s="1" t="s">
        <v>523</v>
      </c>
      <c r="D361" s="1" t="s">
        <v>22</v>
      </c>
      <c r="E361" s="5" t="s">
        <v>1892</v>
      </c>
      <c r="F361" s="4" t="str">
        <f>"177.91"</f>
        <v>177.91</v>
      </c>
      <c r="G361" s="4" t="str">
        <f>"177.91"</f>
        <v>177.91</v>
      </c>
    </row>
    <row r="362" spans="1:7" ht="15.75" customHeight="1" x14ac:dyDescent="0.15">
      <c r="A362" s="1">
        <v>358</v>
      </c>
      <c r="B362" s="1">
        <v>1201</v>
      </c>
      <c r="C362" s="1" t="s">
        <v>525</v>
      </c>
      <c r="D362" s="1" t="s">
        <v>526</v>
      </c>
      <c r="E362" s="5" t="s">
        <v>1892</v>
      </c>
      <c r="F362" s="4" t="str">
        <f>"178.19"</f>
        <v>178.19</v>
      </c>
      <c r="G362" s="4" t="str">
        <f>"178.19"</f>
        <v>178.19</v>
      </c>
    </row>
    <row r="363" spans="1:7" ht="15.75" customHeight="1" x14ac:dyDescent="0.15">
      <c r="A363" s="1">
        <v>359</v>
      </c>
      <c r="B363" s="1">
        <v>7171</v>
      </c>
      <c r="C363" s="1" t="s">
        <v>527</v>
      </c>
      <c r="D363" s="1" t="s">
        <v>27</v>
      </c>
      <c r="E363" s="5" t="s">
        <v>1892</v>
      </c>
      <c r="F363" s="4" t="str">
        <f>"178.54"</f>
        <v>178.54</v>
      </c>
      <c r="G363" s="4" t="str">
        <f>"178.54"</f>
        <v>178.54</v>
      </c>
    </row>
    <row r="364" spans="1:7" ht="15.75" customHeight="1" x14ac:dyDescent="0.15">
      <c r="A364" s="1">
        <v>360</v>
      </c>
      <c r="B364" s="1">
        <v>5653</v>
      </c>
      <c r="C364" s="1" t="s">
        <v>389</v>
      </c>
      <c r="D364" s="1" t="s">
        <v>69</v>
      </c>
      <c r="E364" s="5" t="s">
        <v>1892</v>
      </c>
      <c r="F364" s="4" t="str">
        <f>"179.30"</f>
        <v>179.30</v>
      </c>
      <c r="G364" s="4" t="str">
        <f>"199.37"</f>
        <v>199.37</v>
      </c>
    </row>
    <row r="365" spans="1:7" ht="15.75" customHeight="1" x14ac:dyDescent="0.15">
      <c r="A365" s="1">
        <v>361</v>
      </c>
      <c r="B365" s="1">
        <v>10350</v>
      </c>
      <c r="C365" s="1" t="s">
        <v>530</v>
      </c>
      <c r="D365" s="1" t="s">
        <v>24</v>
      </c>
      <c r="E365" s="5" t="s">
        <v>1892</v>
      </c>
      <c r="F365" s="4" t="str">
        <f>"179.58"</f>
        <v>179.58</v>
      </c>
      <c r="G365" s="4" t="str">
        <f>"179.58"</f>
        <v>179.58</v>
      </c>
    </row>
    <row r="366" spans="1:7" ht="15.75" customHeight="1" x14ac:dyDescent="0.15">
      <c r="A366" s="1">
        <v>362</v>
      </c>
      <c r="B366" s="1">
        <v>3039</v>
      </c>
      <c r="C366" s="1" t="s">
        <v>659</v>
      </c>
      <c r="D366" s="1" t="s">
        <v>14</v>
      </c>
      <c r="E366" s="5" t="s">
        <v>1892</v>
      </c>
      <c r="F366" s="4" t="str">
        <f>"179.98"</f>
        <v>179.98</v>
      </c>
      <c r="G366" s="4" t="str">
        <f>"179.98"</f>
        <v>179.98</v>
      </c>
    </row>
    <row r="367" spans="1:7" ht="15.75" customHeight="1" x14ac:dyDescent="0.15">
      <c r="A367" s="1">
        <v>363</v>
      </c>
      <c r="B367" s="1">
        <v>7726</v>
      </c>
      <c r="C367" s="1" t="s">
        <v>393</v>
      </c>
      <c r="D367" s="1" t="s">
        <v>72</v>
      </c>
      <c r="E367" s="5" t="s">
        <v>1892</v>
      </c>
      <c r="F367" s="4" t="str">
        <f>"180.49"</f>
        <v>180.49</v>
      </c>
      <c r="G367" s="4" t="str">
        <f>"203.20"</f>
        <v>203.20</v>
      </c>
    </row>
    <row r="368" spans="1:7" ht="15.75" customHeight="1" x14ac:dyDescent="0.15">
      <c r="A368" s="1">
        <v>364</v>
      </c>
      <c r="B368" s="1">
        <v>10285</v>
      </c>
      <c r="C368" s="1" t="s">
        <v>394</v>
      </c>
      <c r="D368" s="1" t="s">
        <v>19</v>
      </c>
      <c r="E368" s="5" t="s">
        <v>1892</v>
      </c>
      <c r="F368" s="4" t="str">
        <f>"180.50"</f>
        <v>180.50</v>
      </c>
      <c r="G368" s="4" t="str">
        <f>"265.87"</f>
        <v>265.87</v>
      </c>
    </row>
    <row r="369" spans="1:7" ht="15.75" customHeight="1" x14ac:dyDescent="0.15">
      <c r="A369" s="1">
        <v>365</v>
      </c>
      <c r="B369" s="1">
        <v>10342</v>
      </c>
      <c r="C369" s="1" t="s">
        <v>397</v>
      </c>
      <c r="D369" s="1" t="s">
        <v>5</v>
      </c>
      <c r="E369" s="5" t="s">
        <v>1892</v>
      </c>
      <c r="F369" s="4" t="str">
        <f>"180.68"</f>
        <v>180.68</v>
      </c>
      <c r="G369" s="4" t="str">
        <f>"241.61"</f>
        <v>241.61</v>
      </c>
    </row>
    <row r="370" spans="1:7" ht="15.75" customHeight="1" x14ac:dyDescent="0.15">
      <c r="A370" s="1">
        <v>366</v>
      </c>
      <c r="B370" s="1">
        <v>1426</v>
      </c>
      <c r="C370" s="1" t="s">
        <v>733</v>
      </c>
      <c r="D370" s="1" t="s">
        <v>48</v>
      </c>
      <c r="E370" s="5" t="s">
        <v>1892</v>
      </c>
      <c r="F370" s="4" t="str">
        <f>"180.72"</f>
        <v>180.72</v>
      </c>
      <c r="G370" s="4" t="str">
        <f>"180.72"</f>
        <v>180.72</v>
      </c>
    </row>
    <row r="371" spans="1:7" ht="15.75" customHeight="1" x14ac:dyDescent="0.15">
      <c r="A371" s="1">
        <v>367</v>
      </c>
      <c r="B371" s="1">
        <v>9650</v>
      </c>
      <c r="C371" s="1" t="s">
        <v>398</v>
      </c>
      <c r="D371" s="1" t="s">
        <v>69</v>
      </c>
      <c r="E371" s="5" t="s">
        <v>1892</v>
      </c>
      <c r="F371" s="4" t="str">
        <f>"180.93"</f>
        <v>180.93</v>
      </c>
      <c r="G371" s="4" t="str">
        <f>"192.60"</f>
        <v>192.60</v>
      </c>
    </row>
    <row r="372" spans="1:7" ht="15.75" customHeight="1" x14ac:dyDescent="0.15">
      <c r="A372" s="1">
        <v>368</v>
      </c>
      <c r="B372" s="1">
        <v>5386</v>
      </c>
      <c r="C372" s="1" t="s">
        <v>538</v>
      </c>
      <c r="D372" s="1" t="s">
        <v>33</v>
      </c>
      <c r="E372" s="5" t="s">
        <v>1892</v>
      </c>
      <c r="F372" s="4" t="str">
        <f>"181.49"</f>
        <v>181.49</v>
      </c>
      <c r="G372" s="4" t="str">
        <f>"181.49"</f>
        <v>181.49</v>
      </c>
    </row>
    <row r="373" spans="1:7" ht="15.75" customHeight="1" x14ac:dyDescent="0.15">
      <c r="A373" s="1">
        <v>369</v>
      </c>
      <c r="B373" s="1">
        <v>3312</v>
      </c>
      <c r="C373" s="1" t="s">
        <v>540</v>
      </c>
      <c r="D373" s="1" t="s">
        <v>5</v>
      </c>
      <c r="E373" s="5" t="s">
        <v>1892</v>
      </c>
      <c r="F373" s="4" t="str">
        <f>"181.75"</f>
        <v>181.75</v>
      </c>
      <c r="G373" s="4" t="str">
        <f>"181.75"</f>
        <v>181.75</v>
      </c>
    </row>
    <row r="374" spans="1:7" ht="15.75" customHeight="1" x14ac:dyDescent="0.15">
      <c r="A374" s="1">
        <v>370</v>
      </c>
      <c r="B374" s="1">
        <v>10105</v>
      </c>
      <c r="C374" s="1" t="s">
        <v>433</v>
      </c>
      <c r="D374" s="1" t="s">
        <v>16</v>
      </c>
      <c r="E374" s="5" t="s">
        <v>1892</v>
      </c>
      <c r="F374" s="4" t="str">
        <f>"181.94"</f>
        <v>181.94</v>
      </c>
      <c r="G374" s="4" t="str">
        <f>"186.09"</f>
        <v>186.09</v>
      </c>
    </row>
    <row r="375" spans="1:7" ht="15.75" customHeight="1" x14ac:dyDescent="0.15">
      <c r="A375" s="1">
        <v>371</v>
      </c>
      <c r="B375" s="1">
        <v>8336</v>
      </c>
      <c r="C375" s="1" t="s">
        <v>544</v>
      </c>
      <c r="D375" s="1" t="s">
        <v>19</v>
      </c>
      <c r="E375" s="5" t="s">
        <v>1892</v>
      </c>
      <c r="F375" s="4" t="str">
        <f>"183.05"</f>
        <v>183.05</v>
      </c>
      <c r="G375" s="4" t="str">
        <f>"183.05"</f>
        <v>183.05</v>
      </c>
    </row>
    <row r="376" spans="1:7" ht="15.75" customHeight="1" x14ac:dyDescent="0.15">
      <c r="A376" s="1">
        <v>372</v>
      </c>
      <c r="B376" s="1">
        <v>4846</v>
      </c>
      <c r="C376" s="1" t="s">
        <v>545</v>
      </c>
      <c r="D376" s="1" t="s">
        <v>18</v>
      </c>
      <c r="E376" s="5" t="s">
        <v>1892</v>
      </c>
      <c r="F376" s="4" t="str">
        <f>"183.41"</f>
        <v>183.41</v>
      </c>
      <c r="G376" s="4" t="str">
        <f>"183.41"</f>
        <v>183.41</v>
      </c>
    </row>
    <row r="377" spans="1:7" ht="15.75" customHeight="1" x14ac:dyDescent="0.15">
      <c r="A377" s="1">
        <v>373</v>
      </c>
      <c r="B377" s="1">
        <v>5368</v>
      </c>
      <c r="C377" s="1" t="s">
        <v>546</v>
      </c>
      <c r="D377" s="1" t="s">
        <v>46</v>
      </c>
      <c r="E377" s="5" t="s">
        <v>1892</v>
      </c>
      <c r="F377" s="4" t="str">
        <f>"183.53"</f>
        <v>183.53</v>
      </c>
      <c r="G377" s="4" t="str">
        <f>"183.53"</f>
        <v>183.53</v>
      </c>
    </row>
    <row r="378" spans="1:7" ht="15.75" customHeight="1" x14ac:dyDescent="0.15">
      <c r="A378" s="1">
        <v>374</v>
      </c>
      <c r="B378" s="1">
        <v>10955</v>
      </c>
      <c r="C378" s="1" t="s">
        <v>547</v>
      </c>
      <c r="D378" s="1" t="s">
        <v>19</v>
      </c>
      <c r="E378" s="5" t="s">
        <v>1892</v>
      </c>
      <c r="F378" s="4" t="str">
        <f>"184.35"</f>
        <v>184.35</v>
      </c>
      <c r="G378" s="4" t="str">
        <f>"184.35"</f>
        <v>184.35</v>
      </c>
    </row>
    <row r="379" spans="1:7" ht="15.75" customHeight="1" x14ac:dyDescent="0.15">
      <c r="A379" s="1">
        <v>375</v>
      </c>
      <c r="B379" s="1">
        <v>2317</v>
      </c>
      <c r="C379" s="1" t="s">
        <v>539</v>
      </c>
      <c r="D379" s="1" t="s">
        <v>5</v>
      </c>
      <c r="E379" s="5" t="s">
        <v>1892</v>
      </c>
      <c r="F379" s="4" t="str">
        <f>"185.03"</f>
        <v>185.03</v>
      </c>
      <c r="G379" s="4" t="str">
        <f>"188.46"</f>
        <v>188.46</v>
      </c>
    </row>
    <row r="380" spans="1:7" ht="15.75" customHeight="1" x14ac:dyDescent="0.15">
      <c r="A380" s="1">
        <v>376</v>
      </c>
      <c r="B380" s="1">
        <v>5398</v>
      </c>
      <c r="C380" s="1" t="s">
        <v>914</v>
      </c>
      <c r="D380" s="1" t="s">
        <v>595</v>
      </c>
      <c r="E380" s="5" t="s">
        <v>1892</v>
      </c>
      <c r="F380" s="4" t="str">
        <f>"185.52"</f>
        <v>185.52</v>
      </c>
      <c r="G380" s="4" t="str">
        <f>"185.52"</f>
        <v>185.52</v>
      </c>
    </row>
    <row r="381" spans="1:7" ht="15.75" customHeight="1" x14ac:dyDescent="0.15">
      <c r="A381" s="1">
        <v>377</v>
      </c>
      <c r="B381" s="1">
        <v>3754</v>
      </c>
      <c r="C381" s="1" t="s">
        <v>549</v>
      </c>
      <c r="D381" s="1" t="s">
        <v>39</v>
      </c>
      <c r="E381" s="5" t="s">
        <v>1892</v>
      </c>
      <c r="F381" s="4" t="str">
        <f>"185.70"</f>
        <v>185.70</v>
      </c>
      <c r="G381" s="4" t="str">
        <f>"185.70"</f>
        <v>185.70</v>
      </c>
    </row>
    <row r="382" spans="1:7" ht="15.75" customHeight="1" x14ac:dyDescent="0.15">
      <c r="A382" s="1">
        <v>378</v>
      </c>
      <c r="B382" s="1">
        <v>2489</v>
      </c>
      <c r="C382" s="1" t="s">
        <v>551</v>
      </c>
      <c r="D382" s="1" t="s">
        <v>8</v>
      </c>
      <c r="E382" s="5" t="s">
        <v>1892</v>
      </c>
      <c r="F382" s="4" t="str">
        <f>"185.73"</f>
        <v>185.73</v>
      </c>
      <c r="G382" s="4" t="str">
        <f>"185.73"</f>
        <v>185.73</v>
      </c>
    </row>
    <row r="383" spans="1:7" ht="15.75" customHeight="1" x14ac:dyDescent="0.15">
      <c r="A383" s="1">
        <v>379</v>
      </c>
      <c r="B383" s="1">
        <v>10356</v>
      </c>
      <c r="C383" s="1" t="s">
        <v>555</v>
      </c>
      <c r="D383" s="1" t="s">
        <v>74</v>
      </c>
      <c r="E383" s="5" t="s">
        <v>1892</v>
      </c>
      <c r="F383" s="4" t="str">
        <f>"186.63"</f>
        <v>186.63</v>
      </c>
      <c r="G383" s="4" t="str">
        <f>"186.63"</f>
        <v>186.63</v>
      </c>
    </row>
    <row r="384" spans="1:7" ht="15.75" customHeight="1" x14ac:dyDescent="0.15">
      <c r="A384" s="1">
        <v>380</v>
      </c>
      <c r="B384" s="1">
        <v>6700</v>
      </c>
      <c r="C384" s="1" t="s">
        <v>596</v>
      </c>
      <c r="D384" s="1" t="s">
        <v>12</v>
      </c>
      <c r="E384" s="5" t="s">
        <v>1892</v>
      </c>
      <c r="F384" s="4" t="str">
        <f>"186.65"</f>
        <v>186.65</v>
      </c>
      <c r="G384" s="4" t="str">
        <f>"186.65"</f>
        <v>186.65</v>
      </c>
    </row>
    <row r="385" spans="1:7" ht="15.75" customHeight="1" x14ac:dyDescent="0.15">
      <c r="A385" s="1">
        <v>381</v>
      </c>
      <c r="B385" s="1">
        <v>1616</v>
      </c>
      <c r="C385" s="1" t="s">
        <v>424</v>
      </c>
      <c r="D385" s="1" t="s">
        <v>18</v>
      </c>
      <c r="E385" s="5" t="s">
        <v>1892</v>
      </c>
      <c r="F385" s="4" t="str">
        <f>"186.92"</f>
        <v>186.92</v>
      </c>
      <c r="G385" s="4" t="str">
        <f>"192.65"</f>
        <v>192.65</v>
      </c>
    </row>
    <row r="386" spans="1:7" ht="15.75" customHeight="1" x14ac:dyDescent="0.15">
      <c r="A386" s="1">
        <v>382</v>
      </c>
      <c r="B386" s="1">
        <v>7006</v>
      </c>
      <c r="C386" s="1" t="s">
        <v>556</v>
      </c>
      <c r="D386" s="1" t="s">
        <v>69</v>
      </c>
      <c r="E386" s="5" t="s">
        <v>1892</v>
      </c>
      <c r="F386" s="4" t="str">
        <f>"187.02"</f>
        <v>187.02</v>
      </c>
      <c r="G386" s="4" t="str">
        <f>"187.02"</f>
        <v>187.02</v>
      </c>
    </row>
    <row r="387" spans="1:7" ht="15.75" customHeight="1" x14ac:dyDescent="0.15">
      <c r="A387" s="1">
        <v>383</v>
      </c>
      <c r="B387" s="1">
        <v>5487</v>
      </c>
      <c r="C387" s="1" t="s">
        <v>510</v>
      </c>
      <c r="D387" s="1" t="s">
        <v>19</v>
      </c>
      <c r="E387" s="5" t="s">
        <v>1892</v>
      </c>
      <c r="F387" s="4" t="str">
        <f>"187.09"</f>
        <v>187.09</v>
      </c>
      <c r="G387" s="4" t="str">
        <f>"199.09"</f>
        <v>199.09</v>
      </c>
    </row>
    <row r="388" spans="1:7" ht="15.75" customHeight="1" x14ac:dyDescent="0.15">
      <c r="A388" s="1">
        <v>384</v>
      </c>
      <c r="B388" s="1">
        <v>4528</v>
      </c>
      <c r="C388" s="1" t="s">
        <v>557</v>
      </c>
      <c r="D388" s="1" t="s">
        <v>46</v>
      </c>
      <c r="E388" s="5" t="s">
        <v>1892</v>
      </c>
      <c r="F388" s="4" t="str">
        <f>"187.21"</f>
        <v>187.21</v>
      </c>
      <c r="G388" s="4" t="str">
        <f>"187.21"</f>
        <v>187.21</v>
      </c>
    </row>
    <row r="389" spans="1:7" ht="15.75" customHeight="1" x14ac:dyDescent="0.15">
      <c r="A389" s="1">
        <v>385</v>
      </c>
      <c r="B389" s="1">
        <v>5162</v>
      </c>
      <c r="C389" s="1" t="s">
        <v>499</v>
      </c>
      <c r="D389" s="1" t="s">
        <v>500</v>
      </c>
      <c r="E389" s="5" t="s">
        <v>1892</v>
      </c>
      <c r="F389" s="4" t="str">
        <f>"188.02"</f>
        <v>188.02</v>
      </c>
      <c r="G389" s="4" t="str">
        <f>"188.02"</f>
        <v>188.02</v>
      </c>
    </row>
    <row r="390" spans="1:7" ht="15.75" customHeight="1" x14ac:dyDescent="0.15">
      <c r="A390" s="1">
        <v>386</v>
      </c>
      <c r="B390" s="1">
        <v>7566</v>
      </c>
      <c r="C390" s="1" t="s">
        <v>558</v>
      </c>
      <c r="D390" s="1" t="s">
        <v>17</v>
      </c>
      <c r="E390" s="5" t="s">
        <v>1892</v>
      </c>
      <c r="F390" s="4" t="str">
        <f>"188.22"</f>
        <v>188.22</v>
      </c>
      <c r="G390" s="4" t="str">
        <f>"188.22"</f>
        <v>188.22</v>
      </c>
    </row>
    <row r="391" spans="1:7" ht="15.75" customHeight="1" x14ac:dyDescent="0.15">
      <c r="A391" s="1">
        <v>387</v>
      </c>
      <c r="B391" s="1">
        <v>970</v>
      </c>
      <c r="C391" s="1" t="s">
        <v>559</v>
      </c>
      <c r="D391" s="1" t="s">
        <v>90</v>
      </c>
      <c r="E391" s="5" t="s">
        <v>1892</v>
      </c>
      <c r="F391" s="4" t="str">
        <f>"188.23"</f>
        <v>188.23</v>
      </c>
      <c r="G391" s="4" t="str">
        <f>"188.23"</f>
        <v>188.23</v>
      </c>
    </row>
    <row r="392" spans="1:7" ht="15.75" customHeight="1" x14ac:dyDescent="0.15">
      <c r="A392" s="1">
        <v>388</v>
      </c>
      <c r="B392" s="1">
        <v>5031</v>
      </c>
      <c r="C392" s="1" t="s">
        <v>415</v>
      </c>
      <c r="D392" s="1" t="s">
        <v>148</v>
      </c>
      <c r="E392" s="5" t="s">
        <v>1892</v>
      </c>
      <c r="F392" s="4" t="str">
        <f>"188.38"</f>
        <v>188.38</v>
      </c>
      <c r="G392" s="4" t="str">
        <f>"269.89"</f>
        <v>269.89</v>
      </c>
    </row>
    <row r="393" spans="1:7" ht="15.75" customHeight="1" x14ac:dyDescent="0.15">
      <c r="A393" s="1">
        <v>389</v>
      </c>
      <c r="B393" s="1">
        <v>9969</v>
      </c>
      <c r="C393" s="1" t="s">
        <v>440</v>
      </c>
      <c r="D393" s="1" t="s">
        <v>8</v>
      </c>
      <c r="E393" s="5" t="s">
        <v>1892</v>
      </c>
      <c r="F393" s="4" t="str">
        <f>"188.69"</f>
        <v>188.69</v>
      </c>
      <c r="G393" s="4" t="str">
        <f>"204.61"</f>
        <v>204.61</v>
      </c>
    </row>
    <row r="394" spans="1:7" ht="15.75" customHeight="1" x14ac:dyDescent="0.15">
      <c r="A394" s="1">
        <v>390</v>
      </c>
      <c r="B394" s="1">
        <v>1359</v>
      </c>
      <c r="C394" s="1" t="s">
        <v>618</v>
      </c>
      <c r="D394" s="1" t="s">
        <v>309</v>
      </c>
      <c r="E394" s="5" t="s">
        <v>1892</v>
      </c>
      <c r="F394" s="4" t="str">
        <f>"188.69"</f>
        <v>188.69</v>
      </c>
      <c r="G394" s="4" t="str">
        <f>"188.69"</f>
        <v>188.69</v>
      </c>
    </row>
    <row r="395" spans="1:7" ht="15.75" customHeight="1" x14ac:dyDescent="0.15">
      <c r="A395" s="1">
        <v>391</v>
      </c>
      <c r="B395" s="1">
        <v>5248</v>
      </c>
      <c r="C395" s="1" t="s">
        <v>434</v>
      </c>
      <c r="D395" s="1" t="s">
        <v>23</v>
      </c>
      <c r="E395" s="5" t="s">
        <v>1892</v>
      </c>
      <c r="F395" s="4" t="str">
        <f>"189.06"</f>
        <v>189.06</v>
      </c>
      <c r="G395" s="4" t="str">
        <f>"189.06"</f>
        <v>189.06</v>
      </c>
    </row>
    <row r="396" spans="1:7" ht="15.75" customHeight="1" x14ac:dyDescent="0.15">
      <c r="A396" s="1">
        <v>392</v>
      </c>
      <c r="B396" s="1">
        <v>2638</v>
      </c>
      <c r="C396" s="1" t="s">
        <v>644</v>
      </c>
      <c r="D396" s="1" t="s">
        <v>18</v>
      </c>
      <c r="E396" s="5" t="s">
        <v>1892</v>
      </c>
      <c r="F396" s="4" t="str">
        <f>"189.40"</f>
        <v>189.40</v>
      </c>
      <c r="G396" s="4" t="str">
        <f>"189.40"</f>
        <v>189.40</v>
      </c>
    </row>
    <row r="397" spans="1:7" ht="15.75" customHeight="1" x14ac:dyDescent="0.15">
      <c r="A397" s="1">
        <v>393</v>
      </c>
      <c r="B397" s="1">
        <v>9467</v>
      </c>
      <c r="C397" s="1" t="s">
        <v>422</v>
      </c>
      <c r="D397" s="1" t="s">
        <v>423</v>
      </c>
      <c r="E397" s="5" t="s">
        <v>1892</v>
      </c>
      <c r="F397" s="4" t="str">
        <f>"189.88"</f>
        <v>189.88</v>
      </c>
      <c r="G397" s="4" t="str">
        <f>"216.54"</f>
        <v>216.54</v>
      </c>
    </row>
    <row r="398" spans="1:7" ht="15.75" customHeight="1" x14ac:dyDescent="0.15">
      <c r="A398" s="1">
        <v>394</v>
      </c>
      <c r="B398" s="1">
        <v>10671</v>
      </c>
      <c r="C398" s="1" t="s">
        <v>425</v>
      </c>
      <c r="D398" s="1" t="s">
        <v>77</v>
      </c>
      <c r="E398" s="5" t="s">
        <v>1892</v>
      </c>
      <c r="F398" s="4" t="str">
        <f>"190.27"</f>
        <v>190.27</v>
      </c>
      <c r="G398" s="4" t="str">
        <f>"265.77"</f>
        <v>265.77</v>
      </c>
    </row>
    <row r="399" spans="1:7" ht="15.75" customHeight="1" x14ac:dyDescent="0.15">
      <c r="A399" s="1">
        <v>395</v>
      </c>
      <c r="B399" s="1">
        <v>7836</v>
      </c>
      <c r="C399" s="1" t="s">
        <v>564</v>
      </c>
      <c r="D399" s="1" t="s">
        <v>65</v>
      </c>
      <c r="E399" s="5" t="s">
        <v>1892</v>
      </c>
      <c r="F399" s="4" t="str">
        <f>"190.33"</f>
        <v>190.33</v>
      </c>
      <c r="G399" s="4" t="str">
        <f>"190.33"</f>
        <v>190.33</v>
      </c>
    </row>
    <row r="400" spans="1:7" ht="15.75" customHeight="1" x14ac:dyDescent="0.15">
      <c r="A400" s="1">
        <v>396</v>
      </c>
      <c r="B400" s="1">
        <v>3102</v>
      </c>
      <c r="C400" s="1" t="s">
        <v>578</v>
      </c>
      <c r="D400" s="1" t="s">
        <v>27</v>
      </c>
      <c r="E400" s="5" t="s">
        <v>1892</v>
      </c>
      <c r="F400" s="4" t="str">
        <f>"190.48"</f>
        <v>190.48</v>
      </c>
      <c r="G400" s="4" t="str">
        <f>"190.48"</f>
        <v>190.48</v>
      </c>
    </row>
    <row r="401" spans="1:7" ht="15.75" customHeight="1" x14ac:dyDescent="0.15">
      <c r="A401" s="1">
        <v>397</v>
      </c>
      <c r="B401" s="1">
        <v>2247</v>
      </c>
      <c r="C401" s="1" t="s">
        <v>624</v>
      </c>
      <c r="D401" s="1" t="s">
        <v>5</v>
      </c>
      <c r="E401" s="5" t="s">
        <v>1892</v>
      </c>
      <c r="F401" s="4" t="str">
        <f>"190.68"</f>
        <v>190.68</v>
      </c>
      <c r="G401" s="4" t="str">
        <f>"190.68"</f>
        <v>190.68</v>
      </c>
    </row>
    <row r="402" spans="1:7" ht="15.75" customHeight="1" x14ac:dyDescent="0.15">
      <c r="A402" s="1">
        <v>398</v>
      </c>
      <c r="B402" s="1">
        <v>503</v>
      </c>
      <c r="C402" s="1" t="s">
        <v>437</v>
      </c>
      <c r="D402" s="1" t="s">
        <v>17</v>
      </c>
      <c r="E402" s="5" t="s">
        <v>1892</v>
      </c>
      <c r="F402" s="4" t="str">
        <f>"190.80"</f>
        <v>190.80</v>
      </c>
      <c r="G402" s="4" t="str">
        <f>"195.03"</f>
        <v>195.03</v>
      </c>
    </row>
    <row r="403" spans="1:7" ht="15.75" customHeight="1" x14ac:dyDescent="0.15">
      <c r="A403" s="1">
        <v>399</v>
      </c>
      <c r="B403" s="1">
        <v>1719</v>
      </c>
      <c r="C403" s="1" t="s">
        <v>427</v>
      </c>
      <c r="D403" s="1" t="s">
        <v>21</v>
      </c>
      <c r="E403" s="5" t="s">
        <v>1892</v>
      </c>
      <c r="F403" s="4" t="str">
        <f>"190.82"</f>
        <v>190.82</v>
      </c>
      <c r="G403" s="4" t="str">
        <f>"228.96"</f>
        <v>228.96</v>
      </c>
    </row>
    <row r="404" spans="1:7" ht="15.75" customHeight="1" x14ac:dyDescent="0.15">
      <c r="A404" s="1">
        <v>400</v>
      </c>
      <c r="B404" s="1">
        <v>2403</v>
      </c>
      <c r="C404" s="1" t="s">
        <v>675</v>
      </c>
      <c r="D404" s="1" t="s">
        <v>5</v>
      </c>
      <c r="E404" s="5" t="s">
        <v>1892</v>
      </c>
      <c r="F404" s="4" t="str">
        <f>"190.88"</f>
        <v>190.88</v>
      </c>
      <c r="G404" s="4" t="str">
        <f>"190.88"</f>
        <v>190.88</v>
      </c>
    </row>
    <row r="405" spans="1:7" ht="15.75" customHeight="1" x14ac:dyDescent="0.15">
      <c r="A405" s="1">
        <v>401</v>
      </c>
      <c r="B405" s="1">
        <v>2287</v>
      </c>
      <c r="C405" s="1" t="s">
        <v>428</v>
      </c>
      <c r="D405" s="1" t="s">
        <v>5</v>
      </c>
      <c r="E405" s="5" t="s">
        <v>1892</v>
      </c>
      <c r="F405" s="4" t="str">
        <f>"191.05"</f>
        <v>191.05</v>
      </c>
      <c r="G405" s="4" t="str">
        <f>"226.68"</f>
        <v>226.68</v>
      </c>
    </row>
    <row r="406" spans="1:7" ht="15.75" customHeight="1" x14ac:dyDescent="0.15">
      <c r="A406" s="1">
        <v>402</v>
      </c>
      <c r="B406" s="1">
        <v>10812</v>
      </c>
      <c r="C406" s="1" t="s">
        <v>566</v>
      </c>
      <c r="D406" s="1" t="s">
        <v>19</v>
      </c>
      <c r="E406" s="5" t="s">
        <v>1892</v>
      </c>
      <c r="F406" s="4" t="str">
        <f>"191.11"</f>
        <v>191.11</v>
      </c>
      <c r="G406" s="4" t="str">
        <f>"191.11"</f>
        <v>191.11</v>
      </c>
    </row>
    <row r="407" spans="1:7" ht="15.75" customHeight="1" x14ac:dyDescent="0.15">
      <c r="A407" s="1">
        <v>403</v>
      </c>
      <c r="B407" s="1">
        <v>4325</v>
      </c>
      <c r="C407" s="1" t="s">
        <v>430</v>
      </c>
      <c r="D407" s="1" t="s">
        <v>423</v>
      </c>
      <c r="E407" s="5" t="s">
        <v>1892</v>
      </c>
      <c r="F407" s="4" t="str">
        <f>"191.47"</f>
        <v>191.47</v>
      </c>
      <c r="G407" s="4" t="str">
        <f>"317.42"</f>
        <v>317.42</v>
      </c>
    </row>
    <row r="408" spans="1:7" ht="15.75" customHeight="1" x14ac:dyDescent="0.15">
      <c r="A408" s="1">
        <v>404</v>
      </c>
      <c r="B408" s="1">
        <v>2243</v>
      </c>
      <c r="C408" s="1" t="s">
        <v>431</v>
      </c>
      <c r="D408" s="1" t="s">
        <v>5</v>
      </c>
      <c r="E408" s="5" t="s">
        <v>1892</v>
      </c>
      <c r="F408" s="4" t="str">
        <f>"191.94"</f>
        <v>191.94</v>
      </c>
      <c r="G408" s="4" t="str">
        <f>"225.20"</f>
        <v>225.20</v>
      </c>
    </row>
    <row r="409" spans="1:7" ht="15.75" customHeight="1" x14ac:dyDescent="0.15">
      <c r="A409" s="1">
        <v>405</v>
      </c>
      <c r="B409" s="1">
        <v>1208</v>
      </c>
      <c r="C409" s="1" t="s">
        <v>432</v>
      </c>
      <c r="D409" s="1" t="s">
        <v>51</v>
      </c>
      <c r="E409" s="5" t="s">
        <v>1892</v>
      </c>
      <c r="F409" s="4" t="str">
        <f>"191.99"</f>
        <v>191.99</v>
      </c>
      <c r="G409" s="4" t="str">
        <f>"210.49"</f>
        <v>210.49</v>
      </c>
    </row>
    <row r="410" spans="1:7" ht="15.75" customHeight="1" x14ac:dyDescent="0.15">
      <c r="A410" s="1">
        <v>406</v>
      </c>
      <c r="B410" s="1">
        <v>756</v>
      </c>
      <c r="C410" s="1" t="s">
        <v>568</v>
      </c>
      <c r="D410" s="1" t="s">
        <v>18</v>
      </c>
      <c r="E410" s="5" t="s">
        <v>1892</v>
      </c>
      <c r="F410" s="4" t="str">
        <f>"192.14"</f>
        <v>192.14</v>
      </c>
      <c r="G410" s="4" t="str">
        <f>"192.14"</f>
        <v>192.14</v>
      </c>
    </row>
    <row r="411" spans="1:7" ht="15.75" customHeight="1" x14ac:dyDescent="0.15">
      <c r="A411" s="1">
        <v>407</v>
      </c>
      <c r="B411" s="1">
        <v>2543</v>
      </c>
      <c r="C411" s="1" t="s">
        <v>524</v>
      </c>
      <c r="D411" s="1" t="s">
        <v>208</v>
      </c>
      <c r="E411" s="5" t="s">
        <v>1892</v>
      </c>
      <c r="F411" s="4" t="str">
        <f>"192.21"</f>
        <v>192.21</v>
      </c>
      <c r="G411" s="4" t="str">
        <f>"206.41"</f>
        <v>206.41</v>
      </c>
    </row>
    <row r="412" spans="1:7" ht="15.75" customHeight="1" x14ac:dyDescent="0.15">
      <c r="A412" s="1">
        <v>408</v>
      </c>
      <c r="B412" s="1">
        <v>10696</v>
      </c>
      <c r="C412" s="1" t="s">
        <v>570</v>
      </c>
      <c r="D412" s="1" t="s">
        <v>44</v>
      </c>
      <c r="E412" s="5" t="s">
        <v>1892</v>
      </c>
      <c r="F412" s="4" t="str">
        <f>"192.51"</f>
        <v>192.51</v>
      </c>
      <c r="G412" s="4" t="str">
        <f>"192.51"</f>
        <v>192.51</v>
      </c>
    </row>
    <row r="413" spans="1:7" ht="15.75" customHeight="1" x14ac:dyDescent="0.15">
      <c r="A413" s="1">
        <v>409</v>
      </c>
      <c r="B413" s="1">
        <v>2894</v>
      </c>
      <c r="C413" s="1" t="s">
        <v>565</v>
      </c>
      <c r="D413" s="1" t="s">
        <v>23</v>
      </c>
      <c r="E413" s="5" t="s">
        <v>1892</v>
      </c>
      <c r="F413" s="4" t="str">
        <f>"192.78"</f>
        <v>192.78</v>
      </c>
      <c r="G413" s="4" t="str">
        <f>"195.17"</f>
        <v>195.17</v>
      </c>
    </row>
    <row r="414" spans="1:7" ht="15.75" customHeight="1" x14ac:dyDescent="0.15">
      <c r="A414" s="1">
        <v>410</v>
      </c>
      <c r="B414" s="1">
        <v>9332</v>
      </c>
      <c r="C414" s="1" t="s">
        <v>657</v>
      </c>
      <c r="D414" s="1" t="s">
        <v>48</v>
      </c>
      <c r="E414" s="5" t="s">
        <v>1892</v>
      </c>
      <c r="F414" s="4" t="str">
        <f>"193.61"</f>
        <v>193.61</v>
      </c>
      <c r="G414" s="4" t="str">
        <f>"193.61"</f>
        <v>193.61</v>
      </c>
    </row>
    <row r="415" spans="1:7" ht="15.75" customHeight="1" x14ac:dyDescent="0.15">
      <c r="A415" s="1">
        <v>411</v>
      </c>
      <c r="B415" s="1">
        <v>4884</v>
      </c>
      <c r="C415" s="1" t="s">
        <v>572</v>
      </c>
      <c r="D415" s="1" t="s">
        <v>87</v>
      </c>
      <c r="E415" s="5" t="s">
        <v>1892</v>
      </c>
      <c r="F415" s="4" t="str">
        <f>"193.73"</f>
        <v>193.73</v>
      </c>
      <c r="G415" s="4" t="str">
        <f>"193.73"</f>
        <v>193.73</v>
      </c>
    </row>
    <row r="416" spans="1:7" ht="15.75" customHeight="1" x14ac:dyDescent="0.15">
      <c r="A416" s="1">
        <v>412</v>
      </c>
      <c r="B416" s="1">
        <v>3311</v>
      </c>
      <c r="C416" s="1" t="s">
        <v>476</v>
      </c>
      <c r="D416" s="1" t="s">
        <v>93</v>
      </c>
      <c r="E416" s="5" t="s">
        <v>1892</v>
      </c>
      <c r="F416" s="4" t="str">
        <f>"193.82"</f>
        <v>193.82</v>
      </c>
      <c r="G416" s="4" t="str">
        <f>"193.82"</f>
        <v>193.82</v>
      </c>
    </row>
    <row r="417" spans="1:7" ht="15.75" customHeight="1" x14ac:dyDescent="0.15">
      <c r="A417" s="1">
        <v>413</v>
      </c>
      <c r="B417" s="1">
        <v>127</v>
      </c>
      <c r="C417" s="1" t="s">
        <v>575</v>
      </c>
      <c r="D417" s="1" t="s">
        <v>342</v>
      </c>
      <c r="E417" s="5" t="s">
        <v>1892</v>
      </c>
      <c r="F417" s="4" t="str">
        <f>"193.91"</f>
        <v>193.91</v>
      </c>
      <c r="G417" s="4" t="str">
        <f>"193.91"</f>
        <v>193.91</v>
      </c>
    </row>
    <row r="418" spans="1:7" ht="15.75" customHeight="1" x14ac:dyDescent="0.15">
      <c r="A418" s="1">
        <v>414</v>
      </c>
      <c r="B418" s="1">
        <v>550</v>
      </c>
      <c r="C418" s="1" t="s">
        <v>543</v>
      </c>
      <c r="D418" s="1" t="s">
        <v>342</v>
      </c>
      <c r="E418" s="5" t="s">
        <v>1892</v>
      </c>
      <c r="F418" s="4" t="str">
        <f>"194.37"</f>
        <v>194.37</v>
      </c>
      <c r="G418" s="4" t="str">
        <f>"206.23"</f>
        <v>206.23</v>
      </c>
    </row>
    <row r="419" spans="1:7" ht="15.75" customHeight="1" x14ac:dyDescent="0.15">
      <c r="A419" s="1">
        <v>415</v>
      </c>
      <c r="B419" s="1">
        <v>3347</v>
      </c>
      <c r="C419" s="1" t="s">
        <v>576</v>
      </c>
      <c r="D419" s="1" t="s">
        <v>42</v>
      </c>
      <c r="E419" s="5" t="s">
        <v>1892</v>
      </c>
      <c r="F419" s="4" t="str">
        <f>"194.43"</f>
        <v>194.43</v>
      </c>
      <c r="G419" s="4" t="str">
        <f>"194.43"</f>
        <v>194.43</v>
      </c>
    </row>
    <row r="420" spans="1:7" ht="15.75" customHeight="1" x14ac:dyDescent="0.15">
      <c r="A420" s="1">
        <v>416</v>
      </c>
      <c r="B420" s="1">
        <v>9633</v>
      </c>
      <c r="C420" s="1" t="s">
        <v>965</v>
      </c>
      <c r="D420" s="1" t="s">
        <v>144</v>
      </c>
      <c r="E420" s="5" t="s">
        <v>1892</v>
      </c>
      <c r="F420" s="4" t="str">
        <f>"194.43"</f>
        <v>194.43</v>
      </c>
      <c r="G420" s="4" t="str">
        <f>"194.43"</f>
        <v>194.43</v>
      </c>
    </row>
    <row r="421" spans="1:7" ht="15.75" customHeight="1" x14ac:dyDescent="0.15">
      <c r="A421" s="1">
        <v>417</v>
      </c>
      <c r="B421" s="1">
        <v>350</v>
      </c>
      <c r="C421" s="1" t="s">
        <v>577</v>
      </c>
      <c r="D421" s="1" t="s">
        <v>80</v>
      </c>
      <c r="E421" s="5" t="s">
        <v>1892</v>
      </c>
      <c r="F421" s="4" t="str">
        <f>"194.54"</f>
        <v>194.54</v>
      </c>
      <c r="G421" s="4" t="str">
        <f>"194.54"</f>
        <v>194.54</v>
      </c>
    </row>
    <row r="422" spans="1:7" ht="15.75" customHeight="1" x14ac:dyDescent="0.15">
      <c r="A422" s="1">
        <v>418</v>
      </c>
      <c r="B422" s="1">
        <v>5144</v>
      </c>
      <c r="C422" s="1" t="s">
        <v>582</v>
      </c>
      <c r="D422" s="1" t="s">
        <v>21</v>
      </c>
      <c r="E422" s="5" t="s">
        <v>1892</v>
      </c>
      <c r="F422" s="4" t="str">
        <f>"195.38"</f>
        <v>195.38</v>
      </c>
      <c r="G422" s="4" t="str">
        <f>"195.38"</f>
        <v>195.38</v>
      </c>
    </row>
    <row r="423" spans="1:7" ht="15.75" customHeight="1" x14ac:dyDescent="0.15">
      <c r="A423" s="1">
        <v>419</v>
      </c>
      <c r="B423" s="1">
        <v>10579</v>
      </c>
      <c r="C423" s="1" t="s">
        <v>583</v>
      </c>
      <c r="D423" s="1" t="s">
        <v>5</v>
      </c>
      <c r="E423" s="5" t="s">
        <v>1892</v>
      </c>
      <c r="F423" s="4" t="str">
        <f>"195.48"</f>
        <v>195.48</v>
      </c>
      <c r="G423" s="4" t="str">
        <f>"195.48"</f>
        <v>195.48</v>
      </c>
    </row>
    <row r="424" spans="1:7" ht="15.75" customHeight="1" x14ac:dyDescent="0.15">
      <c r="A424" s="1">
        <v>420</v>
      </c>
      <c r="B424" s="1">
        <v>2037</v>
      </c>
      <c r="C424" s="1" t="s">
        <v>448</v>
      </c>
      <c r="D424" s="1" t="s">
        <v>388</v>
      </c>
      <c r="E424" s="5" t="s">
        <v>1892</v>
      </c>
      <c r="F424" s="4" t="str">
        <f>"195.69"</f>
        <v>195.69</v>
      </c>
      <c r="G424" s="4" t="str">
        <f>"199.70"</f>
        <v>199.70</v>
      </c>
    </row>
    <row r="425" spans="1:7" ht="15.75" customHeight="1" x14ac:dyDescent="0.15">
      <c r="A425" s="1">
        <v>421</v>
      </c>
      <c r="B425" s="1">
        <v>2335</v>
      </c>
      <c r="C425" s="1" t="s">
        <v>449</v>
      </c>
      <c r="D425" s="1" t="s">
        <v>31</v>
      </c>
      <c r="E425" s="5" t="s">
        <v>1892</v>
      </c>
      <c r="F425" s="4" t="str">
        <f>"195.84"</f>
        <v>195.84</v>
      </c>
      <c r="G425" s="4" t="str">
        <f>"205.87"</f>
        <v>205.87</v>
      </c>
    </row>
    <row r="426" spans="1:7" ht="15.75" customHeight="1" x14ac:dyDescent="0.15">
      <c r="A426" s="1">
        <v>422</v>
      </c>
      <c r="B426" s="1">
        <v>1047</v>
      </c>
      <c r="C426" s="1" t="s">
        <v>452</v>
      </c>
      <c r="D426" s="1" t="s">
        <v>29</v>
      </c>
      <c r="E426" s="5" t="s">
        <v>1892</v>
      </c>
      <c r="F426" s="4" t="str">
        <f>"196.44"</f>
        <v>196.44</v>
      </c>
      <c r="G426" s="4"/>
    </row>
    <row r="427" spans="1:7" ht="15.75" customHeight="1" x14ac:dyDescent="0.15">
      <c r="A427" s="1">
        <v>423</v>
      </c>
      <c r="B427" s="1">
        <v>5722</v>
      </c>
      <c r="C427" s="1" t="s">
        <v>589</v>
      </c>
      <c r="D427" s="1" t="s">
        <v>19</v>
      </c>
      <c r="E427" s="5" t="s">
        <v>1892</v>
      </c>
      <c r="F427" s="4" t="str">
        <f>"196.46"</f>
        <v>196.46</v>
      </c>
      <c r="G427" s="4" t="str">
        <f>"196.46"</f>
        <v>196.46</v>
      </c>
    </row>
    <row r="428" spans="1:7" ht="15.75" customHeight="1" x14ac:dyDescent="0.15">
      <c r="A428" s="1">
        <v>424</v>
      </c>
      <c r="B428" s="1">
        <v>4327</v>
      </c>
      <c r="C428" s="1" t="s">
        <v>537</v>
      </c>
      <c r="D428" s="1" t="s">
        <v>87</v>
      </c>
      <c r="E428" s="5" t="s">
        <v>1892</v>
      </c>
      <c r="F428" s="4" t="str">
        <f>"196.47"</f>
        <v>196.47</v>
      </c>
      <c r="G428" s="4" t="str">
        <f>"196.47"</f>
        <v>196.47</v>
      </c>
    </row>
    <row r="429" spans="1:7" ht="15.75" customHeight="1" x14ac:dyDescent="0.15">
      <c r="A429" s="1">
        <v>425</v>
      </c>
      <c r="B429" s="1">
        <v>10299</v>
      </c>
      <c r="C429" s="1" t="s">
        <v>590</v>
      </c>
      <c r="D429" s="1" t="s">
        <v>13</v>
      </c>
      <c r="E429" s="5" t="s">
        <v>1892</v>
      </c>
      <c r="F429" s="4" t="str">
        <f>"196.76"</f>
        <v>196.76</v>
      </c>
      <c r="G429" s="4" t="str">
        <f>"196.76"</f>
        <v>196.76</v>
      </c>
    </row>
    <row r="430" spans="1:7" ht="15.75" customHeight="1" x14ac:dyDescent="0.15">
      <c r="A430" s="1">
        <v>426</v>
      </c>
      <c r="B430" s="1">
        <v>10599</v>
      </c>
      <c r="C430" s="1" t="s">
        <v>591</v>
      </c>
      <c r="D430" s="1" t="s">
        <v>5</v>
      </c>
      <c r="E430" s="5" t="s">
        <v>1892</v>
      </c>
      <c r="F430" s="4" t="str">
        <f>"197.06"</f>
        <v>197.06</v>
      </c>
      <c r="G430" s="4" t="str">
        <f>"197.06"</f>
        <v>197.06</v>
      </c>
    </row>
    <row r="431" spans="1:7" ht="15.75" customHeight="1" x14ac:dyDescent="0.15">
      <c r="A431" s="1">
        <v>427</v>
      </c>
      <c r="B431" s="1">
        <v>10715</v>
      </c>
      <c r="C431" s="1" t="s">
        <v>593</v>
      </c>
      <c r="D431" s="1" t="s">
        <v>33</v>
      </c>
      <c r="E431" s="5" t="s">
        <v>1892</v>
      </c>
      <c r="F431" s="4" t="str">
        <f>"197.15"</f>
        <v>197.15</v>
      </c>
      <c r="G431" s="4" t="str">
        <f>"197.15"</f>
        <v>197.15</v>
      </c>
    </row>
    <row r="432" spans="1:7" ht="15.75" customHeight="1" x14ac:dyDescent="0.15">
      <c r="A432" s="1">
        <v>428</v>
      </c>
      <c r="B432" s="1">
        <v>1805</v>
      </c>
      <c r="C432" s="1" t="s">
        <v>597</v>
      </c>
      <c r="D432" s="1" t="s">
        <v>87</v>
      </c>
      <c r="E432" s="5" t="s">
        <v>1892</v>
      </c>
      <c r="F432" s="4" t="str">
        <f>"197.40"</f>
        <v>197.40</v>
      </c>
      <c r="G432" s="4" t="str">
        <f>"197.40"</f>
        <v>197.40</v>
      </c>
    </row>
    <row r="433" spans="1:7" ht="15.75" customHeight="1" x14ac:dyDescent="0.15">
      <c r="A433" s="1">
        <v>429</v>
      </c>
      <c r="B433" s="1">
        <v>6384</v>
      </c>
      <c r="C433" s="1" t="s">
        <v>552</v>
      </c>
      <c r="D433" s="1" t="s">
        <v>42</v>
      </c>
      <c r="E433" s="5" t="s">
        <v>1892</v>
      </c>
      <c r="F433" s="4" t="str">
        <f>"198.99"</f>
        <v>198.99</v>
      </c>
      <c r="G433" s="4" t="str">
        <f>"211.81"</f>
        <v>211.81</v>
      </c>
    </row>
    <row r="434" spans="1:7" ht="15.75" customHeight="1" x14ac:dyDescent="0.15">
      <c r="A434" s="1">
        <v>430</v>
      </c>
      <c r="B434" s="1">
        <v>7702</v>
      </c>
      <c r="C434" s="1" t="s">
        <v>601</v>
      </c>
      <c r="D434" s="1" t="s">
        <v>25</v>
      </c>
      <c r="E434" s="5" t="s">
        <v>1892</v>
      </c>
      <c r="F434" s="4" t="str">
        <f>"199.05"</f>
        <v>199.05</v>
      </c>
      <c r="G434" s="4" t="str">
        <f>"199.05"</f>
        <v>199.05</v>
      </c>
    </row>
    <row r="435" spans="1:7" ht="15.75" customHeight="1" x14ac:dyDescent="0.15">
      <c r="A435" s="1">
        <v>431</v>
      </c>
      <c r="B435" s="1">
        <v>10382</v>
      </c>
      <c r="C435" s="1" t="s">
        <v>602</v>
      </c>
      <c r="D435" s="1" t="s">
        <v>5</v>
      </c>
      <c r="E435" s="5" t="s">
        <v>1892</v>
      </c>
      <c r="F435" s="4" t="str">
        <f>"199.20"</f>
        <v>199.20</v>
      </c>
      <c r="G435" s="4" t="str">
        <f>"199.20"</f>
        <v>199.20</v>
      </c>
    </row>
    <row r="436" spans="1:7" ht="15.75" customHeight="1" x14ac:dyDescent="0.15">
      <c r="A436" s="1">
        <v>432</v>
      </c>
      <c r="B436" s="1">
        <v>6080</v>
      </c>
      <c r="C436" s="1" t="s">
        <v>459</v>
      </c>
      <c r="D436" s="1" t="s">
        <v>37</v>
      </c>
      <c r="E436" s="5" t="s">
        <v>1892</v>
      </c>
      <c r="F436" s="4" t="str">
        <f>"199.29"</f>
        <v>199.29</v>
      </c>
      <c r="G436" s="4" t="str">
        <f>"247.53"</f>
        <v>247.53</v>
      </c>
    </row>
    <row r="437" spans="1:7" ht="15.75" customHeight="1" x14ac:dyDescent="0.15">
      <c r="A437" s="1">
        <v>433</v>
      </c>
      <c r="B437" s="1">
        <v>4054</v>
      </c>
      <c r="C437" s="1" t="s">
        <v>511</v>
      </c>
      <c r="D437" s="1" t="s">
        <v>37</v>
      </c>
      <c r="E437" s="5" t="s">
        <v>1892</v>
      </c>
      <c r="F437" s="4" t="str">
        <f>"199.85"</f>
        <v>199.85</v>
      </c>
      <c r="G437" s="4" t="str">
        <f>"199.85"</f>
        <v>199.85</v>
      </c>
    </row>
    <row r="438" spans="1:7" ht="15.75" customHeight="1" x14ac:dyDescent="0.15">
      <c r="A438" s="1">
        <v>434</v>
      </c>
      <c r="B438" s="1">
        <v>7161</v>
      </c>
      <c r="C438" s="1" t="s">
        <v>460</v>
      </c>
      <c r="D438" s="1" t="s">
        <v>18</v>
      </c>
      <c r="E438" s="5" t="s">
        <v>1892</v>
      </c>
      <c r="F438" s="4" t="str">
        <f>"199.96"</f>
        <v>199.96</v>
      </c>
      <c r="G438" s="4" t="str">
        <f>"257.28"</f>
        <v>257.28</v>
      </c>
    </row>
    <row r="439" spans="1:7" ht="15.75" customHeight="1" x14ac:dyDescent="0.15">
      <c r="A439" s="1">
        <v>435</v>
      </c>
      <c r="B439" s="1">
        <v>10861</v>
      </c>
      <c r="C439" s="1" t="s">
        <v>464</v>
      </c>
      <c r="D439" s="1" t="s">
        <v>5</v>
      </c>
      <c r="E439" s="5" t="s">
        <v>1892</v>
      </c>
      <c r="F439" s="4" t="str">
        <f>"200.61"</f>
        <v>200.61</v>
      </c>
      <c r="G439" s="4" t="str">
        <f>"291.78"</f>
        <v>291.78</v>
      </c>
    </row>
    <row r="440" spans="1:7" ht="15.75" customHeight="1" x14ac:dyDescent="0.15">
      <c r="A440" s="1">
        <v>436</v>
      </c>
      <c r="B440" s="1">
        <v>2300</v>
      </c>
      <c r="C440" s="1" t="s">
        <v>786</v>
      </c>
      <c r="D440" s="1" t="s">
        <v>5</v>
      </c>
      <c r="E440" s="5" t="s">
        <v>1892</v>
      </c>
      <c r="F440" s="4" t="str">
        <f>"200.98"</f>
        <v>200.98</v>
      </c>
      <c r="G440" s="4" t="str">
        <f>"200.98"</f>
        <v>200.98</v>
      </c>
    </row>
    <row r="441" spans="1:7" ht="15.75" customHeight="1" x14ac:dyDescent="0.15">
      <c r="A441" s="1">
        <v>437</v>
      </c>
      <c r="B441" s="1">
        <v>5400</v>
      </c>
      <c r="C441" s="1" t="s">
        <v>487</v>
      </c>
      <c r="D441" s="1" t="s">
        <v>488</v>
      </c>
      <c r="E441" s="5" t="s">
        <v>1892</v>
      </c>
      <c r="F441" s="4" t="str">
        <f>"201.18"</f>
        <v>201.18</v>
      </c>
      <c r="G441" s="4" t="str">
        <f>"201.18"</f>
        <v>201.18</v>
      </c>
    </row>
    <row r="442" spans="1:7" ht="15.75" customHeight="1" x14ac:dyDescent="0.15">
      <c r="A442" s="1">
        <v>438</v>
      </c>
      <c r="B442" s="1">
        <v>8088</v>
      </c>
      <c r="C442" s="1" t="s">
        <v>465</v>
      </c>
      <c r="D442" s="1" t="s">
        <v>93</v>
      </c>
      <c r="E442" s="5" t="s">
        <v>1892</v>
      </c>
      <c r="F442" s="4" t="str">
        <f>"201.42"</f>
        <v>201.42</v>
      </c>
      <c r="G442" s="4" t="str">
        <f>"394.56"</f>
        <v>394.56</v>
      </c>
    </row>
    <row r="443" spans="1:7" ht="15.75" customHeight="1" x14ac:dyDescent="0.15">
      <c r="A443" s="1">
        <v>439</v>
      </c>
      <c r="B443" s="1">
        <v>10988</v>
      </c>
      <c r="C443" s="1" t="s">
        <v>608</v>
      </c>
      <c r="D443" s="1" t="s">
        <v>60</v>
      </c>
      <c r="E443" s="5" t="s">
        <v>1892</v>
      </c>
      <c r="F443" s="4" t="str">
        <f>"201.75"</f>
        <v>201.75</v>
      </c>
      <c r="G443" s="4" t="str">
        <f>"201.75"</f>
        <v>201.75</v>
      </c>
    </row>
    <row r="444" spans="1:7" ht="15.75" customHeight="1" x14ac:dyDescent="0.15">
      <c r="A444" s="1">
        <v>440</v>
      </c>
      <c r="B444" s="1">
        <v>361</v>
      </c>
      <c r="C444" s="1" t="s">
        <v>610</v>
      </c>
      <c r="D444" s="1" t="s">
        <v>87</v>
      </c>
      <c r="E444" s="5" t="s">
        <v>1892</v>
      </c>
      <c r="F444" s="4" t="str">
        <f>"202.22"</f>
        <v>202.22</v>
      </c>
      <c r="G444" s="4" t="str">
        <f>"202.22"</f>
        <v>202.22</v>
      </c>
    </row>
    <row r="445" spans="1:7" ht="15.75" customHeight="1" x14ac:dyDescent="0.15">
      <c r="A445" s="1">
        <v>441</v>
      </c>
      <c r="B445" s="1">
        <v>10739</v>
      </c>
      <c r="C445" s="1" t="s">
        <v>611</v>
      </c>
      <c r="D445" s="1" t="s">
        <v>19</v>
      </c>
      <c r="E445" s="5" t="s">
        <v>1892</v>
      </c>
      <c r="F445" s="4" t="str">
        <f>"202.95"</f>
        <v>202.95</v>
      </c>
      <c r="G445" s="4" t="str">
        <f>"202.95"</f>
        <v>202.95</v>
      </c>
    </row>
    <row r="446" spans="1:7" ht="15.75" customHeight="1" x14ac:dyDescent="0.15">
      <c r="A446" s="1">
        <v>442</v>
      </c>
      <c r="B446" s="1">
        <v>1487</v>
      </c>
      <c r="C446" s="1" t="s">
        <v>612</v>
      </c>
      <c r="D446" s="1" t="s">
        <v>613</v>
      </c>
      <c r="E446" s="5" t="s">
        <v>1892</v>
      </c>
      <c r="F446" s="4" t="str">
        <f>"203.04"</f>
        <v>203.04</v>
      </c>
      <c r="G446" s="4" t="str">
        <f>"203.04"</f>
        <v>203.04</v>
      </c>
    </row>
    <row r="447" spans="1:7" ht="15.75" customHeight="1" x14ac:dyDescent="0.15">
      <c r="A447" s="1">
        <v>443</v>
      </c>
      <c r="B447" s="1">
        <v>742</v>
      </c>
      <c r="C447" s="1" t="s">
        <v>471</v>
      </c>
      <c r="D447" s="1" t="s">
        <v>8</v>
      </c>
      <c r="E447" s="5" t="s">
        <v>1892</v>
      </c>
      <c r="F447" s="4" t="str">
        <f>"203.06"</f>
        <v>203.06</v>
      </c>
      <c r="G447" s="4" t="str">
        <f>"292.57"</f>
        <v>292.57</v>
      </c>
    </row>
    <row r="448" spans="1:7" ht="15.75" customHeight="1" x14ac:dyDescent="0.15">
      <c r="A448" s="1">
        <v>444</v>
      </c>
      <c r="B448" s="1">
        <v>823</v>
      </c>
      <c r="C448" s="1" t="s">
        <v>473</v>
      </c>
      <c r="D448" s="1" t="s">
        <v>26</v>
      </c>
      <c r="E448" s="5" t="s">
        <v>1892</v>
      </c>
      <c r="F448" s="4" t="str">
        <f>"203.22"</f>
        <v>203.22</v>
      </c>
      <c r="G448" s="4" t="str">
        <f>"213.19"</f>
        <v>213.19</v>
      </c>
    </row>
    <row r="449" spans="1:7" ht="15.75" customHeight="1" x14ac:dyDescent="0.15">
      <c r="A449" s="1">
        <v>445</v>
      </c>
      <c r="B449" s="1">
        <v>5381</v>
      </c>
      <c r="C449" s="1" t="s">
        <v>615</v>
      </c>
      <c r="D449" s="1" t="s">
        <v>79</v>
      </c>
      <c r="E449" s="5" t="s">
        <v>1892</v>
      </c>
      <c r="F449" s="4" t="str">
        <f>"203.63"</f>
        <v>203.63</v>
      </c>
      <c r="G449" s="4" t="str">
        <f>"203.63"</f>
        <v>203.63</v>
      </c>
    </row>
    <row r="450" spans="1:7" ht="15.75" customHeight="1" x14ac:dyDescent="0.15">
      <c r="A450" s="1">
        <v>446</v>
      </c>
      <c r="B450" s="1">
        <v>5335</v>
      </c>
      <c r="C450" s="1" t="s">
        <v>617</v>
      </c>
      <c r="D450" s="1" t="s">
        <v>90</v>
      </c>
      <c r="E450" s="5" t="s">
        <v>1892</v>
      </c>
      <c r="F450" s="4" t="str">
        <f>"203.68"</f>
        <v>203.68</v>
      </c>
      <c r="G450" s="4" t="str">
        <f>"203.68"</f>
        <v>203.68</v>
      </c>
    </row>
    <row r="451" spans="1:7" ht="15.75" customHeight="1" x14ac:dyDescent="0.15">
      <c r="A451" s="1">
        <v>447</v>
      </c>
      <c r="B451" s="1">
        <v>2769</v>
      </c>
      <c r="C451" s="1" t="s">
        <v>506</v>
      </c>
      <c r="D451" s="1" t="s">
        <v>94</v>
      </c>
      <c r="E451" s="5" t="s">
        <v>1892</v>
      </c>
      <c r="F451" s="4" t="str">
        <f>"203.77"</f>
        <v>203.77</v>
      </c>
      <c r="G451" s="4" t="str">
        <f>"208.77"</f>
        <v>208.77</v>
      </c>
    </row>
    <row r="452" spans="1:7" ht="15.75" customHeight="1" x14ac:dyDescent="0.15">
      <c r="A452" s="1">
        <v>448</v>
      </c>
      <c r="B452" s="1">
        <v>1876</v>
      </c>
      <c r="C452" s="1" t="s">
        <v>620</v>
      </c>
      <c r="D452" s="1" t="s">
        <v>8</v>
      </c>
      <c r="E452" s="5" t="s">
        <v>1892</v>
      </c>
      <c r="F452" s="4" t="str">
        <f>"204.14"</f>
        <v>204.14</v>
      </c>
      <c r="G452" s="4" t="str">
        <f>"204.14"</f>
        <v>204.14</v>
      </c>
    </row>
    <row r="453" spans="1:7" ht="15.75" customHeight="1" x14ac:dyDescent="0.15">
      <c r="A453" s="1">
        <v>449</v>
      </c>
      <c r="B453" s="1">
        <v>4055</v>
      </c>
      <c r="C453" s="1" t="s">
        <v>586</v>
      </c>
      <c r="D453" s="1" t="s">
        <v>587</v>
      </c>
      <c r="E453" s="5" t="s">
        <v>1892</v>
      </c>
      <c r="F453" s="4" t="str">
        <f>"204.58"</f>
        <v>204.58</v>
      </c>
      <c r="G453" s="4" t="str">
        <f>"204.58"</f>
        <v>204.58</v>
      </c>
    </row>
    <row r="454" spans="1:7" ht="15.75" customHeight="1" x14ac:dyDescent="0.15">
      <c r="A454" s="1">
        <v>450</v>
      </c>
      <c r="B454" s="1">
        <v>3023</v>
      </c>
      <c r="C454" s="1" t="s">
        <v>606</v>
      </c>
      <c r="D454" s="1" t="s">
        <v>31</v>
      </c>
      <c r="E454" s="5" t="s">
        <v>1892</v>
      </c>
      <c r="F454" s="4" t="str">
        <f>"204.95"</f>
        <v>204.95</v>
      </c>
      <c r="G454" s="4" t="str">
        <f>"209.25"</f>
        <v>209.25</v>
      </c>
    </row>
    <row r="455" spans="1:7" ht="15.75" customHeight="1" x14ac:dyDescent="0.15">
      <c r="A455" s="1">
        <v>451</v>
      </c>
      <c r="B455" s="1">
        <v>10005</v>
      </c>
      <c r="C455" s="1" t="s">
        <v>625</v>
      </c>
      <c r="D455" s="1" t="s">
        <v>57</v>
      </c>
      <c r="E455" s="5" t="s">
        <v>1892</v>
      </c>
      <c r="F455" s="4" t="str">
        <f>"206.17"</f>
        <v>206.17</v>
      </c>
      <c r="G455" s="4" t="str">
        <f>"206.17"</f>
        <v>206.17</v>
      </c>
    </row>
    <row r="456" spans="1:7" ht="15.75" customHeight="1" x14ac:dyDescent="0.15">
      <c r="A456" s="1">
        <v>452</v>
      </c>
      <c r="B456" s="1">
        <v>3910</v>
      </c>
      <c r="C456" s="1" t="s">
        <v>553</v>
      </c>
      <c r="D456" s="1" t="s">
        <v>500</v>
      </c>
      <c r="E456" s="5" t="s">
        <v>1892</v>
      </c>
      <c r="F456" s="4" t="str">
        <f>"206.36"</f>
        <v>206.36</v>
      </c>
      <c r="G456" s="4" t="str">
        <f>"206.36"</f>
        <v>206.36</v>
      </c>
    </row>
    <row r="457" spans="1:7" ht="15.75" customHeight="1" x14ac:dyDescent="0.15">
      <c r="A457" s="1">
        <v>453</v>
      </c>
      <c r="B457" s="1">
        <v>10205</v>
      </c>
      <c r="C457" s="1" t="s">
        <v>478</v>
      </c>
      <c r="D457" s="1" t="s">
        <v>5</v>
      </c>
      <c r="E457" s="5" t="s">
        <v>1892</v>
      </c>
      <c r="F457" s="4" t="str">
        <f>"206.39"</f>
        <v>206.39</v>
      </c>
      <c r="G457" s="4" t="str">
        <f>"241.47"</f>
        <v>241.47</v>
      </c>
    </row>
    <row r="458" spans="1:7" ht="15.75" customHeight="1" x14ac:dyDescent="0.15">
      <c r="A458" s="1">
        <v>454</v>
      </c>
      <c r="B458" s="1">
        <v>1413</v>
      </c>
      <c r="C458" s="1" t="s">
        <v>626</v>
      </c>
      <c r="D458" s="1" t="s">
        <v>8</v>
      </c>
      <c r="E458" s="5" t="s">
        <v>1892</v>
      </c>
      <c r="F458" s="4" t="str">
        <f>"207.08"</f>
        <v>207.08</v>
      </c>
      <c r="G458" s="4" t="str">
        <f>"207.08"</f>
        <v>207.08</v>
      </c>
    </row>
    <row r="459" spans="1:7" ht="15.75" customHeight="1" x14ac:dyDescent="0.15">
      <c r="A459" s="1">
        <v>455</v>
      </c>
      <c r="B459" s="1">
        <v>1664</v>
      </c>
      <c r="C459" s="1" t="s">
        <v>627</v>
      </c>
      <c r="D459" s="1" t="s">
        <v>37</v>
      </c>
      <c r="E459" s="5" t="s">
        <v>1892</v>
      </c>
      <c r="F459" s="4" t="str">
        <f>"207.26"</f>
        <v>207.26</v>
      </c>
      <c r="G459" s="4" t="str">
        <f>"207.26"</f>
        <v>207.26</v>
      </c>
    </row>
    <row r="460" spans="1:7" ht="15.75" customHeight="1" x14ac:dyDescent="0.15">
      <c r="A460" s="1">
        <v>456</v>
      </c>
      <c r="B460" s="1">
        <v>3314</v>
      </c>
      <c r="C460" s="1" t="s">
        <v>489</v>
      </c>
      <c r="D460" s="1" t="s">
        <v>29</v>
      </c>
      <c r="E460" s="5" t="s">
        <v>1892</v>
      </c>
      <c r="F460" s="4" t="str">
        <f>"208.18"</f>
        <v>208.18</v>
      </c>
      <c r="G460" s="4" t="str">
        <f>"247.50"</f>
        <v>247.50</v>
      </c>
    </row>
    <row r="461" spans="1:7" ht="15.75" customHeight="1" x14ac:dyDescent="0.15">
      <c r="A461" s="1">
        <v>457</v>
      </c>
      <c r="B461" s="1">
        <v>8504</v>
      </c>
      <c r="C461" s="1" t="s">
        <v>628</v>
      </c>
      <c r="D461" s="1" t="s">
        <v>5</v>
      </c>
      <c r="E461" s="5" t="s">
        <v>1892</v>
      </c>
      <c r="F461" s="4" t="str">
        <f>"208.32"</f>
        <v>208.32</v>
      </c>
      <c r="G461" s="4" t="str">
        <f>"208.32"</f>
        <v>208.32</v>
      </c>
    </row>
    <row r="462" spans="1:7" ht="15.75" customHeight="1" x14ac:dyDescent="0.15">
      <c r="A462" s="1">
        <v>458</v>
      </c>
      <c r="B462" s="1">
        <v>4885</v>
      </c>
      <c r="C462" s="1" t="s">
        <v>630</v>
      </c>
      <c r="D462" s="1" t="s">
        <v>6</v>
      </c>
      <c r="E462" s="5" t="s">
        <v>1892</v>
      </c>
      <c r="F462" s="4" t="str">
        <f>"208.41"</f>
        <v>208.41</v>
      </c>
      <c r="G462" s="4" t="str">
        <f>"208.41"</f>
        <v>208.41</v>
      </c>
    </row>
    <row r="463" spans="1:7" ht="15.75" customHeight="1" x14ac:dyDescent="0.15">
      <c r="A463" s="1">
        <v>459</v>
      </c>
      <c r="B463" s="1">
        <v>341</v>
      </c>
      <c r="C463" s="1" t="s">
        <v>632</v>
      </c>
      <c r="D463" s="1" t="s">
        <v>36</v>
      </c>
      <c r="E463" s="5" t="s">
        <v>1892</v>
      </c>
      <c r="F463" s="4" t="str">
        <f>"209.18"</f>
        <v>209.18</v>
      </c>
      <c r="G463" s="4" t="str">
        <f>"209.18"</f>
        <v>209.18</v>
      </c>
    </row>
    <row r="464" spans="1:7" ht="15.75" customHeight="1" x14ac:dyDescent="0.15">
      <c r="A464" s="1">
        <v>460</v>
      </c>
      <c r="B464" s="1">
        <v>6129</v>
      </c>
      <c r="C464" s="1" t="s">
        <v>633</v>
      </c>
      <c r="D464" s="1" t="s">
        <v>69</v>
      </c>
      <c r="E464" s="5" t="s">
        <v>1892</v>
      </c>
      <c r="F464" s="4" t="str">
        <f>"209.33"</f>
        <v>209.33</v>
      </c>
      <c r="G464" s="4" t="str">
        <f>"209.33"</f>
        <v>209.33</v>
      </c>
    </row>
    <row r="465" spans="1:7" ht="15.75" customHeight="1" x14ac:dyDescent="0.15">
      <c r="A465" s="1">
        <v>461</v>
      </c>
      <c r="B465" s="1">
        <v>4611</v>
      </c>
      <c r="C465" s="1" t="s">
        <v>492</v>
      </c>
      <c r="D465" s="1" t="s">
        <v>27</v>
      </c>
      <c r="E465" s="5" t="s">
        <v>1892</v>
      </c>
      <c r="F465" s="4" t="str">
        <f>"209.85"</f>
        <v>209.85</v>
      </c>
      <c r="G465" s="4"/>
    </row>
    <row r="466" spans="1:7" ht="15.75" customHeight="1" x14ac:dyDescent="0.15">
      <c r="A466" s="1">
        <v>462</v>
      </c>
      <c r="B466" s="1">
        <v>3195</v>
      </c>
      <c r="C466" s="1" t="s">
        <v>514</v>
      </c>
      <c r="D466" s="1" t="s">
        <v>285</v>
      </c>
      <c r="E466" s="5" t="s">
        <v>1892</v>
      </c>
      <c r="F466" s="4" t="str">
        <f>"209.90"</f>
        <v>209.90</v>
      </c>
      <c r="G466" s="4" t="str">
        <f>"209.90"</f>
        <v>209.90</v>
      </c>
    </row>
    <row r="467" spans="1:7" ht="15.75" customHeight="1" x14ac:dyDescent="0.15">
      <c r="A467" s="1">
        <v>463</v>
      </c>
      <c r="B467" s="1">
        <v>1970</v>
      </c>
      <c r="C467" s="1" t="s">
        <v>634</v>
      </c>
      <c r="D467" s="1" t="s">
        <v>482</v>
      </c>
      <c r="E467" s="5" t="s">
        <v>1892</v>
      </c>
      <c r="F467" s="4" t="str">
        <f>"209.93"</f>
        <v>209.93</v>
      </c>
      <c r="G467" s="4" t="str">
        <f>"209.93"</f>
        <v>209.93</v>
      </c>
    </row>
    <row r="468" spans="1:7" ht="15.75" customHeight="1" x14ac:dyDescent="0.15">
      <c r="A468" s="1">
        <v>464</v>
      </c>
      <c r="B468" s="1">
        <v>2897</v>
      </c>
      <c r="C468" s="1" t="s">
        <v>635</v>
      </c>
      <c r="D468" s="1" t="s">
        <v>23</v>
      </c>
      <c r="E468" s="5" t="s">
        <v>1892</v>
      </c>
      <c r="F468" s="4" t="str">
        <f>"210.01"</f>
        <v>210.01</v>
      </c>
      <c r="G468" s="4" t="str">
        <f>"210.01"</f>
        <v>210.01</v>
      </c>
    </row>
    <row r="469" spans="1:7" ht="15.75" customHeight="1" x14ac:dyDescent="0.15">
      <c r="A469" s="1">
        <v>465</v>
      </c>
      <c r="B469" s="1">
        <v>4219</v>
      </c>
      <c r="C469" s="1" t="s">
        <v>636</v>
      </c>
      <c r="D469" s="1" t="s">
        <v>33</v>
      </c>
      <c r="E469" s="5" t="s">
        <v>1892</v>
      </c>
      <c r="F469" s="4" t="str">
        <f>"210.26"</f>
        <v>210.26</v>
      </c>
      <c r="G469" s="4" t="str">
        <f>"210.26"</f>
        <v>210.26</v>
      </c>
    </row>
    <row r="470" spans="1:7" ht="15.75" customHeight="1" x14ac:dyDescent="0.15">
      <c r="A470" s="1">
        <v>466</v>
      </c>
      <c r="B470" s="1">
        <v>9648</v>
      </c>
      <c r="C470" s="1" t="s">
        <v>638</v>
      </c>
      <c r="D470" s="1" t="s">
        <v>69</v>
      </c>
      <c r="E470" s="5" t="s">
        <v>1892</v>
      </c>
      <c r="F470" s="4" t="str">
        <f>"210.30"</f>
        <v>210.30</v>
      </c>
      <c r="G470" s="4" t="str">
        <f>"210.30"</f>
        <v>210.30</v>
      </c>
    </row>
    <row r="471" spans="1:7" ht="15.75" customHeight="1" x14ac:dyDescent="0.15">
      <c r="A471" s="1">
        <v>467</v>
      </c>
      <c r="B471" s="1">
        <v>2116</v>
      </c>
      <c r="C471" s="1" t="s">
        <v>496</v>
      </c>
      <c r="D471" s="1" t="s">
        <v>23</v>
      </c>
      <c r="E471" s="5" t="s">
        <v>1892</v>
      </c>
      <c r="F471" s="4" t="str">
        <f>"210.48"</f>
        <v>210.48</v>
      </c>
      <c r="G471" s="4" t="str">
        <f>"232.22"</f>
        <v>232.22</v>
      </c>
    </row>
    <row r="472" spans="1:7" ht="15.75" customHeight="1" x14ac:dyDescent="0.15">
      <c r="A472" s="1">
        <v>468</v>
      </c>
      <c r="B472" s="1">
        <v>1243</v>
      </c>
      <c r="C472" s="1" t="s">
        <v>753</v>
      </c>
      <c r="D472" s="1" t="s">
        <v>500</v>
      </c>
      <c r="E472" s="5" t="s">
        <v>1892</v>
      </c>
      <c r="F472" s="4" t="str">
        <f>"210.77"</f>
        <v>210.77</v>
      </c>
      <c r="G472" s="4" t="str">
        <f>"210.77"</f>
        <v>210.77</v>
      </c>
    </row>
    <row r="473" spans="1:7" ht="15.75" customHeight="1" x14ac:dyDescent="0.15">
      <c r="A473" s="1">
        <v>469</v>
      </c>
      <c r="B473" s="1">
        <v>3384</v>
      </c>
      <c r="C473" s="1" t="s">
        <v>599</v>
      </c>
      <c r="D473" s="1" t="s">
        <v>41</v>
      </c>
      <c r="E473" s="5" t="s">
        <v>1892</v>
      </c>
      <c r="F473" s="4" t="str">
        <f>"210.88"</f>
        <v>210.88</v>
      </c>
      <c r="G473" s="4" t="str">
        <f>"210.88"</f>
        <v>210.88</v>
      </c>
    </row>
    <row r="474" spans="1:7" ht="15.75" customHeight="1" x14ac:dyDescent="0.15">
      <c r="A474" s="1">
        <v>470</v>
      </c>
      <c r="B474" s="1">
        <v>8352</v>
      </c>
      <c r="C474" s="1" t="s">
        <v>641</v>
      </c>
      <c r="D474" s="1" t="s">
        <v>6</v>
      </c>
      <c r="E474" s="5" t="s">
        <v>1892</v>
      </c>
      <c r="F474" s="4" t="str">
        <f>"210.92"</f>
        <v>210.92</v>
      </c>
      <c r="G474" s="4" t="str">
        <f>"210.92"</f>
        <v>210.92</v>
      </c>
    </row>
    <row r="475" spans="1:7" ht="15.75" customHeight="1" x14ac:dyDescent="0.15">
      <c r="A475" s="1">
        <v>471</v>
      </c>
      <c r="B475" s="1">
        <v>10314</v>
      </c>
      <c r="C475" s="1" t="s">
        <v>642</v>
      </c>
      <c r="D475" s="1" t="s">
        <v>13</v>
      </c>
      <c r="E475" s="5" t="s">
        <v>1892</v>
      </c>
      <c r="F475" s="4" t="str">
        <f>"210.95"</f>
        <v>210.95</v>
      </c>
      <c r="G475" s="4" t="str">
        <f>"210.95"</f>
        <v>210.95</v>
      </c>
    </row>
    <row r="476" spans="1:7" ht="15.75" customHeight="1" x14ac:dyDescent="0.15">
      <c r="A476" s="1">
        <v>472</v>
      </c>
      <c r="B476" s="1">
        <v>5359</v>
      </c>
      <c r="C476" s="1" t="s">
        <v>645</v>
      </c>
      <c r="D476" s="1" t="s">
        <v>6</v>
      </c>
      <c r="E476" s="5" t="s">
        <v>1892</v>
      </c>
      <c r="F476" s="4" t="str">
        <f>"212.03"</f>
        <v>212.03</v>
      </c>
      <c r="G476" s="4" t="str">
        <f>"212.03"</f>
        <v>212.03</v>
      </c>
    </row>
    <row r="477" spans="1:7" ht="15.75" customHeight="1" x14ac:dyDescent="0.15">
      <c r="A477" s="1">
        <v>473</v>
      </c>
      <c r="B477" s="1">
        <v>10096</v>
      </c>
      <c r="C477" s="1" t="s">
        <v>501</v>
      </c>
      <c r="D477" s="1" t="s">
        <v>33</v>
      </c>
      <c r="E477" s="5" t="s">
        <v>1892</v>
      </c>
      <c r="F477" s="4" t="str">
        <f>"212.52"</f>
        <v>212.52</v>
      </c>
      <c r="G477" s="4" t="str">
        <f>"240.74"</f>
        <v>240.74</v>
      </c>
    </row>
    <row r="478" spans="1:7" ht="15.75" customHeight="1" x14ac:dyDescent="0.15">
      <c r="A478" s="1">
        <v>474</v>
      </c>
      <c r="B478" s="1">
        <v>10483</v>
      </c>
      <c r="C478" s="1" t="s">
        <v>646</v>
      </c>
      <c r="D478" s="1" t="s">
        <v>19</v>
      </c>
      <c r="E478" s="5" t="s">
        <v>1892</v>
      </c>
      <c r="F478" s="4" t="str">
        <f>"212.78"</f>
        <v>212.78</v>
      </c>
      <c r="G478" s="4" t="str">
        <f>"212.78"</f>
        <v>212.78</v>
      </c>
    </row>
    <row r="479" spans="1:7" ht="15.75" customHeight="1" x14ac:dyDescent="0.15">
      <c r="A479" s="1">
        <v>475</v>
      </c>
      <c r="B479" s="1">
        <v>10627</v>
      </c>
      <c r="C479" s="1" t="s">
        <v>722</v>
      </c>
      <c r="D479" s="1" t="s">
        <v>5</v>
      </c>
      <c r="E479" s="5" t="s">
        <v>1892</v>
      </c>
      <c r="F479" s="4" t="str">
        <f>"212.81"</f>
        <v>212.81</v>
      </c>
      <c r="G479" s="4" t="str">
        <f>"212.81"</f>
        <v>212.81</v>
      </c>
    </row>
    <row r="480" spans="1:7" ht="15.75" customHeight="1" x14ac:dyDescent="0.15">
      <c r="A480" s="1">
        <v>476</v>
      </c>
      <c r="B480" s="1">
        <v>6392</v>
      </c>
      <c r="C480" s="1" t="s">
        <v>870</v>
      </c>
      <c r="D480" s="1" t="s">
        <v>14</v>
      </c>
      <c r="E480" s="5" t="s">
        <v>1892</v>
      </c>
      <c r="F480" s="4" t="str">
        <f>"212.84"</f>
        <v>212.84</v>
      </c>
      <c r="G480" s="4" t="str">
        <f>"212.84"</f>
        <v>212.84</v>
      </c>
    </row>
    <row r="481" spans="1:7" ht="15.75" customHeight="1" x14ac:dyDescent="0.15">
      <c r="A481" s="1">
        <v>477</v>
      </c>
      <c r="B481" s="1">
        <v>2239</v>
      </c>
      <c r="C481" s="1" t="s">
        <v>504</v>
      </c>
      <c r="D481" s="1" t="s">
        <v>5</v>
      </c>
      <c r="E481" s="5" t="s">
        <v>1892</v>
      </c>
      <c r="F481" s="4" t="str">
        <f>"213.01"</f>
        <v>213.01</v>
      </c>
      <c r="G481" s="4" t="str">
        <f>"243.31"</f>
        <v>243.31</v>
      </c>
    </row>
    <row r="482" spans="1:7" ht="15.75" customHeight="1" x14ac:dyDescent="0.15">
      <c r="A482" s="1">
        <v>478</v>
      </c>
      <c r="B482" s="1">
        <v>7594</v>
      </c>
      <c r="C482" s="1" t="s">
        <v>571</v>
      </c>
      <c r="D482" s="1" t="s">
        <v>23</v>
      </c>
      <c r="E482" s="5" t="s">
        <v>1892</v>
      </c>
      <c r="F482" s="4" t="str">
        <f>"213.17"</f>
        <v>213.17</v>
      </c>
      <c r="G482" s="4" t="str">
        <f>"216.45"</f>
        <v>216.45</v>
      </c>
    </row>
    <row r="483" spans="1:7" ht="15.75" customHeight="1" x14ac:dyDescent="0.15">
      <c r="A483" s="1">
        <v>479</v>
      </c>
      <c r="B483" s="1">
        <v>2540</v>
      </c>
      <c r="C483" s="1" t="s">
        <v>647</v>
      </c>
      <c r="D483" s="1" t="s">
        <v>18</v>
      </c>
      <c r="E483" s="5" t="s">
        <v>1892</v>
      </c>
      <c r="F483" s="4" t="str">
        <f>"213.37"</f>
        <v>213.37</v>
      </c>
      <c r="G483" s="4" t="str">
        <f>"213.37"</f>
        <v>213.37</v>
      </c>
    </row>
    <row r="484" spans="1:7" ht="15.75" customHeight="1" x14ac:dyDescent="0.15">
      <c r="A484" s="1">
        <v>480</v>
      </c>
      <c r="B484" s="1">
        <v>4546</v>
      </c>
      <c r="C484" s="1" t="s">
        <v>607</v>
      </c>
      <c r="D484" s="1" t="s">
        <v>17</v>
      </c>
      <c r="E484" s="5" t="s">
        <v>1892</v>
      </c>
      <c r="F484" s="4" t="str">
        <f>"213.70"</f>
        <v>213.70</v>
      </c>
      <c r="G484" s="4" t="str">
        <f>"226.27"</f>
        <v>226.27</v>
      </c>
    </row>
    <row r="485" spans="1:7" ht="15.75" customHeight="1" x14ac:dyDescent="0.15">
      <c r="A485" s="1">
        <v>481</v>
      </c>
      <c r="B485" s="1">
        <v>10538</v>
      </c>
      <c r="C485" s="1" t="s">
        <v>648</v>
      </c>
      <c r="D485" s="1" t="s">
        <v>5</v>
      </c>
      <c r="E485" s="5" t="s">
        <v>1892</v>
      </c>
      <c r="F485" s="4" t="str">
        <f>"213.74"</f>
        <v>213.74</v>
      </c>
      <c r="G485" s="4" t="str">
        <f>"213.74"</f>
        <v>213.74</v>
      </c>
    </row>
    <row r="486" spans="1:7" ht="15.75" customHeight="1" x14ac:dyDescent="0.15">
      <c r="A486" s="1">
        <v>482</v>
      </c>
      <c r="B486" s="1">
        <v>2400</v>
      </c>
      <c r="C486" s="1" t="s">
        <v>507</v>
      </c>
      <c r="D486" s="1" t="s">
        <v>6</v>
      </c>
      <c r="E486" s="5" t="s">
        <v>1892</v>
      </c>
      <c r="F486" s="4" t="str">
        <f>"214.39"</f>
        <v>214.39</v>
      </c>
      <c r="G486" s="4"/>
    </row>
    <row r="487" spans="1:7" ht="15.75" customHeight="1" x14ac:dyDescent="0.15">
      <c r="A487" s="1">
        <v>483</v>
      </c>
      <c r="B487" s="1">
        <v>3219</v>
      </c>
      <c r="C487" s="1" t="s">
        <v>652</v>
      </c>
      <c r="D487" s="1" t="s">
        <v>653</v>
      </c>
      <c r="E487" s="5" t="s">
        <v>1892</v>
      </c>
      <c r="F487" s="4" t="str">
        <f>"214.74"</f>
        <v>214.74</v>
      </c>
      <c r="G487" s="4" t="str">
        <f>"214.74"</f>
        <v>214.74</v>
      </c>
    </row>
    <row r="488" spans="1:7" ht="15.75" customHeight="1" x14ac:dyDescent="0.15">
      <c r="A488" s="1">
        <v>484</v>
      </c>
      <c r="B488" s="1">
        <v>10273</v>
      </c>
      <c r="C488" s="1" t="s">
        <v>654</v>
      </c>
      <c r="D488" s="1" t="s">
        <v>19</v>
      </c>
      <c r="E488" s="5" t="s">
        <v>1892</v>
      </c>
      <c r="F488" s="4" t="str">
        <f>"214.88"</f>
        <v>214.88</v>
      </c>
      <c r="G488" s="4" t="str">
        <f>"214.88"</f>
        <v>214.88</v>
      </c>
    </row>
    <row r="489" spans="1:7" ht="15.75" customHeight="1" x14ac:dyDescent="0.15">
      <c r="A489" s="1">
        <v>485</v>
      </c>
      <c r="B489" s="1">
        <v>820</v>
      </c>
      <c r="C489" s="1" t="s">
        <v>533</v>
      </c>
      <c r="D489" s="1" t="s">
        <v>534</v>
      </c>
      <c r="E489" s="5" t="s">
        <v>1892</v>
      </c>
      <c r="F489" s="4" t="str">
        <f>"215.30"</f>
        <v>215.30</v>
      </c>
      <c r="G489" s="4" t="str">
        <f>"224.54"</f>
        <v>224.54</v>
      </c>
    </row>
    <row r="490" spans="1:7" ht="15.75" customHeight="1" x14ac:dyDescent="0.15">
      <c r="A490" s="1">
        <v>486</v>
      </c>
      <c r="B490" s="1">
        <v>2214</v>
      </c>
      <c r="C490" s="1" t="s">
        <v>656</v>
      </c>
      <c r="D490" s="1" t="s">
        <v>74</v>
      </c>
      <c r="E490" s="5" t="s">
        <v>1892</v>
      </c>
      <c r="F490" s="4" t="str">
        <f>"215.66"</f>
        <v>215.66</v>
      </c>
      <c r="G490" s="4" t="str">
        <f>"215.66"</f>
        <v>215.66</v>
      </c>
    </row>
    <row r="491" spans="1:7" ht="15.75" customHeight="1" x14ac:dyDescent="0.15">
      <c r="A491" s="1">
        <v>487</v>
      </c>
      <c r="B491" s="1">
        <v>1343</v>
      </c>
      <c r="C491" s="1" t="s">
        <v>603</v>
      </c>
      <c r="D491" s="1" t="s">
        <v>33</v>
      </c>
      <c r="E491" s="5" t="s">
        <v>1892</v>
      </c>
      <c r="F491" s="4" t="str">
        <f>"216.03"</f>
        <v>216.03</v>
      </c>
      <c r="G491" s="4" t="str">
        <f>"232.71"</f>
        <v>232.71</v>
      </c>
    </row>
    <row r="492" spans="1:7" ht="15.75" customHeight="1" x14ac:dyDescent="0.15">
      <c r="A492" s="1">
        <v>488</v>
      </c>
      <c r="B492" s="1">
        <v>2192</v>
      </c>
      <c r="C492" s="1" t="s">
        <v>516</v>
      </c>
      <c r="D492" s="1" t="s">
        <v>5</v>
      </c>
      <c r="E492" s="5" t="s">
        <v>1892</v>
      </c>
      <c r="F492" s="4" t="str">
        <f>"216.07"</f>
        <v>216.07</v>
      </c>
      <c r="G492" s="4" t="str">
        <f>"254.02"</f>
        <v>254.02</v>
      </c>
    </row>
    <row r="493" spans="1:7" ht="15.75" customHeight="1" x14ac:dyDescent="0.15">
      <c r="A493" s="1">
        <v>489</v>
      </c>
      <c r="B493" s="1">
        <v>1434</v>
      </c>
      <c r="C493" s="1" t="s">
        <v>658</v>
      </c>
      <c r="D493" s="1" t="s">
        <v>69</v>
      </c>
      <c r="E493" s="5" t="s">
        <v>1892</v>
      </c>
      <c r="F493" s="4" t="str">
        <f>"216.29"</f>
        <v>216.29</v>
      </c>
      <c r="G493" s="4" t="str">
        <f>"216.29"</f>
        <v>216.29</v>
      </c>
    </row>
    <row r="494" spans="1:7" ht="15.75" customHeight="1" x14ac:dyDescent="0.15">
      <c r="A494" s="1">
        <v>490</v>
      </c>
      <c r="B494" s="1">
        <v>2320</v>
      </c>
      <c r="C494" s="1" t="s">
        <v>660</v>
      </c>
      <c r="D494" s="1" t="s">
        <v>5</v>
      </c>
      <c r="E494" s="5" t="s">
        <v>1892</v>
      </c>
      <c r="F494" s="4" t="str">
        <f>"216.76"</f>
        <v>216.76</v>
      </c>
      <c r="G494" s="4" t="str">
        <f>"216.76"</f>
        <v>216.76</v>
      </c>
    </row>
    <row r="495" spans="1:7" ht="15.75" customHeight="1" x14ac:dyDescent="0.15">
      <c r="A495" s="1">
        <v>491</v>
      </c>
      <c r="B495" s="1">
        <v>2292</v>
      </c>
      <c r="C495" s="1" t="s">
        <v>661</v>
      </c>
      <c r="D495" s="1" t="s">
        <v>5</v>
      </c>
      <c r="E495" s="5" t="s">
        <v>1892</v>
      </c>
      <c r="F495" s="4" t="str">
        <f>"216.77"</f>
        <v>216.77</v>
      </c>
      <c r="G495" s="4" t="str">
        <f>"216.77"</f>
        <v>216.77</v>
      </c>
    </row>
    <row r="496" spans="1:7" ht="15.75" customHeight="1" x14ac:dyDescent="0.15">
      <c r="A496" s="1">
        <v>492</v>
      </c>
      <c r="B496" s="1">
        <v>3552</v>
      </c>
      <c r="C496" s="1" t="s">
        <v>521</v>
      </c>
      <c r="D496" s="1" t="s">
        <v>500</v>
      </c>
      <c r="E496" s="5" t="s">
        <v>1892</v>
      </c>
      <c r="F496" s="4" t="str">
        <f>"216.95"</f>
        <v>216.95</v>
      </c>
      <c r="G496" s="4" t="str">
        <f>"269.92"</f>
        <v>269.92</v>
      </c>
    </row>
    <row r="497" spans="1:7" ht="15.75" customHeight="1" x14ac:dyDescent="0.15">
      <c r="A497" s="1">
        <v>493</v>
      </c>
      <c r="B497" s="1">
        <v>10841</v>
      </c>
      <c r="C497" s="1" t="s">
        <v>729</v>
      </c>
      <c r="D497" s="1" t="s">
        <v>5</v>
      </c>
      <c r="E497" s="5" t="s">
        <v>1892</v>
      </c>
      <c r="F497" s="4" t="str">
        <f>"218.09"</f>
        <v>218.09</v>
      </c>
      <c r="G497" s="4" t="str">
        <f>"218.09"</f>
        <v>218.09</v>
      </c>
    </row>
    <row r="498" spans="1:7" ht="15.75" customHeight="1" x14ac:dyDescent="0.15">
      <c r="A498" s="1">
        <v>494</v>
      </c>
      <c r="B498" s="1">
        <v>2625</v>
      </c>
      <c r="C498" s="1" t="s">
        <v>734</v>
      </c>
      <c r="D498" s="1" t="s">
        <v>73</v>
      </c>
      <c r="E498" s="5" t="s">
        <v>1892</v>
      </c>
      <c r="F498" s="4" t="str">
        <f>"218.18"</f>
        <v>218.18</v>
      </c>
      <c r="G498" s="4" t="str">
        <f>"218.18"</f>
        <v>218.18</v>
      </c>
    </row>
    <row r="499" spans="1:7" ht="15.75" customHeight="1" x14ac:dyDescent="0.15">
      <c r="A499" s="1">
        <v>495</v>
      </c>
      <c r="B499" s="1">
        <v>8709</v>
      </c>
      <c r="C499" s="1" t="s">
        <v>663</v>
      </c>
      <c r="D499" s="1" t="s">
        <v>23</v>
      </c>
      <c r="E499" s="5" t="s">
        <v>1892</v>
      </c>
      <c r="F499" s="4" t="str">
        <f>"218.34"</f>
        <v>218.34</v>
      </c>
      <c r="G499" s="4" t="str">
        <f>"218.34"</f>
        <v>218.34</v>
      </c>
    </row>
    <row r="500" spans="1:7" ht="15.75" customHeight="1" x14ac:dyDescent="0.15">
      <c r="A500" s="1">
        <v>496</v>
      </c>
      <c r="B500" s="1">
        <v>5261</v>
      </c>
      <c r="C500" s="1" t="s">
        <v>664</v>
      </c>
      <c r="D500" s="1" t="s">
        <v>36</v>
      </c>
      <c r="E500" s="5" t="s">
        <v>1892</v>
      </c>
      <c r="F500" s="4" t="str">
        <f>"218.51"</f>
        <v>218.51</v>
      </c>
      <c r="G500" s="4" t="str">
        <f>"218.51"</f>
        <v>218.51</v>
      </c>
    </row>
    <row r="501" spans="1:7" ht="15.75" customHeight="1" x14ac:dyDescent="0.15">
      <c r="A501" s="1">
        <v>497</v>
      </c>
      <c r="B501" s="1">
        <v>9341</v>
      </c>
      <c r="C501" s="1" t="s">
        <v>529</v>
      </c>
      <c r="D501" s="1" t="s">
        <v>285</v>
      </c>
      <c r="E501" s="5" t="s">
        <v>1892</v>
      </c>
      <c r="F501" s="4" t="str">
        <f>"218.71"</f>
        <v>218.71</v>
      </c>
      <c r="G501" s="4" t="str">
        <f>"357.87"</f>
        <v>357.87</v>
      </c>
    </row>
    <row r="502" spans="1:7" ht="15.75" customHeight="1" x14ac:dyDescent="0.15">
      <c r="A502" s="1">
        <v>498</v>
      </c>
      <c r="B502" s="1">
        <v>1290</v>
      </c>
      <c r="C502" s="1" t="s">
        <v>666</v>
      </c>
      <c r="D502" s="1" t="s">
        <v>76</v>
      </c>
      <c r="E502" s="5" t="s">
        <v>1892</v>
      </c>
      <c r="F502" s="4" t="str">
        <f>"219.13"</f>
        <v>219.13</v>
      </c>
      <c r="G502" s="4" t="str">
        <f>"219.13"</f>
        <v>219.13</v>
      </c>
    </row>
    <row r="503" spans="1:7" ht="15.75" customHeight="1" x14ac:dyDescent="0.15">
      <c r="A503" s="1">
        <v>499</v>
      </c>
      <c r="B503" s="1">
        <v>5757</v>
      </c>
      <c r="C503" s="1" t="s">
        <v>605</v>
      </c>
      <c r="D503" s="1" t="s">
        <v>9</v>
      </c>
      <c r="E503" s="5" t="s">
        <v>1892</v>
      </c>
      <c r="F503" s="4" t="str">
        <f>"219.55"</f>
        <v>219.55</v>
      </c>
      <c r="G503" s="4" t="str">
        <f>"219.55"</f>
        <v>219.55</v>
      </c>
    </row>
    <row r="504" spans="1:7" ht="15.75" customHeight="1" x14ac:dyDescent="0.15">
      <c r="A504" s="1">
        <v>500</v>
      </c>
      <c r="B504" s="1">
        <v>7633</v>
      </c>
      <c r="C504" s="1" t="s">
        <v>668</v>
      </c>
      <c r="D504" s="1" t="s">
        <v>21</v>
      </c>
      <c r="E504" s="5" t="s">
        <v>1892</v>
      </c>
      <c r="F504" s="4" t="str">
        <f>"219.55"</f>
        <v>219.55</v>
      </c>
      <c r="G504" s="4" t="str">
        <f>"219.55"</f>
        <v>219.55</v>
      </c>
    </row>
    <row r="505" spans="1:7" ht="15.75" customHeight="1" x14ac:dyDescent="0.15">
      <c r="A505" s="1">
        <v>501</v>
      </c>
      <c r="B505" s="1">
        <v>10709</v>
      </c>
      <c r="C505" s="1" t="s">
        <v>532</v>
      </c>
      <c r="D505" s="1" t="s">
        <v>5</v>
      </c>
      <c r="E505" s="5" t="s">
        <v>1892</v>
      </c>
      <c r="F505" s="4" t="str">
        <f>"220.03"</f>
        <v>220.03</v>
      </c>
      <c r="G505" s="4" t="str">
        <f>"227.62"</f>
        <v>227.62</v>
      </c>
    </row>
    <row r="506" spans="1:7" ht="15.75" customHeight="1" x14ac:dyDescent="0.15">
      <c r="A506" s="1">
        <v>502</v>
      </c>
      <c r="B506" s="1">
        <v>6124</v>
      </c>
      <c r="C506" s="1" t="s">
        <v>535</v>
      </c>
      <c r="D506" s="1" t="s">
        <v>8</v>
      </c>
      <c r="E506" s="5" t="s">
        <v>1892</v>
      </c>
      <c r="F506" s="4" t="str">
        <f>"220.50"</f>
        <v>220.50</v>
      </c>
      <c r="G506" s="4" t="str">
        <f>"229.28"</f>
        <v>229.28</v>
      </c>
    </row>
    <row r="507" spans="1:7" ht="15.75" customHeight="1" x14ac:dyDescent="0.15">
      <c r="A507" s="1">
        <v>503</v>
      </c>
      <c r="B507" s="1">
        <v>1006</v>
      </c>
      <c r="C507" s="1" t="s">
        <v>669</v>
      </c>
      <c r="D507" s="1" t="s">
        <v>312</v>
      </c>
      <c r="E507" s="5" t="s">
        <v>1892</v>
      </c>
      <c r="F507" s="4" t="str">
        <f>"220.59"</f>
        <v>220.59</v>
      </c>
      <c r="G507" s="4" t="str">
        <f>"220.59"</f>
        <v>220.59</v>
      </c>
    </row>
    <row r="508" spans="1:7" ht="15.75" customHeight="1" x14ac:dyDescent="0.15">
      <c r="A508" s="1">
        <v>504</v>
      </c>
      <c r="B508" s="1">
        <v>10614</v>
      </c>
      <c r="C508" s="1" t="s">
        <v>671</v>
      </c>
      <c r="D508" s="1" t="s">
        <v>5</v>
      </c>
      <c r="E508" s="5" t="s">
        <v>1892</v>
      </c>
      <c r="F508" s="4" t="str">
        <f>"220.72"</f>
        <v>220.72</v>
      </c>
      <c r="G508" s="4" t="str">
        <f>"220.72"</f>
        <v>220.72</v>
      </c>
    </row>
    <row r="509" spans="1:7" ht="15.75" customHeight="1" x14ac:dyDescent="0.15">
      <c r="A509" s="1">
        <v>505</v>
      </c>
      <c r="B509" s="1">
        <v>6842</v>
      </c>
      <c r="C509" s="1" t="s">
        <v>536</v>
      </c>
      <c r="D509" s="1" t="s">
        <v>74</v>
      </c>
      <c r="E509" s="5" t="s">
        <v>1892</v>
      </c>
      <c r="F509" s="4" t="str">
        <f>"221.05"</f>
        <v>221.05</v>
      </c>
      <c r="G509" s="4" t="str">
        <f>"237.86"</f>
        <v>237.86</v>
      </c>
    </row>
    <row r="510" spans="1:7" ht="15.75" customHeight="1" x14ac:dyDescent="0.15">
      <c r="A510" s="1">
        <v>506</v>
      </c>
      <c r="B510" s="1">
        <v>2213</v>
      </c>
      <c r="C510" s="1" t="s">
        <v>672</v>
      </c>
      <c r="D510" s="1" t="s">
        <v>285</v>
      </c>
      <c r="E510" s="5" t="s">
        <v>1892</v>
      </c>
      <c r="F510" s="4" t="str">
        <f>"221.10"</f>
        <v>221.10</v>
      </c>
      <c r="G510" s="4" t="str">
        <f>"221.10"</f>
        <v>221.10</v>
      </c>
    </row>
    <row r="511" spans="1:7" ht="15.75" customHeight="1" x14ac:dyDescent="0.15">
      <c r="A511" s="1">
        <v>507</v>
      </c>
      <c r="B511" s="1">
        <v>11412</v>
      </c>
      <c r="C511" s="1" t="s">
        <v>541</v>
      </c>
      <c r="D511" s="1" t="s">
        <v>316</v>
      </c>
      <c r="E511" s="5" t="s">
        <v>1892</v>
      </c>
      <c r="F511" s="4" t="str">
        <f>"222.11"</f>
        <v>222.11</v>
      </c>
      <c r="G511" s="4"/>
    </row>
    <row r="512" spans="1:7" ht="15.75" customHeight="1" x14ac:dyDescent="0.15">
      <c r="A512" s="1">
        <v>508</v>
      </c>
      <c r="B512" s="1">
        <v>3662</v>
      </c>
      <c r="C512" s="1" t="s">
        <v>548</v>
      </c>
      <c r="D512" s="1" t="s">
        <v>51</v>
      </c>
      <c r="E512" s="5" t="s">
        <v>1892</v>
      </c>
      <c r="F512" s="4" t="str">
        <f>"222.49"</f>
        <v>222.49</v>
      </c>
      <c r="G512" s="4" t="str">
        <f>"242.49"</f>
        <v>242.49</v>
      </c>
    </row>
    <row r="513" spans="1:7" ht="15.75" customHeight="1" x14ac:dyDescent="0.15">
      <c r="A513" s="1">
        <v>509</v>
      </c>
      <c r="B513" s="1">
        <v>11023</v>
      </c>
      <c r="C513" s="1" t="s">
        <v>676</v>
      </c>
      <c r="D513" s="1" t="s">
        <v>34</v>
      </c>
      <c r="E513" s="5" t="s">
        <v>1892</v>
      </c>
      <c r="F513" s="4" t="str">
        <f>"222.65"</f>
        <v>222.65</v>
      </c>
      <c r="G513" s="4" t="str">
        <f>"222.65"</f>
        <v>222.65</v>
      </c>
    </row>
    <row r="514" spans="1:7" ht="15.75" customHeight="1" x14ac:dyDescent="0.15">
      <c r="A514" s="1">
        <v>510</v>
      </c>
      <c r="B514" s="1">
        <v>10332</v>
      </c>
      <c r="C514" s="1" t="s">
        <v>677</v>
      </c>
      <c r="D514" s="1" t="s">
        <v>6</v>
      </c>
      <c r="E514" s="5" t="s">
        <v>1892</v>
      </c>
      <c r="F514" s="4" t="str">
        <f>"223.43"</f>
        <v>223.43</v>
      </c>
      <c r="G514" s="4" t="str">
        <f>"223.43"</f>
        <v>223.43</v>
      </c>
    </row>
    <row r="515" spans="1:7" ht="15.75" customHeight="1" x14ac:dyDescent="0.15">
      <c r="A515" s="1">
        <v>511</v>
      </c>
      <c r="B515" s="1">
        <v>10187</v>
      </c>
      <c r="C515" s="1" t="s">
        <v>554</v>
      </c>
      <c r="D515" s="1" t="s">
        <v>5</v>
      </c>
      <c r="E515" s="5" t="s">
        <v>1892</v>
      </c>
      <c r="F515" s="4" t="str">
        <f>"223.68"</f>
        <v>223.68</v>
      </c>
      <c r="G515" s="4" t="str">
        <f>"228.22"</f>
        <v>228.22</v>
      </c>
    </row>
    <row r="516" spans="1:7" ht="15.75" customHeight="1" x14ac:dyDescent="0.15">
      <c r="A516" s="1">
        <v>512</v>
      </c>
      <c r="B516" s="1">
        <v>7055</v>
      </c>
      <c r="C516" s="1" t="s">
        <v>678</v>
      </c>
      <c r="D516" s="1" t="s">
        <v>388</v>
      </c>
      <c r="E516" s="5" t="s">
        <v>1892</v>
      </c>
      <c r="F516" s="4" t="str">
        <f>"224.67"</f>
        <v>224.67</v>
      </c>
      <c r="G516" s="4" t="str">
        <f>"224.67"</f>
        <v>224.67</v>
      </c>
    </row>
    <row r="517" spans="1:7" ht="15.75" customHeight="1" x14ac:dyDescent="0.15">
      <c r="A517" s="1">
        <v>513</v>
      </c>
      <c r="B517" s="1">
        <v>5343</v>
      </c>
      <c r="C517" s="1" t="s">
        <v>679</v>
      </c>
      <c r="D517" s="1" t="s">
        <v>69</v>
      </c>
      <c r="E517" s="5" t="s">
        <v>1892</v>
      </c>
      <c r="F517" s="4" t="str">
        <f>"225.16"</f>
        <v>225.16</v>
      </c>
      <c r="G517" s="4" t="str">
        <f>"225.16"</f>
        <v>225.16</v>
      </c>
    </row>
    <row r="518" spans="1:7" ht="15.75" customHeight="1" x14ac:dyDescent="0.15">
      <c r="A518" s="1">
        <v>514</v>
      </c>
      <c r="B518" s="1">
        <v>8568</v>
      </c>
      <c r="C518" s="1" t="s">
        <v>680</v>
      </c>
      <c r="D518" s="1" t="s">
        <v>18</v>
      </c>
      <c r="E518" s="5" t="s">
        <v>1892</v>
      </c>
      <c r="F518" s="4" t="str">
        <f>"225.19"</f>
        <v>225.19</v>
      </c>
      <c r="G518" s="4" t="str">
        <f>"225.19"</f>
        <v>225.19</v>
      </c>
    </row>
    <row r="519" spans="1:7" ht="15.75" customHeight="1" x14ac:dyDescent="0.15">
      <c r="A519" s="1">
        <v>515</v>
      </c>
      <c r="B519" s="1">
        <v>10966</v>
      </c>
      <c r="C519" s="1" t="s">
        <v>681</v>
      </c>
      <c r="D519" s="1" t="s">
        <v>574</v>
      </c>
      <c r="E519" s="5" t="s">
        <v>1892</v>
      </c>
      <c r="F519" s="4" t="str">
        <f>"225.45"</f>
        <v>225.45</v>
      </c>
      <c r="G519" s="4" t="str">
        <f>"225.45"</f>
        <v>225.45</v>
      </c>
    </row>
    <row r="520" spans="1:7" ht="15.75" customHeight="1" x14ac:dyDescent="0.15">
      <c r="A520" s="1">
        <v>516</v>
      </c>
      <c r="B520" s="1">
        <v>745</v>
      </c>
      <c r="C520" s="1" t="s">
        <v>682</v>
      </c>
      <c r="D520" s="1" t="s">
        <v>69</v>
      </c>
      <c r="E520" s="5" t="s">
        <v>1892</v>
      </c>
      <c r="F520" s="4" t="str">
        <f>"225.67"</f>
        <v>225.67</v>
      </c>
      <c r="G520" s="4" t="str">
        <f>"225.67"</f>
        <v>225.67</v>
      </c>
    </row>
    <row r="521" spans="1:7" ht="15.75" customHeight="1" x14ac:dyDescent="0.15">
      <c r="A521" s="1">
        <v>517</v>
      </c>
      <c r="B521" s="1">
        <v>10444</v>
      </c>
      <c r="C521" s="1" t="s">
        <v>683</v>
      </c>
      <c r="D521" s="1" t="s">
        <v>19</v>
      </c>
      <c r="E521" s="5" t="s">
        <v>1892</v>
      </c>
      <c r="F521" s="4" t="str">
        <f>"225.75"</f>
        <v>225.75</v>
      </c>
      <c r="G521" s="4" t="str">
        <f>"225.75"</f>
        <v>225.75</v>
      </c>
    </row>
    <row r="522" spans="1:7" ht="15.75" customHeight="1" x14ac:dyDescent="0.15">
      <c r="A522" s="1">
        <v>518</v>
      </c>
      <c r="B522" s="1">
        <v>5502</v>
      </c>
      <c r="C522" s="1" t="s">
        <v>685</v>
      </c>
      <c r="D522" s="1" t="s">
        <v>6</v>
      </c>
      <c r="E522" s="5" t="s">
        <v>1892</v>
      </c>
      <c r="F522" s="4" t="str">
        <f>"226.08"</f>
        <v>226.08</v>
      </c>
      <c r="G522" s="4" t="str">
        <f>"226.08"</f>
        <v>226.08</v>
      </c>
    </row>
    <row r="523" spans="1:7" ht="15.75" customHeight="1" x14ac:dyDescent="0.15">
      <c r="A523" s="1">
        <v>519</v>
      </c>
      <c r="B523" s="1">
        <v>8495</v>
      </c>
      <c r="C523" s="1" t="s">
        <v>686</v>
      </c>
      <c r="D523" s="1" t="s">
        <v>5</v>
      </c>
      <c r="E523" s="5" t="s">
        <v>1892</v>
      </c>
      <c r="F523" s="4" t="str">
        <f>"226.14"</f>
        <v>226.14</v>
      </c>
      <c r="G523" s="4" t="str">
        <f>"226.14"</f>
        <v>226.14</v>
      </c>
    </row>
    <row r="524" spans="1:7" ht="15.75" customHeight="1" x14ac:dyDescent="0.15">
      <c r="A524" s="1">
        <v>520</v>
      </c>
      <c r="B524" s="1">
        <v>6912</v>
      </c>
      <c r="C524" s="1" t="s">
        <v>687</v>
      </c>
      <c r="D524" s="1" t="s">
        <v>70</v>
      </c>
      <c r="E524" s="5" t="s">
        <v>1892</v>
      </c>
      <c r="F524" s="4" t="str">
        <f>"226.18"</f>
        <v>226.18</v>
      </c>
      <c r="G524" s="4" t="str">
        <f>"226.18"</f>
        <v>226.18</v>
      </c>
    </row>
    <row r="525" spans="1:7" ht="15.75" customHeight="1" x14ac:dyDescent="0.15">
      <c r="A525" s="1">
        <v>521</v>
      </c>
      <c r="B525" s="1">
        <v>1322</v>
      </c>
      <c r="C525" s="1" t="s">
        <v>629</v>
      </c>
      <c r="D525" s="1" t="s">
        <v>6</v>
      </c>
      <c r="E525" s="5" t="s">
        <v>1892</v>
      </c>
      <c r="F525" s="4" t="str">
        <f>"226.35"</f>
        <v>226.35</v>
      </c>
      <c r="G525" s="4" t="str">
        <f>"226.91"</f>
        <v>226.91</v>
      </c>
    </row>
    <row r="526" spans="1:7" ht="15.75" customHeight="1" x14ac:dyDescent="0.15">
      <c r="A526" s="1">
        <v>522</v>
      </c>
      <c r="B526" s="1">
        <v>6202</v>
      </c>
      <c r="C526" s="1" t="s">
        <v>689</v>
      </c>
      <c r="D526" s="1" t="s">
        <v>90</v>
      </c>
      <c r="E526" s="5" t="s">
        <v>1892</v>
      </c>
      <c r="F526" s="4" t="str">
        <f>"227.12"</f>
        <v>227.12</v>
      </c>
      <c r="G526" s="4" t="str">
        <f>"227.12"</f>
        <v>227.12</v>
      </c>
    </row>
    <row r="527" spans="1:7" ht="15.75" customHeight="1" x14ac:dyDescent="0.15">
      <c r="A527" s="1">
        <v>523</v>
      </c>
      <c r="B527" s="1">
        <v>4124</v>
      </c>
      <c r="C527" s="1" t="s">
        <v>692</v>
      </c>
      <c r="D527" s="1" t="s">
        <v>4</v>
      </c>
      <c r="E527" s="5" t="s">
        <v>1892</v>
      </c>
      <c r="F527" s="4" t="str">
        <f>"227.24"</f>
        <v>227.24</v>
      </c>
      <c r="G527" s="4" t="str">
        <f>"227.24"</f>
        <v>227.24</v>
      </c>
    </row>
    <row r="528" spans="1:7" ht="15.75" customHeight="1" x14ac:dyDescent="0.15">
      <c r="A528" s="1">
        <v>524</v>
      </c>
      <c r="B528" s="1">
        <v>5427</v>
      </c>
      <c r="C528" s="1" t="s">
        <v>693</v>
      </c>
      <c r="D528" s="1" t="s">
        <v>19</v>
      </c>
      <c r="E528" s="5" t="s">
        <v>1892</v>
      </c>
      <c r="F528" s="4" t="str">
        <f>"227.35"</f>
        <v>227.35</v>
      </c>
      <c r="G528" s="4" t="str">
        <f>"227.35"</f>
        <v>227.35</v>
      </c>
    </row>
    <row r="529" spans="1:7" ht="15.75" customHeight="1" x14ac:dyDescent="0.15">
      <c r="A529" s="1">
        <v>525</v>
      </c>
      <c r="B529" s="1">
        <v>5353</v>
      </c>
      <c r="C529" s="1" t="s">
        <v>695</v>
      </c>
      <c r="D529" s="1" t="s">
        <v>8</v>
      </c>
      <c r="E529" s="5" t="s">
        <v>1892</v>
      </c>
      <c r="F529" s="4" t="str">
        <f>"227.82"</f>
        <v>227.82</v>
      </c>
      <c r="G529" s="4" t="str">
        <f>"227.82"</f>
        <v>227.82</v>
      </c>
    </row>
    <row r="530" spans="1:7" ht="15.75" customHeight="1" x14ac:dyDescent="0.15">
      <c r="A530" s="1">
        <v>526</v>
      </c>
      <c r="B530" s="1">
        <v>1106</v>
      </c>
      <c r="C530" s="1" t="s">
        <v>696</v>
      </c>
      <c r="D530" s="1" t="s">
        <v>31</v>
      </c>
      <c r="E530" s="5" t="s">
        <v>1892</v>
      </c>
      <c r="F530" s="4" t="str">
        <f>"227.99"</f>
        <v>227.99</v>
      </c>
      <c r="G530" s="4" t="str">
        <f>"227.99"</f>
        <v>227.99</v>
      </c>
    </row>
    <row r="531" spans="1:7" ht="15.75" customHeight="1" x14ac:dyDescent="0.15">
      <c r="A531" s="1">
        <v>527</v>
      </c>
      <c r="B531" s="1">
        <v>3350</v>
      </c>
      <c r="C531" s="1" t="s">
        <v>580</v>
      </c>
      <c r="D531" s="1" t="s">
        <v>16</v>
      </c>
      <c r="E531" s="5" t="s">
        <v>1892</v>
      </c>
      <c r="F531" s="4" t="str">
        <f>"228.44"</f>
        <v>228.44</v>
      </c>
      <c r="G531" s="4" t="str">
        <f>"240.96"</f>
        <v>240.96</v>
      </c>
    </row>
    <row r="532" spans="1:7" ht="15.75" customHeight="1" x14ac:dyDescent="0.15">
      <c r="A532" s="1">
        <v>528</v>
      </c>
      <c r="B532" s="1">
        <v>7625</v>
      </c>
      <c r="C532" s="1" t="s">
        <v>855</v>
      </c>
      <c r="D532" s="1" t="s">
        <v>148</v>
      </c>
      <c r="E532" s="5" t="s">
        <v>1892</v>
      </c>
      <c r="F532" s="4" t="str">
        <f>"228.53"</f>
        <v>228.53</v>
      </c>
      <c r="G532" s="4" t="str">
        <f>"228.53"</f>
        <v>228.53</v>
      </c>
    </row>
    <row r="533" spans="1:7" ht="15.75" customHeight="1" x14ac:dyDescent="0.15">
      <c r="A533" s="1">
        <v>529</v>
      </c>
      <c r="B533" s="1">
        <v>2018</v>
      </c>
      <c r="C533" s="1" t="s">
        <v>700</v>
      </c>
      <c r="D533" s="1" t="s">
        <v>62</v>
      </c>
      <c r="E533" s="5" t="s">
        <v>1892</v>
      </c>
      <c r="F533" s="4" t="str">
        <f>"229.00"</f>
        <v>229.00</v>
      </c>
      <c r="G533" s="4" t="str">
        <f>"229.00"</f>
        <v>229.00</v>
      </c>
    </row>
    <row r="534" spans="1:7" ht="15.75" customHeight="1" x14ac:dyDescent="0.15">
      <c r="A534" s="1">
        <v>530</v>
      </c>
      <c r="B534" s="1">
        <v>7046</v>
      </c>
      <c r="C534" s="1" t="s">
        <v>560</v>
      </c>
      <c r="D534" s="1" t="s">
        <v>56</v>
      </c>
      <c r="E534" s="5" t="s">
        <v>1892</v>
      </c>
      <c r="F534" s="4" t="str">
        <f>"229.04"</f>
        <v>229.04</v>
      </c>
      <c r="G534" s="4" t="str">
        <f>"327.05"</f>
        <v>327.05</v>
      </c>
    </row>
    <row r="535" spans="1:7" ht="15.75" customHeight="1" x14ac:dyDescent="0.15">
      <c r="A535" s="1">
        <v>531</v>
      </c>
      <c r="B535" s="1">
        <v>9134</v>
      </c>
      <c r="C535" s="1" t="s">
        <v>702</v>
      </c>
      <c r="D535" s="1" t="s">
        <v>55</v>
      </c>
      <c r="E535" s="5" t="s">
        <v>1892</v>
      </c>
      <c r="F535" s="4" t="str">
        <f>"229.39"</f>
        <v>229.39</v>
      </c>
      <c r="G535" s="4" t="str">
        <f>"229.39"</f>
        <v>229.39</v>
      </c>
    </row>
    <row r="536" spans="1:7" ht="15.75" customHeight="1" x14ac:dyDescent="0.15">
      <c r="A536" s="1">
        <v>532</v>
      </c>
      <c r="B536" s="1">
        <v>10686</v>
      </c>
      <c r="C536" s="1" t="s">
        <v>703</v>
      </c>
      <c r="D536" s="1" t="s">
        <v>19</v>
      </c>
      <c r="E536" s="5" t="s">
        <v>1892</v>
      </c>
      <c r="F536" s="4" t="str">
        <f>"229.41"</f>
        <v>229.41</v>
      </c>
      <c r="G536" s="4" t="str">
        <f>"229.41"</f>
        <v>229.41</v>
      </c>
    </row>
    <row r="537" spans="1:7" ht="15.75" customHeight="1" x14ac:dyDescent="0.15">
      <c r="A537" s="1">
        <v>533</v>
      </c>
      <c r="B537" s="1">
        <v>1321</v>
      </c>
      <c r="C537" s="1" t="s">
        <v>561</v>
      </c>
      <c r="D537" s="1" t="s">
        <v>60</v>
      </c>
      <c r="E537" s="5" t="s">
        <v>1892</v>
      </c>
      <c r="F537" s="4" t="str">
        <f>"229.81"</f>
        <v>229.81</v>
      </c>
      <c r="G537" s="4" t="str">
        <f>"467.89"</f>
        <v>467.89</v>
      </c>
    </row>
    <row r="538" spans="1:7" ht="15.75" customHeight="1" x14ac:dyDescent="0.15">
      <c r="A538" s="1">
        <v>534</v>
      </c>
      <c r="B538" s="1">
        <v>10702</v>
      </c>
      <c r="C538" s="1" t="s">
        <v>704</v>
      </c>
      <c r="D538" s="1" t="s">
        <v>5</v>
      </c>
      <c r="E538" s="5" t="s">
        <v>1892</v>
      </c>
      <c r="F538" s="4" t="str">
        <f>"229.85"</f>
        <v>229.85</v>
      </c>
      <c r="G538" s="4" t="str">
        <f>"229.85"</f>
        <v>229.85</v>
      </c>
    </row>
    <row r="539" spans="1:7" ht="15.75" customHeight="1" x14ac:dyDescent="0.15">
      <c r="A539" s="1">
        <v>535</v>
      </c>
      <c r="B539" s="1">
        <v>11353</v>
      </c>
      <c r="C539" s="1" t="s">
        <v>562</v>
      </c>
      <c r="D539" s="1" t="s">
        <v>77</v>
      </c>
      <c r="E539" s="5" t="s">
        <v>1892</v>
      </c>
      <c r="F539" s="4" t="str">
        <f>"229.87"</f>
        <v>229.87</v>
      </c>
      <c r="G539" s="4"/>
    </row>
    <row r="540" spans="1:7" ht="15.75" customHeight="1" x14ac:dyDescent="0.15">
      <c r="A540" s="1">
        <v>536</v>
      </c>
      <c r="B540" s="1">
        <v>3904</v>
      </c>
      <c r="C540" s="1" t="s">
        <v>563</v>
      </c>
      <c r="D540" s="1" t="s">
        <v>60</v>
      </c>
      <c r="E540" s="5" t="s">
        <v>1892</v>
      </c>
      <c r="F540" s="4" t="str">
        <f>"229.90"</f>
        <v>229.90</v>
      </c>
      <c r="G540" s="4"/>
    </row>
    <row r="541" spans="1:7" ht="15.75" customHeight="1" x14ac:dyDescent="0.15">
      <c r="A541" s="1">
        <v>537</v>
      </c>
      <c r="B541" s="1">
        <v>1342</v>
      </c>
      <c r="C541" s="1" t="s">
        <v>705</v>
      </c>
      <c r="D541" s="1" t="s">
        <v>33</v>
      </c>
      <c r="E541" s="5" t="s">
        <v>1892</v>
      </c>
      <c r="F541" s="4" t="str">
        <f>"230.21"</f>
        <v>230.21</v>
      </c>
      <c r="G541" s="4" t="str">
        <f>"230.21"</f>
        <v>230.21</v>
      </c>
    </row>
    <row r="542" spans="1:7" ht="15.75" customHeight="1" x14ac:dyDescent="0.15">
      <c r="A542" s="1">
        <v>538</v>
      </c>
      <c r="B542" s="1">
        <v>2164</v>
      </c>
      <c r="C542" s="1" t="s">
        <v>690</v>
      </c>
      <c r="D542" s="1" t="s">
        <v>691</v>
      </c>
      <c r="E542" s="5" t="s">
        <v>1892</v>
      </c>
      <c r="F542" s="4" t="str">
        <f>"230.34"</f>
        <v>230.34</v>
      </c>
      <c r="G542" s="4" t="str">
        <f>"230.34"</f>
        <v>230.34</v>
      </c>
    </row>
    <row r="543" spans="1:7" ht="15.75" customHeight="1" x14ac:dyDescent="0.15">
      <c r="A543" s="1">
        <v>539</v>
      </c>
      <c r="B543" s="1">
        <v>6350</v>
      </c>
      <c r="C543" s="1" t="s">
        <v>706</v>
      </c>
      <c r="D543" s="1" t="s">
        <v>707</v>
      </c>
      <c r="E543" s="5" t="s">
        <v>1892</v>
      </c>
      <c r="F543" s="4" t="str">
        <f>"231.18"</f>
        <v>231.18</v>
      </c>
      <c r="G543" s="4" t="str">
        <f>"231.18"</f>
        <v>231.18</v>
      </c>
    </row>
    <row r="544" spans="1:7" ht="15.75" customHeight="1" x14ac:dyDescent="0.15">
      <c r="A544" s="1">
        <v>540</v>
      </c>
      <c r="B544" s="1">
        <v>6476</v>
      </c>
      <c r="C544" s="1" t="s">
        <v>926</v>
      </c>
      <c r="D544" s="1" t="s">
        <v>16</v>
      </c>
      <c r="E544" s="5" t="s">
        <v>1892</v>
      </c>
      <c r="F544" s="4" t="str">
        <f>"231.19"</f>
        <v>231.19</v>
      </c>
      <c r="G544" s="4" t="str">
        <f>"231.19"</f>
        <v>231.19</v>
      </c>
    </row>
    <row r="545" spans="1:7" ht="15.75" customHeight="1" x14ac:dyDescent="0.15">
      <c r="A545" s="1">
        <v>541</v>
      </c>
      <c r="B545" s="1">
        <v>708</v>
      </c>
      <c r="C545" s="1" t="s">
        <v>569</v>
      </c>
      <c r="D545" s="1" t="s">
        <v>534</v>
      </c>
      <c r="E545" s="5" t="s">
        <v>1892</v>
      </c>
      <c r="F545" s="4" t="str">
        <f>"232.21"</f>
        <v>232.21</v>
      </c>
      <c r="G545" s="4" t="str">
        <f>"297.17"</f>
        <v>297.17</v>
      </c>
    </row>
    <row r="546" spans="1:7" ht="15.75" customHeight="1" x14ac:dyDescent="0.15">
      <c r="A546" s="1">
        <v>542</v>
      </c>
      <c r="B546" s="1">
        <v>11022</v>
      </c>
      <c r="C546" s="1" t="s">
        <v>709</v>
      </c>
      <c r="D546" s="1" t="s">
        <v>76</v>
      </c>
      <c r="E546" s="5" t="s">
        <v>1892</v>
      </c>
      <c r="F546" s="4" t="str">
        <f>"232.70"</f>
        <v>232.70</v>
      </c>
      <c r="G546" s="4" t="str">
        <f>"232.70"</f>
        <v>232.70</v>
      </c>
    </row>
    <row r="547" spans="1:7" ht="15.75" customHeight="1" x14ac:dyDescent="0.15">
      <c r="A547" s="1">
        <v>543</v>
      </c>
      <c r="B547" s="1">
        <v>10127</v>
      </c>
      <c r="C547" s="1" t="s">
        <v>623</v>
      </c>
      <c r="D547" s="1" t="s">
        <v>5</v>
      </c>
      <c r="E547" s="5" t="s">
        <v>1892</v>
      </c>
      <c r="F547" s="4" t="str">
        <f>"233.17"</f>
        <v>233.17</v>
      </c>
      <c r="G547" s="4" t="str">
        <f>"233.70"</f>
        <v>233.70</v>
      </c>
    </row>
    <row r="548" spans="1:7" ht="15.75" customHeight="1" x14ac:dyDescent="0.15">
      <c r="A548" s="1">
        <v>544</v>
      </c>
      <c r="B548" s="1">
        <v>5513</v>
      </c>
      <c r="C548" s="1" t="s">
        <v>744</v>
      </c>
      <c r="D548" s="1" t="s">
        <v>745</v>
      </c>
      <c r="E548" s="5" t="s">
        <v>1892</v>
      </c>
      <c r="F548" s="4" t="str">
        <f>"234.06"</f>
        <v>234.06</v>
      </c>
      <c r="G548" s="4" t="str">
        <f>"234.06"</f>
        <v>234.06</v>
      </c>
    </row>
    <row r="549" spans="1:7" ht="15.75" customHeight="1" x14ac:dyDescent="0.15">
      <c r="A549" s="1">
        <v>545</v>
      </c>
      <c r="B549" s="1">
        <v>3377</v>
      </c>
      <c r="C549" s="1" t="s">
        <v>579</v>
      </c>
      <c r="D549" s="1" t="s">
        <v>488</v>
      </c>
      <c r="E549" s="5" t="s">
        <v>1892</v>
      </c>
      <c r="F549" s="4" t="str">
        <f>"234.82"</f>
        <v>234.82</v>
      </c>
      <c r="G549" s="4" t="str">
        <f>"270.17"</f>
        <v>270.17</v>
      </c>
    </row>
    <row r="550" spans="1:7" ht="15.75" customHeight="1" x14ac:dyDescent="0.15">
      <c r="A550" s="1">
        <v>546</v>
      </c>
      <c r="B550" s="1">
        <v>7173</v>
      </c>
      <c r="C550" s="1" t="s">
        <v>585</v>
      </c>
      <c r="D550" s="1" t="s">
        <v>27</v>
      </c>
      <c r="E550" s="5" t="s">
        <v>1892</v>
      </c>
      <c r="F550" s="4" t="str">
        <f>"235.93"</f>
        <v>235.93</v>
      </c>
      <c r="G550" s="4" t="str">
        <f>"362.27"</f>
        <v>362.27</v>
      </c>
    </row>
    <row r="551" spans="1:7" ht="15.75" customHeight="1" x14ac:dyDescent="0.15">
      <c r="A551" s="1">
        <v>547</v>
      </c>
      <c r="B551" s="1">
        <v>1781</v>
      </c>
      <c r="C551" s="1" t="s">
        <v>716</v>
      </c>
      <c r="D551" s="1" t="s">
        <v>63</v>
      </c>
      <c r="E551" s="5" t="s">
        <v>1892</v>
      </c>
      <c r="F551" s="4" t="str">
        <f>"236.05"</f>
        <v>236.05</v>
      </c>
      <c r="G551" s="4" t="str">
        <f>"236.05"</f>
        <v>236.05</v>
      </c>
    </row>
    <row r="552" spans="1:7" ht="15.75" customHeight="1" x14ac:dyDescent="0.15">
      <c r="A552" s="1">
        <v>548</v>
      </c>
      <c r="B552" s="1">
        <v>10136</v>
      </c>
      <c r="C552" s="1" t="s">
        <v>717</v>
      </c>
      <c r="D552" s="1" t="s">
        <v>5</v>
      </c>
      <c r="E552" s="5" t="s">
        <v>1892</v>
      </c>
      <c r="F552" s="4" t="str">
        <f>"236.45"</f>
        <v>236.45</v>
      </c>
      <c r="G552" s="4" t="str">
        <f>"236.45"</f>
        <v>236.45</v>
      </c>
    </row>
    <row r="553" spans="1:7" ht="15.75" customHeight="1" x14ac:dyDescent="0.15">
      <c r="A553" s="1">
        <v>549</v>
      </c>
      <c r="B553" s="1">
        <v>9514</v>
      </c>
      <c r="C553" s="1" t="s">
        <v>718</v>
      </c>
      <c r="D553" s="1" t="s">
        <v>719</v>
      </c>
      <c r="E553" s="5" t="s">
        <v>1892</v>
      </c>
      <c r="F553" s="4" t="str">
        <f>"237.22"</f>
        <v>237.22</v>
      </c>
      <c r="G553" s="4" t="str">
        <f>"237.22"</f>
        <v>237.22</v>
      </c>
    </row>
    <row r="554" spans="1:7" ht="15.75" customHeight="1" x14ac:dyDescent="0.15">
      <c r="A554" s="1">
        <v>550</v>
      </c>
      <c r="B554" s="1">
        <v>10282</v>
      </c>
      <c r="C554" s="1" t="s">
        <v>721</v>
      </c>
      <c r="D554" s="1" t="s">
        <v>8</v>
      </c>
      <c r="E554" s="5" t="s">
        <v>1892</v>
      </c>
      <c r="F554" s="4" t="str">
        <f>"237.25"</f>
        <v>237.25</v>
      </c>
      <c r="G554" s="4" t="str">
        <f>"237.25"</f>
        <v>237.25</v>
      </c>
    </row>
    <row r="555" spans="1:7" ht="15.75" customHeight="1" x14ac:dyDescent="0.15">
      <c r="A555" s="1">
        <v>551</v>
      </c>
      <c r="B555" s="1">
        <v>10871</v>
      </c>
      <c r="C555" s="1" t="s">
        <v>598</v>
      </c>
      <c r="D555" s="1" t="s">
        <v>5</v>
      </c>
      <c r="E555" s="5" t="s">
        <v>1892</v>
      </c>
      <c r="F555" s="4" t="str">
        <f>"238.25"</f>
        <v>238.25</v>
      </c>
      <c r="G555" s="4" t="str">
        <f>"352.37"</f>
        <v>352.37</v>
      </c>
    </row>
    <row r="556" spans="1:7" ht="15.75" customHeight="1" x14ac:dyDescent="0.15">
      <c r="A556" s="1">
        <v>552</v>
      </c>
      <c r="B556" s="1">
        <v>4037</v>
      </c>
      <c r="C556" s="1" t="s">
        <v>723</v>
      </c>
      <c r="D556" s="1" t="s">
        <v>724</v>
      </c>
      <c r="E556" s="5" t="s">
        <v>1892</v>
      </c>
      <c r="F556" s="4" t="str">
        <f>"238.37"</f>
        <v>238.37</v>
      </c>
      <c r="G556" s="4" t="str">
        <f>"238.37"</f>
        <v>238.37</v>
      </c>
    </row>
    <row r="557" spans="1:7" ht="15.75" customHeight="1" x14ac:dyDescent="0.15">
      <c r="A557" s="1">
        <v>553</v>
      </c>
      <c r="B557" s="1">
        <v>8006</v>
      </c>
      <c r="C557" s="1" t="s">
        <v>725</v>
      </c>
      <c r="D557" s="1" t="s">
        <v>216</v>
      </c>
      <c r="E557" s="5" t="s">
        <v>1892</v>
      </c>
      <c r="F557" s="4" t="str">
        <f>"238.58"</f>
        <v>238.58</v>
      </c>
      <c r="G557" s="4" t="str">
        <f>"238.58"</f>
        <v>238.58</v>
      </c>
    </row>
    <row r="558" spans="1:7" ht="15.75" customHeight="1" x14ac:dyDescent="0.15">
      <c r="A558" s="1">
        <v>554</v>
      </c>
      <c r="B558" s="1">
        <v>2495</v>
      </c>
      <c r="C558" s="1" t="s">
        <v>600</v>
      </c>
      <c r="D558" s="1" t="s">
        <v>22</v>
      </c>
      <c r="E558" s="5" t="s">
        <v>1892</v>
      </c>
      <c r="F558" s="4" t="str">
        <f>"238.78"</f>
        <v>238.78</v>
      </c>
      <c r="G558" s="4"/>
    </row>
    <row r="559" spans="1:7" ht="15.75" customHeight="1" x14ac:dyDescent="0.15">
      <c r="A559" s="1">
        <v>555</v>
      </c>
      <c r="B559" s="1">
        <v>4128</v>
      </c>
      <c r="C559" s="1" t="s">
        <v>604</v>
      </c>
      <c r="D559" s="1" t="s">
        <v>37</v>
      </c>
      <c r="E559" s="5" t="s">
        <v>1892</v>
      </c>
      <c r="F559" s="4" t="str">
        <f>"239.45"</f>
        <v>239.45</v>
      </c>
      <c r="G559" s="4" t="str">
        <f>"259.17"</f>
        <v>259.17</v>
      </c>
    </row>
    <row r="560" spans="1:7" ht="15.75" customHeight="1" x14ac:dyDescent="0.15">
      <c r="A560" s="1">
        <v>556</v>
      </c>
      <c r="B560" s="1">
        <v>11085</v>
      </c>
      <c r="C560" s="1" t="s">
        <v>712</v>
      </c>
      <c r="D560" s="1" t="s">
        <v>713</v>
      </c>
      <c r="E560" s="5" t="s">
        <v>1892</v>
      </c>
      <c r="F560" s="4" t="str">
        <f>"239.74"</f>
        <v>239.74</v>
      </c>
      <c r="G560" s="4" t="str">
        <f>"245.37"</f>
        <v>245.37</v>
      </c>
    </row>
    <row r="561" spans="1:7" ht="15.75" customHeight="1" x14ac:dyDescent="0.15">
      <c r="A561" s="1">
        <v>557</v>
      </c>
      <c r="B561" s="1">
        <v>8332</v>
      </c>
      <c r="C561" s="1" t="s">
        <v>728</v>
      </c>
      <c r="D561" s="1" t="s">
        <v>6</v>
      </c>
      <c r="E561" s="5" t="s">
        <v>1892</v>
      </c>
      <c r="F561" s="4" t="str">
        <f>"239.85"</f>
        <v>239.85</v>
      </c>
      <c r="G561" s="4" t="str">
        <f>"239.85"</f>
        <v>239.85</v>
      </c>
    </row>
    <row r="562" spans="1:7" ht="15.75" customHeight="1" x14ac:dyDescent="0.15">
      <c r="A562" s="1">
        <v>558</v>
      </c>
      <c r="B562" s="1">
        <v>2420</v>
      </c>
      <c r="C562" s="1" t="s">
        <v>730</v>
      </c>
      <c r="D562" s="1" t="s">
        <v>6</v>
      </c>
      <c r="E562" s="5" t="s">
        <v>1892</v>
      </c>
      <c r="F562" s="4" t="str">
        <f>"240.29"</f>
        <v>240.29</v>
      </c>
      <c r="G562" s="4" t="str">
        <f>"240.29"</f>
        <v>240.29</v>
      </c>
    </row>
    <row r="563" spans="1:7" ht="15.75" customHeight="1" x14ac:dyDescent="0.15">
      <c r="A563" s="1">
        <v>559</v>
      </c>
      <c r="B563" s="1">
        <v>6864</v>
      </c>
      <c r="C563" s="1" t="s">
        <v>732</v>
      </c>
      <c r="D563" s="1" t="s">
        <v>6</v>
      </c>
      <c r="E563" s="5" t="s">
        <v>1892</v>
      </c>
      <c r="F563" s="4" t="str">
        <f>"240.63"</f>
        <v>240.63</v>
      </c>
      <c r="G563" s="4" t="str">
        <f>"240.63"</f>
        <v>240.63</v>
      </c>
    </row>
    <row r="564" spans="1:7" ht="15.75" customHeight="1" x14ac:dyDescent="0.15">
      <c r="A564" s="1">
        <v>560</v>
      </c>
      <c r="B564" s="1">
        <v>4152</v>
      </c>
      <c r="C564" s="1" t="s">
        <v>801</v>
      </c>
      <c r="D564" s="1" t="s">
        <v>94</v>
      </c>
      <c r="E564" s="5" t="s">
        <v>1892</v>
      </c>
      <c r="F564" s="4" t="str">
        <f>"241.61"</f>
        <v>241.61</v>
      </c>
      <c r="G564" s="4" t="str">
        <f>"241.61"</f>
        <v>241.61</v>
      </c>
    </row>
    <row r="565" spans="1:7" ht="15.75" customHeight="1" x14ac:dyDescent="0.15">
      <c r="A565" s="1">
        <v>561</v>
      </c>
      <c r="B565" s="1">
        <v>8616</v>
      </c>
      <c r="C565" s="1" t="s">
        <v>699</v>
      </c>
      <c r="D565" s="1" t="s">
        <v>5</v>
      </c>
      <c r="E565" s="5" t="s">
        <v>1892</v>
      </c>
      <c r="F565" s="4" t="str">
        <f>"241.64"</f>
        <v>241.64</v>
      </c>
      <c r="G565" s="4" t="str">
        <f>"256.09"</f>
        <v>256.09</v>
      </c>
    </row>
    <row r="566" spans="1:7" ht="15.75" customHeight="1" x14ac:dyDescent="0.15">
      <c r="A566" s="1">
        <v>562</v>
      </c>
      <c r="B566" s="1">
        <v>2827</v>
      </c>
      <c r="C566" s="1" t="s">
        <v>797</v>
      </c>
      <c r="D566" s="1" t="s">
        <v>18</v>
      </c>
      <c r="E566" s="5" t="s">
        <v>1892</v>
      </c>
      <c r="F566" s="4" t="str">
        <f>"242.19"</f>
        <v>242.19</v>
      </c>
      <c r="G566" s="4" t="str">
        <f>"242.19"</f>
        <v>242.19</v>
      </c>
    </row>
    <row r="567" spans="1:7" ht="15.75" customHeight="1" x14ac:dyDescent="0.15">
      <c r="A567" s="1">
        <v>563</v>
      </c>
      <c r="B567" s="1">
        <v>9905</v>
      </c>
      <c r="C567" s="1" t="s">
        <v>735</v>
      </c>
      <c r="D567" s="1" t="s">
        <v>342</v>
      </c>
      <c r="E567" s="5" t="s">
        <v>1892</v>
      </c>
      <c r="F567" s="4" t="str">
        <f>"242.52"</f>
        <v>242.52</v>
      </c>
      <c r="G567" s="4" t="str">
        <f>"242.52"</f>
        <v>242.52</v>
      </c>
    </row>
    <row r="568" spans="1:7" ht="15.75" customHeight="1" x14ac:dyDescent="0.15">
      <c r="A568" s="1">
        <v>564</v>
      </c>
      <c r="B568" s="1">
        <v>3337</v>
      </c>
      <c r="C568" s="1" t="s">
        <v>738</v>
      </c>
      <c r="D568" s="1" t="s">
        <v>36</v>
      </c>
      <c r="E568" s="5" t="s">
        <v>1892</v>
      </c>
      <c r="F568" s="4" t="str">
        <f>"242.82"</f>
        <v>242.82</v>
      </c>
      <c r="G568" s="4" t="str">
        <f>"242.82"</f>
        <v>242.82</v>
      </c>
    </row>
    <row r="569" spans="1:7" ht="15.75" customHeight="1" x14ac:dyDescent="0.15">
      <c r="A569" s="1">
        <v>565</v>
      </c>
      <c r="B569" s="1">
        <v>10578</v>
      </c>
      <c r="C569" s="1" t="s">
        <v>739</v>
      </c>
      <c r="D569" s="1" t="s">
        <v>5</v>
      </c>
      <c r="E569" s="5" t="s">
        <v>1892</v>
      </c>
      <c r="F569" s="4" t="str">
        <f>"243.19"</f>
        <v>243.19</v>
      </c>
      <c r="G569" s="4" t="str">
        <f>"243.19"</f>
        <v>243.19</v>
      </c>
    </row>
    <row r="570" spans="1:7" ht="15.75" customHeight="1" x14ac:dyDescent="0.15">
      <c r="A570" s="1">
        <v>566</v>
      </c>
      <c r="B570" s="1">
        <v>1308</v>
      </c>
      <c r="C570" s="1" t="s">
        <v>742</v>
      </c>
      <c r="D570" s="1" t="s">
        <v>87</v>
      </c>
      <c r="E570" s="5" t="s">
        <v>1892</v>
      </c>
      <c r="F570" s="4" t="str">
        <f>"243.53"</f>
        <v>243.53</v>
      </c>
      <c r="G570" s="4" t="str">
        <f>"243.53"</f>
        <v>243.53</v>
      </c>
    </row>
    <row r="571" spans="1:7" ht="15.75" customHeight="1" x14ac:dyDescent="0.15">
      <c r="A571" s="1">
        <v>567</v>
      </c>
      <c r="B571" s="1">
        <v>10869</v>
      </c>
      <c r="C571" s="1" t="s">
        <v>616</v>
      </c>
      <c r="D571" s="1" t="s">
        <v>5</v>
      </c>
      <c r="E571" s="5" t="s">
        <v>1892</v>
      </c>
      <c r="F571" s="4" t="str">
        <f>"243.65"</f>
        <v>243.65</v>
      </c>
      <c r="G571" s="4" t="str">
        <f>"274.15"</f>
        <v>274.15</v>
      </c>
    </row>
    <row r="572" spans="1:7" ht="15.75" customHeight="1" x14ac:dyDescent="0.15">
      <c r="A572" s="1">
        <v>568</v>
      </c>
      <c r="B572" s="1">
        <v>3087</v>
      </c>
      <c r="C572" s="1" t="s">
        <v>746</v>
      </c>
      <c r="D572" s="1" t="s">
        <v>20</v>
      </c>
      <c r="E572" s="5" t="s">
        <v>1892</v>
      </c>
      <c r="F572" s="4" t="str">
        <f>"244.45"</f>
        <v>244.45</v>
      </c>
      <c r="G572" s="4" t="str">
        <f>"244.45"</f>
        <v>244.45</v>
      </c>
    </row>
    <row r="573" spans="1:7" ht="15.75" customHeight="1" x14ac:dyDescent="0.15">
      <c r="A573" s="1">
        <v>569</v>
      </c>
      <c r="B573" s="1">
        <v>10292</v>
      </c>
      <c r="C573" s="1" t="s">
        <v>748</v>
      </c>
      <c r="D573" s="1" t="s">
        <v>6</v>
      </c>
      <c r="E573" s="5" t="s">
        <v>1892</v>
      </c>
      <c r="F573" s="4" t="str">
        <f>"244.50"</f>
        <v>244.50</v>
      </c>
      <c r="G573" s="4" t="str">
        <f>"244.50"</f>
        <v>244.50</v>
      </c>
    </row>
    <row r="574" spans="1:7" ht="15.75" customHeight="1" x14ac:dyDescent="0.15">
      <c r="A574" s="1">
        <v>570</v>
      </c>
      <c r="B574" s="1">
        <v>8313</v>
      </c>
      <c r="C574" s="1" t="s">
        <v>711</v>
      </c>
      <c r="D574" s="1" t="s">
        <v>112</v>
      </c>
      <c r="E574" s="5" t="s">
        <v>1892</v>
      </c>
      <c r="F574" s="4" t="str">
        <f>"244.58"</f>
        <v>244.58</v>
      </c>
      <c r="G574" s="4" t="str">
        <f>"256.14"</f>
        <v>256.14</v>
      </c>
    </row>
    <row r="575" spans="1:7" ht="15.75" customHeight="1" x14ac:dyDescent="0.15">
      <c r="A575" s="1">
        <v>571</v>
      </c>
      <c r="B575" s="1">
        <v>8215</v>
      </c>
      <c r="C575" s="1" t="s">
        <v>749</v>
      </c>
      <c r="D575" s="1" t="s">
        <v>51</v>
      </c>
      <c r="E575" s="5" t="s">
        <v>1892</v>
      </c>
      <c r="F575" s="4" t="str">
        <f>"244.69"</f>
        <v>244.69</v>
      </c>
      <c r="G575" s="4" t="str">
        <f>"244.69"</f>
        <v>244.69</v>
      </c>
    </row>
    <row r="576" spans="1:7" ht="15.75" customHeight="1" x14ac:dyDescent="0.15">
      <c r="A576" s="1">
        <v>572</v>
      </c>
      <c r="B576" s="1">
        <v>11375</v>
      </c>
      <c r="C576" s="1" t="s">
        <v>619</v>
      </c>
      <c r="D576" s="1" t="s">
        <v>534</v>
      </c>
      <c r="E576" s="5" t="s">
        <v>1892</v>
      </c>
      <c r="F576" s="4" t="str">
        <f>"244.72"</f>
        <v>244.72</v>
      </c>
      <c r="G576" s="4"/>
    </row>
    <row r="577" spans="1:7" ht="15.75" customHeight="1" x14ac:dyDescent="0.15">
      <c r="A577" s="1">
        <v>573</v>
      </c>
      <c r="B577" s="1">
        <v>2309</v>
      </c>
      <c r="C577" s="1" t="s">
        <v>622</v>
      </c>
      <c r="D577" s="1" t="s">
        <v>5</v>
      </c>
      <c r="E577" s="5" t="s">
        <v>1892</v>
      </c>
      <c r="F577" s="4" t="str">
        <f>"245.03"</f>
        <v>245.03</v>
      </c>
      <c r="G577" s="4" t="str">
        <f>"315.66"</f>
        <v>315.66</v>
      </c>
    </row>
    <row r="578" spans="1:7" ht="15.75" customHeight="1" x14ac:dyDescent="0.15">
      <c r="A578" s="1">
        <v>574</v>
      </c>
      <c r="B578" s="1">
        <v>10499</v>
      </c>
      <c r="C578" s="1" t="s">
        <v>417</v>
      </c>
      <c r="D578" s="1" t="s">
        <v>5</v>
      </c>
      <c r="E578" s="5" t="s">
        <v>1892</v>
      </c>
      <c r="F578" s="4" t="str">
        <f>"245.07"</f>
        <v>245.07</v>
      </c>
      <c r="G578" s="4" t="str">
        <f>"341.08"</f>
        <v>341.08</v>
      </c>
    </row>
    <row r="579" spans="1:7" ht="15.75" customHeight="1" x14ac:dyDescent="0.15">
      <c r="A579" s="1">
        <v>575</v>
      </c>
      <c r="B579" s="1">
        <v>10209</v>
      </c>
      <c r="C579" s="1" t="s">
        <v>665</v>
      </c>
      <c r="D579" s="1" t="s">
        <v>5</v>
      </c>
      <c r="E579" s="5" t="s">
        <v>1892</v>
      </c>
      <c r="F579" s="4" t="str">
        <f>"245.16"</f>
        <v>245.16</v>
      </c>
      <c r="G579" s="4" t="str">
        <f>"248.81"</f>
        <v>248.81</v>
      </c>
    </row>
    <row r="580" spans="1:7" ht="15.75" customHeight="1" x14ac:dyDescent="0.15">
      <c r="A580" s="1">
        <v>576</v>
      </c>
      <c r="B580" s="1">
        <v>2200</v>
      </c>
      <c r="C580" s="1" t="s">
        <v>752</v>
      </c>
      <c r="D580" s="1" t="s">
        <v>5</v>
      </c>
      <c r="E580" s="5" t="s">
        <v>1892</v>
      </c>
      <c r="F580" s="4" t="str">
        <f>"245.71"</f>
        <v>245.71</v>
      </c>
      <c r="G580" s="4" t="str">
        <f>"245.71"</f>
        <v>245.71</v>
      </c>
    </row>
    <row r="581" spans="1:7" ht="15.75" customHeight="1" x14ac:dyDescent="0.15">
      <c r="A581" s="1">
        <v>577</v>
      </c>
      <c r="B581" s="1">
        <v>8438</v>
      </c>
      <c r="C581" s="1" t="s">
        <v>727</v>
      </c>
      <c r="D581" s="1" t="s">
        <v>33</v>
      </c>
      <c r="E581" s="5" t="s">
        <v>1892</v>
      </c>
      <c r="F581" s="4" t="str">
        <f>"246.31"</f>
        <v>246.31</v>
      </c>
      <c r="G581" s="4" t="str">
        <f>"252.90"</f>
        <v>252.90</v>
      </c>
    </row>
    <row r="582" spans="1:7" ht="15.75" customHeight="1" x14ac:dyDescent="0.15">
      <c r="A582" s="1">
        <v>578</v>
      </c>
      <c r="B582" s="1">
        <v>7357</v>
      </c>
      <c r="C582" s="1" t="s">
        <v>874</v>
      </c>
      <c r="D582" s="1" t="s">
        <v>21</v>
      </c>
      <c r="E582" s="5" t="s">
        <v>1892</v>
      </c>
      <c r="F582" s="4" t="str">
        <f>"246.55"</f>
        <v>246.55</v>
      </c>
      <c r="G582" s="4" t="str">
        <f>"246.55"</f>
        <v>246.55</v>
      </c>
    </row>
    <row r="583" spans="1:7" ht="15.75" customHeight="1" x14ac:dyDescent="0.15">
      <c r="A583" s="1">
        <v>579</v>
      </c>
      <c r="B583" s="1">
        <v>4267</v>
      </c>
      <c r="C583" s="1" t="s">
        <v>755</v>
      </c>
      <c r="D583" s="1" t="s">
        <v>93</v>
      </c>
      <c r="E583" s="5" t="s">
        <v>1892</v>
      </c>
      <c r="F583" s="4" t="str">
        <f>"246.59"</f>
        <v>246.59</v>
      </c>
      <c r="G583" s="4" t="str">
        <f>"246.59"</f>
        <v>246.59</v>
      </c>
    </row>
    <row r="584" spans="1:7" ht="15.75" customHeight="1" x14ac:dyDescent="0.15">
      <c r="A584" s="1">
        <v>580</v>
      </c>
      <c r="B584" s="1">
        <v>10954</v>
      </c>
      <c r="C584" s="1" t="s">
        <v>757</v>
      </c>
      <c r="D584" s="1" t="s">
        <v>44</v>
      </c>
      <c r="E584" s="5" t="s">
        <v>1892</v>
      </c>
      <c r="F584" s="4" t="str">
        <f>"247.04"</f>
        <v>247.04</v>
      </c>
      <c r="G584" s="4" t="str">
        <f>"247.04"</f>
        <v>247.04</v>
      </c>
    </row>
    <row r="585" spans="1:7" ht="15.75" customHeight="1" x14ac:dyDescent="0.15">
      <c r="A585" s="1">
        <v>581</v>
      </c>
      <c r="B585" s="1">
        <v>2276</v>
      </c>
      <c r="C585" s="1" t="s">
        <v>758</v>
      </c>
      <c r="D585" s="1" t="s">
        <v>51</v>
      </c>
      <c r="E585" s="5" t="s">
        <v>1892</v>
      </c>
      <c r="F585" s="4" t="str">
        <f>"247.07"</f>
        <v>247.07</v>
      </c>
      <c r="G585" s="4" t="str">
        <f>"247.07"</f>
        <v>247.07</v>
      </c>
    </row>
    <row r="586" spans="1:7" ht="15.75" customHeight="1" x14ac:dyDescent="0.15">
      <c r="A586" s="1">
        <v>582</v>
      </c>
      <c r="B586" s="1">
        <v>7481</v>
      </c>
      <c r="C586" s="1" t="s">
        <v>767</v>
      </c>
      <c r="D586" s="1" t="s">
        <v>14</v>
      </c>
      <c r="E586" s="5" t="s">
        <v>1892</v>
      </c>
      <c r="F586" s="4" t="str">
        <f>"248.05"</f>
        <v>248.05</v>
      </c>
      <c r="G586" s="4" t="str">
        <f>"248.05"</f>
        <v>248.05</v>
      </c>
    </row>
    <row r="587" spans="1:7" ht="15.75" customHeight="1" x14ac:dyDescent="0.15">
      <c r="A587" s="1">
        <v>583</v>
      </c>
      <c r="B587" s="1">
        <v>2919</v>
      </c>
      <c r="C587" s="1" t="s">
        <v>631</v>
      </c>
      <c r="D587" s="1" t="s">
        <v>66</v>
      </c>
      <c r="E587" s="5" t="s">
        <v>1892</v>
      </c>
      <c r="F587" s="4" t="str">
        <f>"248.45"</f>
        <v>248.45</v>
      </c>
      <c r="G587" s="4" t="str">
        <f>"304.46"</f>
        <v>304.46</v>
      </c>
    </row>
    <row r="588" spans="1:7" ht="15.75" customHeight="1" x14ac:dyDescent="0.15">
      <c r="A588" s="1">
        <v>584</v>
      </c>
      <c r="B588" s="1">
        <v>7468</v>
      </c>
      <c r="C588" s="1" t="s">
        <v>760</v>
      </c>
      <c r="D588" s="1" t="s">
        <v>41</v>
      </c>
      <c r="E588" s="5" t="s">
        <v>1892</v>
      </c>
      <c r="F588" s="4" t="str">
        <f>"248.47"</f>
        <v>248.47</v>
      </c>
      <c r="G588" s="4" t="str">
        <f>"248.47"</f>
        <v>248.47</v>
      </c>
    </row>
    <row r="589" spans="1:7" ht="15.75" customHeight="1" x14ac:dyDescent="0.15">
      <c r="A589" s="1">
        <v>585</v>
      </c>
      <c r="B589" s="1">
        <v>1989</v>
      </c>
      <c r="C589" s="1" t="s">
        <v>761</v>
      </c>
      <c r="D589" s="1" t="s">
        <v>8</v>
      </c>
      <c r="E589" s="5" t="s">
        <v>1892</v>
      </c>
      <c r="F589" s="4" t="str">
        <f>"248.53"</f>
        <v>248.53</v>
      </c>
      <c r="G589" s="4" t="str">
        <f>"248.53"</f>
        <v>248.53</v>
      </c>
    </row>
    <row r="590" spans="1:7" ht="15.75" customHeight="1" x14ac:dyDescent="0.15">
      <c r="A590" s="1">
        <v>586</v>
      </c>
      <c r="B590" s="1">
        <v>1275</v>
      </c>
      <c r="C590" s="1" t="s">
        <v>754</v>
      </c>
      <c r="D590" s="1" t="s">
        <v>66</v>
      </c>
      <c r="E590" s="5" t="s">
        <v>1892</v>
      </c>
      <c r="F590" s="4" t="str">
        <f>"248.58"</f>
        <v>248.58</v>
      </c>
      <c r="G590" s="4" t="str">
        <f>"251.18"</f>
        <v>251.18</v>
      </c>
    </row>
    <row r="591" spans="1:7" ht="15.75" customHeight="1" x14ac:dyDescent="0.15">
      <c r="A591" s="1">
        <v>587</v>
      </c>
      <c r="B591" s="1">
        <v>10383</v>
      </c>
      <c r="C591" s="1" t="s">
        <v>765</v>
      </c>
      <c r="D591" s="1" t="s">
        <v>19</v>
      </c>
      <c r="E591" s="5" t="s">
        <v>1892</v>
      </c>
      <c r="F591" s="4" t="str">
        <f>"249.25"</f>
        <v>249.25</v>
      </c>
      <c r="G591" s="4" t="str">
        <f>"249.25"</f>
        <v>249.25</v>
      </c>
    </row>
    <row r="592" spans="1:7" ht="15.75" customHeight="1" x14ac:dyDescent="0.15">
      <c r="A592" s="1">
        <v>588</v>
      </c>
      <c r="B592" s="1">
        <v>9961</v>
      </c>
      <c r="C592" s="1" t="s">
        <v>766</v>
      </c>
      <c r="D592" s="1" t="s">
        <v>19</v>
      </c>
      <c r="E592" s="5" t="s">
        <v>1892</v>
      </c>
      <c r="F592" s="4" t="str">
        <f>"249.48"</f>
        <v>249.48</v>
      </c>
      <c r="G592" s="4" t="str">
        <f>"249.48"</f>
        <v>249.48</v>
      </c>
    </row>
    <row r="593" spans="1:7" ht="15.75" customHeight="1" x14ac:dyDescent="0.15">
      <c r="A593" s="1">
        <v>589</v>
      </c>
      <c r="B593" s="1">
        <v>6471</v>
      </c>
      <c r="C593" s="1" t="s">
        <v>770</v>
      </c>
      <c r="D593" s="1" t="s">
        <v>94</v>
      </c>
      <c r="E593" s="5" t="s">
        <v>1892</v>
      </c>
      <c r="F593" s="4" t="str">
        <f>"250.10"</f>
        <v>250.10</v>
      </c>
      <c r="G593" s="4" t="str">
        <f>"250.10"</f>
        <v>250.10</v>
      </c>
    </row>
    <row r="594" spans="1:7" ht="15.75" customHeight="1" x14ac:dyDescent="0.15">
      <c r="A594" s="1">
        <v>590</v>
      </c>
      <c r="B594" s="1">
        <v>10298</v>
      </c>
      <c r="C594" s="1" t="s">
        <v>771</v>
      </c>
      <c r="D594" s="1" t="s">
        <v>13</v>
      </c>
      <c r="E594" s="5" t="s">
        <v>1892</v>
      </c>
      <c r="F594" s="4" t="str">
        <f>"250.16"</f>
        <v>250.16</v>
      </c>
      <c r="G594" s="4" t="str">
        <f>"250.16"</f>
        <v>250.16</v>
      </c>
    </row>
    <row r="595" spans="1:7" ht="15.75" customHeight="1" x14ac:dyDescent="0.15">
      <c r="A595" s="1">
        <v>591</v>
      </c>
      <c r="B595" s="1">
        <v>6414</v>
      </c>
      <c r="C595" s="1" t="s">
        <v>639</v>
      </c>
      <c r="D595" s="1" t="s">
        <v>73</v>
      </c>
      <c r="E595" s="5" t="s">
        <v>1892</v>
      </c>
      <c r="F595" s="4" t="str">
        <f>"250.45"</f>
        <v>250.45</v>
      </c>
      <c r="G595" s="4" t="str">
        <f>"356.31"</f>
        <v>356.31</v>
      </c>
    </row>
    <row r="596" spans="1:7" ht="15.75" customHeight="1" x14ac:dyDescent="0.15">
      <c r="A596" s="1">
        <v>592</v>
      </c>
      <c r="B596" s="1">
        <v>11354</v>
      </c>
      <c r="C596" s="1" t="s">
        <v>640</v>
      </c>
      <c r="D596" s="1" t="s">
        <v>77</v>
      </c>
      <c r="E596" s="5" t="s">
        <v>1892</v>
      </c>
      <c r="F596" s="4" t="str">
        <f>"250.64"</f>
        <v>250.64</v>
      </c>
      <c r="G596" s="4"/>
    </row>
    <row r="597" spans="1:7" ht="15.75" customHeight="1" x14ac:dyDescent="0.15">
      <c r="A597" s="1">
        <v>593</v>
      </c>
      <c r="B597" s="1">
        <v>3418</v>
      </c>
      <c r="C597" s="1" t="s">
        <v>773</v>
      </c>
      <c r="D597" s="1" t="s">
        <v>27</v>
      </c>
      <c r="E597" s="5" t="s">
        <v>1892</v>
      </c>
      <c r="F597" s="4" t="str">
        <f>"251.04"</f>
        <v>251.04</v>
      </c>
      <c r="G597" s="4" t="str">
        <f>"251.04"</f>
        <v>251.04</v>
      </c>
    </row>
    <row r="598" spans="1:7" ht="15.75" customHeight="1" x14ac:dyDescent="0.15">
      <c r="A598" s="1">
        <v>594</v>
      </c>
      <c r="B598" s="1">
        <v>10109</v>
      </c>
      <c r="C598" s="1" t="s">
        <v>643</v>
      </c>
      <c r="D598" s="1" t="s">
        <v>23</v>
      </c>
      <c r="E598" s="5" t="s">
        <v>1892</v>
      </c>
      <c r="F598" s="4" t="str">
        <f>"251.25"</f>
        <v>251.25</v>
      </c>
      <c r="G598" s="4"/>
    </row>
    <row r="599" spans="1:7" ht="15.75" customHeight="1" x14ac:dyDescent="0.15">
      <c r="A599" s="1">
        <v>595</v>
      </c>
      <c r="B599" s="1">
        <v>6697</v>
      </c>
      <c r="C599" s="1" t="s">
        <v>701</v>
      </c>
      <c r="D599" s="1" t="s">
        <v>488</v>
      </c>
      <c r="E599" s="5" t="s">
        <v>1892</v>
      </c>
      <c r="F599" s="4" t="str">
        <f>"251.27"</f>
        <v>251.27</v>
      </c>
      <c r="G599" s="4" t="str">
        <f>"258.50"</f>
        <v>258.50</v>
      </c>
    </row>
    <row r="600" spans="1:7" ht="15.75" customHeight="1" x14ac:dyDescent="0.15">
      <c r="A600" s="1">
        <v>596</v>
      </c>
      <c r="B600" s="1">
        <v>6657</v>
      </c>
      <c r="C600" s="1" t="s">
        <v>774</v>
      </c>
      <c r="D600" s="1" t="s">
        <v>18</v>
      </c>
      <c r="E600" s="5" t="s">
        <v>1892</v>
      </c>
      <c r="F600" s="4" t="str">
        <f>"251.55"</f>
        <v>251.55</v>
      </c>
      <c r="G600" s="4" t="str">
        <f>"251.55"</f>
        <v>251.55</v>
      </c>
    </row>
    <row r="601" spans="1:7" ht="15.75" customHeight="1" x14ac:dyDescent="0.15">
      <c r="A601" s="1">
        <v>597</v>
      </c>
      <c r="B601" s="1">
        <v>3972</v>
      </c>
      <c r="C601" s="1" t="s">
        <v>698</v>
      </c>
      <c r="D601" s="1" t="s">
        <v>31</v>
      </c>
      <c r="E601" s="5" t="s">
        <v>1892</v>
      </c>
      <c r="F601" s="4" t="str">
        <f>"252.75"</f>
        <v>252.75</v>
      </c>
      <c r="G601" s="4" t="str">
        <f>"256.09"</f>
        <v>256.09</v>
      </c>
    </row>
    <row r="602" spans="1:7" ht="15.75" customHeight="1" x14ac:dyDescent="0.15">
      <c r="A602" s="1">
        <v>598</v>
      </c>
      <c r="B602" s="1">
        <v>4253</v>
      </c>
      <c r="C602" s="1" t="s">
        <v>776</v>
      </c>
      <c r="D602" s="1" t="s">
        <v>94</v>
      </c>
      <c r="E602" s="5" t="s">
        <v>1892</v>
      </c>
      <c r="F602" s="4" t="str">
        <f>"253.04"</f>
        <v>253.04</v>
      </c>
      <c r="G602" s="4" t="str">
        <f>"253.04"</f>
        <v>253.04</v>
      </c>
    </row>
    <row r="603" spans="1:7" ht="15.75" customHeight="1" x14ac:dyDescent="0.15">
      <c r="A603" s="1">
        <v>599</v>
      </c>
      <c r="B603" s="1">
        <v>7124</v>
      </c>
      <c r="C603" s="1" t="s">
        <v>778</v>
      </c>
      <c r="D603" s="1" t="s">
        <v>250</v>
      </c>
      <c r="E603" s="5" t="s">
        <v>1892</v>
      </c>
      <c r="F603" s="4" t="str">
        <f>"253.58"</f>
        <v>253.58</v>
      </c>
      <c r="G603" s="4" t="str">
        <f>"253.58"</f>
        <v>253.58</v>
      </c>
    </row>
    <row r="604" spans="1:7" ht="15.75" customHeight="1" x14ac:dyDescent="0.15">
      <c r="A604" s="1">
        <v>600</v>
      </c>
      <c r="B604" s="1">
        <v>2242</v>
      </c>
      <c r="C604" s="1" t="s">
        <v>649</v>
      </c>
      <c r="D604" s="1" t="s">
        <v>5</v>
      </c>
      <c r="E604" s="5" t="s">
        <v>1892</v>
      </c>
      <c r="F604" s="4" t="str">
        <f>"253.91"</f>
        <v>253.91</v>
      </c>
      <c r="G604" s="4" t="str">
        <f>"311.41"</f>
        <v>311.41</v>
      </c>
    </row>
    <row r="605" spans="1:7" ht="15.75" customHeight="1" x14ac:dyDescent="0.15">
      <c r="A605" s="1">
        <v>601</v>
      </c>
      <c r="B605" s="1">
        <v>7783</v>
      </c>
      <c r="C605" s="1" t="s">
        <v>779</v>
      </c>
      <c r="D605" s="1" t="s">
        <v>22</v>
      </c>
      <c r="E605" s="5" t="s">
        <v>1892</v>
      </c>
      <c r="F605" s="4" t="str">
        <f>"254.41"</f>
        <v>254.41</v>
      </c>
      <c r="G605" s="4" t="str">
        <f>"254.41"</f>
        <v>254.41</v>
      </c>
    </row>
    <row r="606" spans="1:7" ht="15.75" customHeight="1" x14ac:dyDescent="0.15">
      <c r="A606" s="1">
        <v>602</v>
      </c>
      <c r="B606" s="1">
        <v>8311</v>
      </c>
      <c r="C606" s="1" t="s">
        <v>780</v>
      </c>
      <c r="D606" s="1" t="s">
        <v>89</v>
      </c>
      <c r="E606" s="5" t="s">
        <v>1892</v>
      </c>
      <c r="F606" s="4" t="str">
        <f>"254.49"</f>
        <v>254.49</v>
      </c>
      <c r="G606" s="4" t="str">
        <f>"254.49"</f>
        <v>254.49</v>
      </c>
    </row>
    <row r="607" spans="1:7" ht="15.75" customHeight="1" x14ac:dyDescent="0.15">
      <c r="A607" s="1">
        <v>603</v>
      </c>
      <c r="B607" s="1">
        <v>10190</v>
      </c>
      <c r="C607" s="1" t="s">
        <v>650</v>
      </c>
      <c r="D607" s="1" t="s">
        <v>5</v>
      </c>
      <c r="E607" s="5" t="s">
        <v>1892</v>
      </c>
      <c r="F607" s="4" t="str">
        <f>"254.59"</f>
        <v>254.59</v>
      </c>
      <c r="G607" s="4" t="str">
        <f>"329.69"</f>
        <v>329.69</v>
      </c>
    </row>
    <row r="608" spans="1:7" ht="15.75" customHeight="1" x14ac:dyDescent="0.15">
      <c r="A608" s="1">
        <v>604</v>
      </c>
      <c r="B608" s="1">
        <v>4873</v>
      </c>
      <c r="C608" s="1" t="s">
        <v>651</v>
      </c>
      <c r="D608" s="1" t="s">
        <v>51</v>
      </c>
      <c r="E608" s="5" t="s">
        <v>1892</v>
      </c>
      <c r="F608" s="4" t="str">
        <f>"254.68"</f>
        <v>254.68</v>
      </c>
      <c r="G608" s="4" t="str">
        <f>"332.59"</f>
        <v>332.59</v>
      </c>
    </row>
    <row r="609" spans="1:7" ht="15.75" customHeight="1" x14ac:dyDescent="0.15">
      <c r="A609" s="1">
        <v>605</v>
      </c>
      <c r="B609" s="1">
        <v>5503</v>
      </c>
      <c r="C609" s="1" t="s">
        <v>782</v>
      </c>
      <c r="D609" s="1" t="s">
        <v>22</v>
      </c>
      <c r="E609" s="5" t="s">
        <v>1892</v>
      </c>
      <c r="F609" s="4" t="str">
        <f>"255.04"</f>
        <v>255.04</v>
      </c>
      <c r="G609" s="4" t="str">
        <f>"255.04"</f>
        <v>255.04</v>
      </c>
    </row>
    <row r="610" spans="1:7" ht="15.75" customHeight="1" x14ac:dyDescent="0.15">
      <c r="A610" s="1">
        <v>606</v>
      </c>
      <c r="B610" s="1">
        <v>7604</v>
      </c>
      <c r="C610" s="1" t="s">
        <v>789</v>
      </c>
      <c r="D610" s="1" t="s">
        <v>28</v>
      </c>
      <c r="E610" s="5" t="s">
        <v>1892</v>
      </c>
      <c r="F610" s="4" t="str">
        <f>"255.10"</f>
        <v>255.10</v>
      </c>
      <c r="G610" s="4" t="str">
        <f>"255.10"</f>
        <v>255.10</v>
      </c>
    </row>
    <row r="611" spans="1:7" ht="15.75" customHeight="1" x14ac:dyDescent="0.15">
      <c r="A611" s="1">
        <v>607</v>
      </c>
      <c r="B611" s="1">
        <v>3093</v>
      </c>
      <c r="C611" s="1" t="s">
        <v>783</v>
      </c>
      <c r="D611" s="1" t="s">
        <v>54</v>
      </c>
      <c r="E611" s="5" t="s">
        <v>1892</v>
      </c>
      <c r="F611" s="4" t="str">
        <f>"255.43"</f>
        <v>255.43</v>
      </c>
      <c r="G611" s="4" t="str">
        <f>"255.43"</f>
        <v>255.43</v>
      </c>
    </row>
    <row r="612" spans="1:7" ht="15.75" customHeight="1" x14ac:dyDescent="0.15">
      <c r="A612" s="1">
        <v>608</v>
      </c>
      <c r="B612" s="1">
        <v>2382</v>
      </c>
      <c r="C612" s="1" t="s">
        <v>762</v>
      </c>
      <c r="D612" s="1" t="s">
        <v>35</v>
      </c>
      <c r="E612" s="5" t="s">
        <v>1892</v>
      </c>
      <c r="F612" s="4" t="str">
        <f>"255.46"</f>
        <v>255.46</v>
      </c>
      <c r="G612" s="4" t="str">
        <f>"262.25"</f>
        <v>262.25</v>
      </c>
    </row>
    <row r="613" spans="1:7" ht="15.75" customHeight="1" x14ac:dyDescent="0.15">
      <c r="A613" s="1">
        <v>609</v>
      </c>
      <c r="B613" s="1">
        <v>3756</v>
      </c>
      <c r="C613" s="1" t="s">
        <v>784</v>
      </c>
      <c r="D613" s="1" t="s">
        <v>28</v>
      </c>
      <c r="E613" s="5" t="s">
        <v>1892</v>
      </c>
      <c r="F613" s="4" t="str">
        <f>"255.52"</f>
        <v>255.52</v>
      </c>
      <c r="G613" s="4" t="str">
        <f>"255.52"</f>
        <v>255.52</v>
      </c>
    </row>
    <row r="614" spans="1:7" ht="15.75" customHeight="1" x14ac:dyDescent="0.15">
      <c r="A614" s="1">
        <v>610</v>
      </c>
      <c r="B614" s="1">
        <v>2836</v>
      </c>
      <c r="C614" s="1" t="s">
        <v>655</v>
      </c>
      <c r="D614" s="1" t="s">
        <v>45</v>
      </c>
      <c r="E614" s="5" t="s">
        <v>1892</v>
      </c>
      <c r="F614" s="4" t="str">
        <f>"255.59"</f>
        <v>255.59</v>
      </c>
      <c r="G614" s="4"/>
    </row>
    <row r="615" spans="1:7" ht="15.75" customHeight="1" x14ac:dyDescent="0.15">
      <c r="A615" s="1">
        <v>611</v>
      </c>
      <c r="B615" s="1">
        <v>1278</v>
      </c>
      <c r="C615" s="1" t="s">
        <v>843</v>
      </c>
      <c r="D615" s="1" t="s">
        <v>31</v>
      </c>
      <c r="E615" s="5" t="s">
        <v>1892</v>
      </c>
      <c r="F615" s="4" t="str">
        <f>"255.78"</f>
        <v>255.78</v>
      </c>
      <c r="G615" s="4" t="str">
        <f>"255.78"</f>
        <v>255.78</v>
      </c>
    </row>
    <row r="616" spans="1:7" ht="15.75" customHeight="1" x14ac:dyDescent="0.15">
      <c r="A616" s="1">
        <v>612</v>
      </c>
      <c r="B616" s="1">
        <v>5356</v>
      </c>
      <c r="C616" s="1" t="s">
        <v>785</v>
      </c>
      <c r="D616" s="1" t="s">
        <v>57</v>
      </c>
      <c r="E616" s="5" t="s">
        <v>1892</v>
      </c>
      <c r="F616" s="4" t="str">
        <f>"255.84"</f>
        <v>255.84</v>
      </c>
      <c r="G616" s="4" t="str">
        <f>"255.84"</f>
        <v>255.84</v>
      </c>
    </row>
    <row r="617" spans="1:7" ht="15.75" customHeight="1" x14ac:dyDescent="0.15">
      <c r="A617" s="1">
        <v>613</v>
      </c>
      <c r="B617" s="1">
        <v>2319</v>
      </c>
      <c r="C617" s="1" t="s">
        <v>694</v>
      </c>
      <c r="D617" s="1" t="s">
        <v>5</v>
      </c>
      <c r="E617" s="5" t="s">
        <v>1892</v>
      </c>
      <c r="F617" s="4" t="str">
        <f>"256.11"</f>
        <v>256.11</v>
      </c>
      <c r="G617" s="4" t="str">
        <f>"257.49"</f>
        <v>257.49</v>
      </c>
    </row>
    <row r="618" spans="1:7" ht="15.75" customHeight="1" x14ac:dyDescent="0.15">
      <c r="A618" s="1">
        <v>614</v>
      </c>
      <c r="B618" s="1">
        <v>4000</v>
      </c>
      <c r="C618" s="1" t="s">
        <v>787</v>
      </c>
      <c r="D618" s="1" t="s">
        <v>73</v>
      </c>
      <c r="E618" s="5" t="s">
        <v>1892</v>
      </c>
      <c r="F618" s="4" t="str">
        <f>"256.21"</f>
        <v>256.21</v>
      </c>
      <c r="G618" s="4" t="str">
        <f>"256.21"</f>
        <v>256.21</v>
      </c>
    </row>
    <row r="619" spans="1:7" ht="15.75" customHeight="1" x14ac:dyDescent="0.15">
      <c r="A619" s="1">
        <v>615</v>
      </c>
      <c r="B619" s="1">
        <v>6556</v>
      </c>
      <c r="C619" s="1" t="s">
        <v>781</v>
      </c>
      <c r="D619" s="1" t="s">
        <v>141</v>
      </c>
      <c r="E619" s="5" t="s">
        <v>1892</v>
      </c>
      <c r="F619" s="4" t="str">
        <f>"256.71"</f>
        <v>256.71</v>
      </c>
      <c r="G619" s="4" t="str">
        <f>"258.49"</f>
        <v>258.49</v>
      </c>
    </row>
    <row r="620" spans="1:7" ht="15.75" customHeight="1" x14ac:dyDescent="0.15">
      <c r="A620" s="1">
        <v>616</v>
      </c>
      <c r="B620" s="1">
        <v>10951</v>
      </c>
      <c r="C620" s="1" t="s">
        <v>662</v>
      </c>
      <c r="D620" s="1" t="s">
        <v>44</v>
      </c>
      <c r="E620" s="5" t="s">
        <v>1892</v>
      </c>
      <c r="F620" s="4" t="str">
        <f>"256.80"</f>
        <v>256.80</v>
      </c>
      <c r="G620" s="4"/>
    </row>
    <row r="621" spans="1:7" ht="15.75" customHeight="1" x14ac:dyDescent="0.15">
      <c r="A621" s="1">
        <v>617</v>
      </c>
      <c r="B621" s="1">
        <v>10135</v>
      </c>
      <c r="C621" s="1" t="s">
        <v>1039</v>
      </c>
      <c r="D621" s="1" t="s">
        <v>5</v>
      </c>
      <c r="E621" s="5" t="s">
        <v>1892</v>
      </c>
      <c r="F621" s="4" t="str">
        <f>"257.47"</f>
        <v>257.47</v>
      </c>
      <c r="G621" s="4" t="str">
        <f>"257.47"</f>
        <v>257.47</v>
      </c>
    </row>
    <row r="622" spans="1:7" ht="15.75" customHeight="1" x14ac:dyDescent="0.15">
      <c r="A622" s="1">
        <v>618</v>
      </c>
      <c r="B622" s="1">
        <v>2174</v>
      </c>
      <c r="C622" s="1" t="s">
        <v>798</v>
      </c>
      <c r="D622" s="1" t="s">
        <v>5</v>
      </c>
      <c r="E622" s="5" t="s">
        <v>1892</v>
      </c>
      <c r="F622" s="4" t="str">
        <f>"257.87"</f>
        <v>257.87</v>
      </c>
      <c r="G622" s="4" t="str">
        <f>"257.87"</f>
        <v>257.87</v>
      </c>
    </row>
    <row r="623" spans="1:7" ht="15.75" customHeight="1" x14ac:dyDescent="0.15">
      <c r="A623" s="1">
        <v>619</v>
      </c>
      <c r="B623" s="1">
        <v>2766</v>
      </c>
      <c r="C623" s="1" t="s">
        <v>763</v>
      </c>
      <c r="D623" s="1" t="s">
        <v>93</v>
      </c>
      <c r="E623" s="5" t="s">
        <v>1892</v>
      </c>
      <c r="F623" s="4" t="str">
        <f>"257.89"</f>
        <v>257.89</v>
      </c>
      <c r="G623" s="4" t="str">
        <f>"266.98"</f>
        <v>266.98</v>
      </c>
    </row>
    <row r="624" spans="1:7" ht="15.75" customHeight="1" x14ac:dyDescent="0.15">
      <c r="A624" s="1">
        <v>620</v>
      </c>
      <c r="B624" s="1">
        <v>2296</v>
      </c>
      <c r="C624" s="1" t="s">
        <v>667</v>
      </c>
      <c r="D624" s="1" t="s">
        <v>5</v>
      </c>
      <c r="E624" s="5" t="s">
        <v>1892</v>
      </c>
      <c r="F624" s="4" t="str">
        <f>"259.35"</f>
        <v>259.35</v>
      </c>
      <c r="G624" s="4" t="str">
        <f>"468.22"</f>
        <v>468.22</v>
      </c>
    </row>
    <row r="625" spans="1:7" ht="15.75" customHeight="1" x14ac:dyDescent="0.15">
      <c r="A625" s="1">
        <v>621</v>
      </c>
      <c r="B625" s="1">
        <v>4496</v>
      </c>
      <c r="C625" s="1" t="s">
        <v>791</v>
      </c>
      <c r="D625" s="1" t="s">
        <v>11</v>
      </c>
      <c r="E625" s="5" t="s">
        <v>1892</v>
      </c>
      <c r="F625" s="4" t="str">
        <f>"259.49"</f>
        <v>259.49</v>
      </c>
      <c r="G625" s="4" t="str">
        <f>"259.49"</f>
        <v>259.49</v>
      </c>
    </row>
    <row r="626" spans="1:7" ht="15.75" customHeight="1" x14ac:dyDescent="0.15">
      <c r="A626" s="1">
        <v>622</v>
      </c>
      <c r="B626" s="1">
        <v>3370</v>
      </c>
      <c r="C626" s="1" t="s">
        <v>792</v>
      </c>
      <c r="D626" s="1" t="s">
        <v>33</v>
      </c>
      <c r="E626" s="5" t="s">
        <v>1892</v>
      </c>
      <c r="F626" s="4" t="str">
        <f>"260.22"</f>
        <v>260.22</v>
      </c>
      <c r="G626" s="4" t="str">
        <f>"260.22"</f>
        <v>260.22</v>
      </c>
    </row>
    <row r="627" spans="1:7" ht="15.75" customHeight="1" x14ac:dyDescent="0.15">
      <c r="A627" s="1">
        <v>623</v>
      </c>
      <c r="B627" s="1">
        <v>6979</v>
      </c>
      <c r="C627" s="1" t="s">
        <v>790</v>
      </c>
      <c r="D627" s="1" t="s">
        <v>312</v>
      </c>
      <c r="E627" s="5" t="s">
        <v>1892</v>
      </c>
      <c r="F627" s="4" t="str">
        <f>"260.23"</f>
        <v>260.23</v>
      </c>
      <c r="G627" s="4" t="str">
        <f>"260.23"</f>
        <v>260.23</v>
      </c>
    </row>
    <row r="628" spans="1:7" ht="15.75" customHeight="1" x14ac:dyDescent="0.15">
      <c r="A628" s="1">
        <v>624</v>
      </c>
      <c r="B628" s="1">
        <v>1519</v>
      </c>
      <c r="C628" s="1" t="s">
        <v>793</v>
      </c>
      <c r="D628" s="1" t="s">
        <v>28</v>
      </c>
      <c r="E628" s="5" t="s">
        <v>1892</v>
      </c>
      <c r="F628" s="4" t="str">
        <f>"260.33"</f>
        <v>260.33</v>
      </c>
      <c r="G628" s="4" t="str">
        <f>"260.33"</f>
        <v>260.33</v>
      </c>
    </row>
    <row r="629" spans="1:7" ht="15.75" customHeight="1" x14ac:dyDescent="0.15">
      <c r="A629" s="1">
        <v>625</v>
      </c>
      <c r="B629" s="1">
        <v>10691</v>
      </c>
      <c r="C629" s="1" t="s">
        <v>584</v>
      </c>
      <c r="D629" s="1" t="s">
        <v>19</v>
      </c>
      <c r="E629" s="5" t="s">
        <v>1892</v>
      </c>
      <c r="F629" s="4" t="str">
        <f>"260.63"</f>
        <v>260.63</v>
      </c>
      <c r="G629" s="4" t="str">
        <f>"325.43"</f>
        <v>325.43</v>
      </c>
    </row>
    <row r="630" spans="1:7" ht="15.75" customHeight="1" x14ac:dyDescent="0.15">
      <c r="A630" s="1">
        <v>626</v>
      </c>
      <c r="B630" s="1">
        <v>7651</v>
      </c>
      <c r="C630" s="1" t="s">
        <v>670</v>
      </c>
      <c r="D630" s="1" t="s">
        <v>74</v>
      </c>
      <c r="E630" s="5" t="s">
        <v>1892</v>
      </c>
      <c r="F630" s="4" t="str">
        <f>"260.66"</f>
        <v>260.66</v>
      </c>
      <c r="G630" s="4" t="str">
        <f>"326.22"</f>
        <v>326.22</v>
      </c>
    </row>
    <row r="631" spans="1:7" ht="15.75" customHeight="1" x14ac:dyDescent="0.15">
      <c r="A631" s="1">
        <v>627</v>
      </c>
      <c r="B631" s="1">
        <v>1236</v>
      </c>
      <c r="C631" s="1" t="s">
        <v>697</v>
      </c>
      <c r="D631" s="1" t="s">
        <v>93</v>
      </c>
      <c r="E631" s="5" t="s">
        <v>1892</v>
      </c>
      <c r="F631" s="4" t="str">
        <f>"261.07"</f>
        <v>261.07</v>
      </c>
      <c r="G631" s="4" t="str">
        <f>"279.05"</f>
        <v>279.05</v>
      </c>
    </row>
    <row r="632" spans="1:7" ht="15.75" customHeight="1" x14ac:dyDescent="0.15">
      <c r="A632" s="1">
        <v>628</v>
      </c>
      <c r="B632" s="1">
        <v>4595</v>
      </c>
      <c r="C632" s="1" t="s">
        <v>794</v>
      </c>
      <c r="D632" s="1" t="s">
        <v>42</v>
      </c>
      <c r="E632" s="5" t="s">
        <v>1892</v>
      </c>
      <c r="F632" s="4" t="str">
        <f>"261.75"</f>
        <v>261.75</v>
      </c>
      <c r="G632" s="4" t="str">
        <f>"261.75"</f>
        <v>261.75</v>
      </c>
    </row>
    <row r="633" spans="1:7" ht="15.75" customHeight="1" x14ac:dyDescent="0.15">
      <c r="A633" s="1">
        <v>629</v>
      </c>
      <c r="B633" s="1">
        <v>10327</v>
      </c>
      <c r="C633" s="1" t="s">
        <v>795</v>
      </c>
      <c r="D633" s="1" t="s">
        <v>89</v>
      </c>
      <c r="E633" s="5" t="s">
        <v>1892</v>
      </c>
      <c r="F633" s="4" t="str">
        <f>"262.56"</f>
        <v>262.56</v>
      </c>
      <c r="G633" s="4" t="str">
        <f>"262.56"</f>
        <v>262.56</v>
      </c>
    </row>
    <row r="634" spans="1:7" ht="15.75" customHeight="1" x14ac:dyDescent="0.15">
      <c r="A634" s="1">
        <v>630</v>
      </c>
      <c r="B634" s="1">
        <v>5374</v>
      </c>
      <c r="C634" s="1" t="s">
        <v>637</v>
      </c>
      <c r="D634" s="1" t="s">
        <v>74</v>
      </c>
      <c r="E634" s="5" t="s">
        <v>1892</v>
      </c>
      <c r="F634" s="4" t="str">
        <f>"262.68"</f>
        <v>262.68</v>
      </c>
      <c r="G634" s="4" t="str">
        <f>"315.08"</f>
        <v>315.08</v>
      </c>
    </row>
    <row r="635" spans="1:7" ht="15.75" customHeight="1" x14ac:dyDescent="0.15">
      <c r="A635" s="1">
        <v>631</v>
      </c>
      <c r="B635" s="1">
        <v>2832</v>
      </c>
      <c r="C635" s="1" t="s">
        <v>796</v>
      </c>
      <c r="D635" s="1" t="s">
        <v>342</v>
      </c>
      <c r="E635" s="5" t="s">
        <v>1892</v>
      </c>
      <c r="F635" s="4" t="str">
        <f>"262.72"</f>
        <v>262.72</v>
      </c>
      <c r="G635" s="4" t="str">
        <f>"262.72"</f>
        <v>262.72</v>
      </c>
    </row>
    <row r="636" spans="1:7" ht="15.75" customHeight="1" x14ac:dyDescent="0.15">
      <c r="A636" s="1">
        <v>632</v>
      </c>
      <c r="B636" s="1">
        <v>2834</v>
      </c>
      <c r="C636" s="1" t="s">
        <v>751</v>
      </c>
      <c r="D636" s="1" t="s">
        <v>45</v>
      </c>
      <c r="E636" s="5" t="s">
        <v>1892</v>
      </c>
      <c r="F636" s="4" t="str">
        <f>"263.79"</f>
        <v>263.79</v>
      </c>
      <c r="G636" s="4" t="str">
        <f>"263.79"</f>
        <v>263.79</v>
      </c>
    </row>
    <row r="637" spans="1:7" ht="15.75" customHeight="1" x14ac:dyDescent="0.15">
      <c r="A637" s="1">
        <v>633</v>
      </c>
      <c r="B637" s="1">
        <v>10764</v>
      </c>
      <c r="C637" s="1" t="s">
        <v>799</v>
      </c>
      <c r="D637" s="1" t="s">
        <v>19</v>
      </c>
      <c r="E637" s="5" t="s">
        <v>1892</v>
      </c>
      <c r="F637" s="4" t="str">
        <f>"263.87"</f>
        <v>263.87</v>
      </c>
      <c r="G637" s="4" t="str">
        <f>"263.87"</f>
        <v>263.87</v>
      </c>
    </row>
    <row r="638" spans="1:7" ht="15.75" customHeight="1" x14ac:dyDescent="0.15">
      <c r="A638" s="1">
        <v>634</v>
      </c>
      <c r="B638" s="1">
        <v>1296</v>
      </c>
      <c r="C638" s="1" t="s">
        <v>822</v>
      </c>
      <c r="D638" s="1" t="s">
        <v>41</v>
      </c>
      <c r="E638" s="5" t="s">
        <v>1892</v>
      </c>
      <c r="F638" s="4" t="str">
        <f>"264.08"</f>
        <v>264.08</v>
      </c>
      <c r="G638" s="4" t="str">
        <f>"264.08"</f>
        <v>264.08</v>
      </c>
    </row>
    <row r="639" spans="1:7" ht="15.75" customHeight="1" x14ac:dyDescent="0.15">
      <c r="A639" s="1">
        <v>635</v>
      </c>
      <c r="B639" s="1">
        <v>5357</v>
      </c>
      <c r="C639" s="1" t="s">
        <v>802</v>
      </c>
      <c r="D639" s="1" t="s">
        <v>6</v>
      </c>
      <c r="E639" s="5" t="s">
        <v>1892</v>
      </c>
      <c r="F639" s="4" t="str">
        <f>"264.72"</f>
        <v>264.72</v>
      </c>
      <c r="G639" s="4" t="str">
        <f>"264.72"</f>
        <v>264.72</v>
      </c>
    </row>
    <row r="640" spans="1:7" ht="15.75" customHeight="1" x14ac:dyDescent="0.15">
      <c r="A640" s="1">
        <v>636</v>
      </c>
      <c r="B640" s="1">
        <v>3005</v>
      </c>
      <c r="C640" s="1" t="s">
        <v>1074</v>
      </c>
      <c r="D640" s="1" t="s">
        <v>37</v>
      </c>
      <c r="E640" s="5" t="s">
        <v>1892</v>
      </c>
      <c r="F640" s="4" t="str">
        <f>"264.82"</f>
        <v>264.82</v>
      </c>
      <c r="G640" s="4" t="str">
        <f>"264.82"</f>
        <v>264.82</v>
      </c>
    </row>
    <row r="641" spans="1:7" ht="15.75" customHeight="1" x14ac:dyDescent="0.15">
      <c r="A641" s="1">
        <v>637</v>
      </c>
      <c r="B641" s="1">
        <v>10714</v>
      </c>
      <c r="C641" s="1" t="s">
        <v>803</v>
      </c>
      <c r="D641" s="1" t="s">
        <v>39</v>
      </c>
      <c r="E641" s="5" t="s">
        <v>1892</v>
      </c>
      <c r="F641" s="4" t="str">
        <f>"265.46"</f>
        <v>265.46</v>
      </c>
      <c r="G641" s="4" t="str">
        <f>"265.46"</f>
        <v>265.46</v>
      </c>
    </row>
    <row r="642" spans="1:7" ht="15.75" customHeight="1" x14ac:dyDescent="0.15">
      <c r="A642" s="1">
        <v>638</v>
      </c>
      <c r="B642" s="1">
        <v>2291</v>
      </c>
      <c r="C642" s="1" t="s">
        <v>871</v>
      </c>
      <c r="D642" s="1" t="s">
        <v>5</v>
      </c>
      <c r="E642" s="5" t="s">
        <v>1892</v>
      </c>
      <c r="F642" s="4" t="str">
        <f>"265.73"</f>
        <v>265.73</v>
      </c>
      <c r="G642" s="4" t="str">
        <f>"265.73"</f>
        <v>265.73</v>
      </c>
    </row>
    <row r="643" spans="1:7" ht="15.75" customHeight="1" x14ac:dyDescent="0.15">
      <c r="A643" s="1">
        <v>639</v>
      </c>
      <c r="B643" s="1">
        <v>5430</v>
      </c>
      <c r="C643" s="1" t="s">
        <v>804</v>
      </c>
      <c r="D643" s="1" t="s">
        <v>28</v>
      </c>
      <c r="E643" s="5" t="s">
        <v>1892</v>
      </c>
      <c r="F643" s="4" t="str">
        <f>"265.83"</f>
        <v>265.83</v>
      </c>
      <c r="G643" s="4" t="str">
        <f>"265.83"</f>
        <v>265.83</v>
      </c>
    </row>
    <row r="644" spans="1:7" ht="15.75" customHeight="1" x14ac:dyDescent="0.15">
      <c r="A644" s="1">
        <v>640</v>
      </c>
      <c r="B644" s="1">
        <v>5407</v>
      </c>
      <c r="C644" s="1" t="s">
        <v>805</v>
      </c>
      <c r="D644" s="1" t="s">
        <v>94</v>
      </c>
      <c r="E644" s="5" t="s">
        <v>1892</v>
      </c>
      <c r="F644" s="4" t="str">
        <f>"265.92"</f>
        <v>265.92</v>
      </c>
      <c r="G644" s="4" t="str">
        <f>"265.92"</f>
        <v>265.92</v>
      </c>
    </row>
    <row r="645" spans="1:7" ht="15.75" customHeight="1" x14ac:dyDescent="0.15">
      <c r="A645" s="1">
        <v>641</v>
      </c>
      <c r="B645" s="1">
        <v>7169</v>
      </c>
      <c r="C645" s="1" t="s">
        <v>684</v>
      </c>
      <c r="D645" s="1" t="s">
        <v>44</v>
      </c>
      <c r="E645" s="5" t="s">
        <v>1892</v>
      </c>
      <c r="F645" s="4" t="str">
        <f>"266.00"</f>
        <v>266.00</v>
      </c>
      <c r="G645" s="4"/>
    </row>
    <row r="646" spans="1:7" ht="15.75" customHeight="1" x14ac:dyDescent="0.15">
      <c r="A646" s="1">
        <v>642</v>
      </c>
      <c r="B646" s="1">
        <v>2982</v>
      </c>
      <c r="C646" s="1" t="s">
        <v>750</v>
      </c>
      <c r="D646" s="1" t="s">
        <v>48</v>
      </c>
      <c r="E646" s="5" t="s">
        <v>1892</v>
      </c>
      <c r="F646" s="4" t="str">
        <f>"266.45"</f>
        <v>266.45</v>
      </c>
      <c r="G646" s="4" t="str">
        <f>"266.45"</f>
        <v>266.45</v>
      </c>
    </row>
    <row r="647" spans="1:7" ht="15.75" customHeight="1" x14ac:dyDescent="0.15">
      <c r="A647" s="1">
        <v>643</v>
      </c>
      <c r="B647" s="1">
        <v>10204</v>
      </c>
      <c r="C647" s="1" t="s">
        <v>862</v>
      </c>
      <c r="D647" s="1" t="s">
        <v>5</v>
      </c>
      <c r="E647" s="5" t="s">
        <v>1892</v>
      </c>
      <c r="F647" s="4" t="str">
        <f>"266.61"</f>
        <v>266.61</v>
      </c>
      <c r="G647" s="4" t="str">
        <f>"266.61"</f>
        <v>266.61</v>
      </c>
    </row>
    <row r="648" spans="1:7" ht="15.75" customHeight="1" x14ac:dyDescent="0.15">
      <c r="A648" s="1">
        <v>644</v>
      </c>
      <c r="B648" s="1">
        <v>3264</v>
      </c>
      <c r="C648" s="1" t="s">
        <v>807</v>
      </c>
      <c r="D648" s="1" t="s">
        <v>92</v>
      </c>
      <c r="E648" s="5" t="s">
        <v>1892</v>
      </c>
      <c r="F648" s="4" t="str">
        <f>"267.27"</f>
        <v>267.27</v>
      </c>
      <c r="G648" s="4" t="str">
        <f>"267.27"</f>
        <v>267.27</v>
      </c>
    </row>
    <row r="649" spans="1:7" ht="15.75" customHeight="1" x14ac:dyDescent="0.15">
      <c r="A649" s="1">
        <v>645</v>
      </c>
      <c r="B649" s="1">
        <v>6274</v>
      </c>
      <c r="C649" s="1" t="s">
        <v>808</v>
      </c>
      <c r="D649" s="1" t="s">
        <v>6</v>
      </c>
      <c r="E649" s="5" t="s">
        <v>1892</v>
      </c>
      <c r="F649" s="4" t="str">
        <f>"267.53"</f>
        <v>267.53</v>
      </c>
      <c r="G649" s="4" t="str">
        <f>"267.53"</f>
        <v>267.53</v>
      </c>
    </row>
    <row r="650" spans="1:7" ht="15.75" customHeight="1" x14ac:dyDescent="0.15">
      <c r="A650" s="1">
        <v>646</v>
      </c>
      <c r="B650" s="1">
        <v>10616</v>
      </c>
      <c r="C650" s="1" t="s">
        <v>854</v>
      </c>
      <c r="D650" s="1" t="s">
        <v>5</v>
      </c>
      <c r="E650" s="5" t="s">
        <v>1892</v>
      </c>
      <c r="F650" s="4" t="str">
        <f>"267.62"</f>
        <v>267.62</v>
      </c>
      <c r="G650" s="4" t="str">
        <f>"267.62"</f>
        <v>267.62</v>
      </c>
    </row>
    <row r="651" spans="1:7" ht="15.75" customHeight="1" x14ac:dyDescent="0.15">
      <c r="A651" s="1">
        <v>647</v>
      </c>
      <c r="B651" s="1">
        <v>8413</v>
      </c>
      <c r="C651" s="1" t="s">
        <v>809</v>
      </c>
      <c r="D651" s="1" t="s">
        <v>17</v>
      </c>
      <c r="E651" s="5" t="s">
        <v>1892</v>
      </c>
      <c r="F651" s="4" t="str">
        <f>"267.65"</f>
        <v>267.65</v>
      </c>
      <c r="G651" s="4" t="str">
        <f>"267.65"</f>
        <v>267.65</v>
      </c>
    </row>
    <row r="652" spans="1:7" ht="15.75" customHeight="1" x14ac:dyDescent="0.15">
      <c r="A652" s="1">
        <v>648</v>
      </c>
      <c r="B652" s="1">
        <v>1368</v>
      </c>
      <c r="C652" s="1" t="s">
        <v>714</v>
      </c>
      <c r="D652" s="1" t="s">
        <v>31</v>
      </c>
      <c r="E652" s="5" t="s">
        <v>1892</v>
      </c>
      <c r="F652" s="4" t="str">
        <f>"268.08"</f>
        <v>268.08</v>
      </c>
      <c r="G652" s="4" t="str">
        <f>"268.08"</f>
        <v>268.08</v>
      </c>
    </row>
    <row r="653" spans="1:7" ht="15.75" customHeight="1" x14ac:dyDescent="0.15">
      <c r="A653" s="1">
        <v>649</v>
      </c>
      <c r="B653" s="1">
        <v>10328</v>
      </c>
      <c r="C653" s="1" t="s">
        <v>810</v>
      </c>
      <c r="D653" s="1" t="s">
        <v>35</v>
      </c>
      <c r="E653" s="5" t="s">
        <v>1892</v>
      </c>
      <c r="F653" s="4" t="str">
        <f>"268.19"</f>
        <v>268.19</v>
      </c>
      <c r="G653" s="4" t="str">
        <f>"268.19"</f>
        <v>268.19</v>
      </c>
    </row>
    <row r="654" spans="1:7" ht="15.75" customHeight="1" x14ac:dyDescent="0.15">
      <c r="A654" s="1">
        <v>650</v>
      </c>
      <c r="B654" s="1">
        <v>10173</v>
      </c>
      <c r="C654" s="1" t="s">
        <v>788</v>
      </c>
      <c r="D654" s="1" t="s">
        <v>5</v>
      </c>
      <c r="E654" s="5" t="s">
        <v>1892</v>
      </c>
      <c r="F654" s="4" t="str">
        <f>"269.20"</f>
        <v>269.20</v>
      </c>
      <c r="G654" s="4" t="str">
        <f>"269.36"</f>
        <v>269.36</v>
      </c>
    </row>
    <row r="655" spans="1:7" ht="15.75" customHeight="1" x14ac:dyDescent="0.15">
      <c r="A655" s="1">
        <v>651</v>
      </c>
      <c r="B655" s="1">
        <v>10944</v>
      </c>
      <c r="C655" s="1" t="s">
        <v>811</v>
      </c>
      <c r="D655" s="1" t="s">
        <v>14</v>
      </c>
      <c r="E655" s="5" t="s">
        <v>1892</v>
      </c>
      <c r="F655" s="4" t="str">
        <f>"269.74"</f>
        <v>269.74</v>
      </c>
      <c r="G655" s="4" t="str">
        <f>"269.74"</f>
        <v>269.74</v>
      </c>
    </row>
    <row r="656" spans="1:7" ht="15.75" customHeight="1" x14ac:dyDescent="0.15">
      <c r="A656" s="1">
        <v>652</v>
      </c>
      <c r="B656" s="1">
        <v>2211</v>
      </c>
      <c r="C656" s="1" t="s">
        <v>726</v>
      </c>
      <c r="D656" s="1" t="s">
        <v>5</v>
      </c>
      <c r="E656" s="5" t="s">
        <v>1892</v>
      </c>
      <c r="F656" s="4" t="str">
        <f>"270.70"</f>
        <v>270.70</v>
      </c>
      <c r="G656" s="4" t="str">
        <f>"275.22"</f>
        <v>275.22</v>
      </c>
    </row>
    <row r="657" spans="1:7" ht="15.75" customHeight="1" x14ac:dyDescent="0.15">
      <c r="A657" s="1">
        <v>653</v>
      </c>
      <c r="B657" s="1">
        <v>10823</v>
      </c>
      <c r="C657" s="1" t="s">
        <v>816</v>
      </c>
      <c r="D657" s="1" t="s">
        <v>19</v>
      </c>
      <c r="E657" s="5" t="s">
        <v>1892</v>
      </c>
      <c r="F657" s="4" t="str">
        <f>"271.85"</f>
        <v>271.85</v>
      </c>
      <c r="G657" s="4" t="str">
        <f>"271.85"</f>
        <v>271.85</v>
      </c>
    </row>
    <row r="658" spans="1:7" ht="15.75" customHeight="1" x14ac:dyDescent="0.15">
      <c r="A658" s="1">
        <v>654</v>
      </c>
      <c r="B658" s="1">
        <v>1365</v>
      </c>
      <c r="C658" s="1" t="s">
        <v>863</v>
      </c>
      <c r="D658" s="1" t="s">
        <v>73</v>
      </c>
      <c r="E658" s="5" t="s">
        <v>1892</v>
      </c>
      <c r="F658" s="4" t="str">
        <f>"272.27"</f>
        <v>272.27</v>
      </c>
      <c r="G658" s="4" t="str">
        <f>"272.27"</f>
        <v>272.27</v>
      </c>
    </row>
    <row r="659" spans="1:7" ht="15.75" customHeight="1" x14ac:dyDescent="0.15">
      <c r="A659" s="1">
        <v>655</v>
      </c>
      <c r="B659" s="1">
        <v>1815</v>
      </c>
      <c r="C659" s="1" t="s">
        <v>817</v>
      </c>
      <c r="D659" s="1" t="s">
        <v>86</v>
      </c>
      <c r="E659" s="5" t="s">
        <v>1892</v>
      </c>
      <c r="F659" s="4" t="str">
        <f>"272.35"</f>
        <v>272.35</v>
      </c>
      <c r="G659" s="4" t="str">
        <f>"272.35"</f>
        <v>272.35</v>
      </c>
    </row>
    <row r="660" spans="1:7" ht="15.75" customHeight="1" x14ac:dyDescent="0.15">
      <c r="A660" s="1">
        <v>656</v>
      </c>
      <c r="B660" s="1">
        <v>1092</v>
      </c>
      <c r="C660" s="1" t="s">
        <v>710</v>
      </c>
      <c r="D660" s="1" t="s">
        <v>45</v>
      </c>
      <c r="E660" s="5" t="s">
        <v>1892</v>
      </c>
      <c r="F660" s="4" t="str">
        <f>"272.99"</f>
        <v>272.99</v>
      </c>
      <c r="G660" s="4" t="str">
        <f>"406.59"</f>
        <v>406.59</v>
      </c>
    </row>
    <row r="661" spans="1:7" ht="15.75" customHeight="1" x14ac:dyDescent="0.15">
      <c r="A661" s="1">
        <v>657</v>
      </c>
      <c r="B661" s="1">
        <v>3134</v>
      </c>
      <c r="C661" s="1" t="s">
        <v>819</v>
      </c>
      <c r="D661" s="1" t="s">
        <v>595</v>
      </c>
      <c r="E661" s="5" t="s">
        <v>1892</v>
      </c>
      <c r="F661" s="4" t="str">
        <f>"273.16"</f>
        <v>273.16</v>
      </c>
      <c r="G661" s="4" t="str">
        <f>"273.16"</f>
        <v>273.16</v>
      </c>
    </row>
    <row r="662" spans="1:7" ht="15.75" customHeight="1" x14ac:dyDescent="0.15">
      <c r="A662" s="1">
        <v>658</v>
      </c>
      <c r="B662" s="1">
        <v>10969</v>
      </c>
      <c r="C662" s="1" t="s">
        <v>820</v>
      </c>
      <c r="D662" s="1" t="s">
        <v>8</v>
      </c>
      <c r="E662" s="5" t="s">
        <v>1892</v>
      </c>
      <c r="F662" s="4" t="str">
        <f>"273.38"</f>
        <v>273.38</v>
      </c>
      <c r="G662" s="4" t="str">
        <f>"273.38"</f>
        <v>273.38</v>
      </c>
    </row>
    <row r="663" spans="1:7" ht="15.75" customHeight="1" x14ac:dyDescent="0.15">
      <c r="A663" s="1">
        <v>659</v>
      </c>
      <c r="B663" s="1">
        <v>5770</v>
      </c>
      <c r="C663" s="1" t="s">
        <v>821</v>
      </c>
      <c r="D663" s="1" t="s">
        <v>148</v>
      </c>
      <c r="E663" s="5" t="s">
        <v>1892</v>
      </c>
      <c r="F663" s="4" t="str">
        <f>"273.90"</f>
        <v>273.90</v>
      </c>
      <c r="G663" s="4" t="str">
        <f>"273.90"</f>
        <v>273.90</v>
      </c>
    </row>
    <row r="664" spans="1:7" ht="15.75" customHeight="1" x14ac:dyDescent="0.15">
      <c r="A664" s="1">
        <v>660</v>
      </c>
      <c r="B664" s="1">
        <v>6142</v>
      </c>
      <c r="C664" s="1" t="s">
        <v>1003</v>
      </c>
      <c r="D664" s="1" t="s">
        <v>33</v>
      </c>
      <c r="E664" s="5" t="s">
        <v>1892</v>
      </c>
      <c r="F664" s="4" t="str">
        <f>"274.14"</f>
        <v>274.14</v>
      </c>
      <c r="G664" s="4" t="str">
        <f>"274.14"</f>
        <v>274.14</v>
      </c>
    </row>
    <row r="665" spans="1:7" ht="15.75" customHeight="1" x14ac:dyDescent="0.15">
      <c r="A665" s="1">
        <v>661</v>
      </c>
      <c r="B665" s="1">
        <v>11344</v>
      </c>
      <c r="C665" s="1" t="s">
        <v>715</v>
      </c>
      <c r="D665" s="1" t="s">
        <v>24</v>
      </c>
      <c r="E665" s="5" t="s">
        <v>1892</v>
      </c>
      <c r="F665" s="4" t="str">
        <f>"275.64"</f>
        <v>275.64</v>
      </c>
      <c r="G665" s="4"/>
    </row>
    <row r="666" spans="1:7" ht="15.75" customHeight="1" x14ac:dyDescent="0.15">
      <c r="A666" s="1">
        <v>662</v>
      </c>
      <c r="B666" s="1">
        <v>1433</v>
      </c>
      <c r="C666" s="1" t="s">
        <v>823</v>
      </c>
      <c r="D666" s="1" t="s">
        <v>52</v>
      </c>
      <c r="E666" s="5" t="s">
        <v>1892</v>
      </c>
      <c r="F666" s="4" t="str">
        <f>"275.70"</f>
        <v>275.70</v>
      </c>
      <c r="G666" s="4" t="str">
        <f>"275.70"</f>
        <v>275.70</v>
      </c>
    </row>
    <row r="667" spans="1:7" ht="15.75" customHeight="1" x14ac:dyDescent="0.15">
      <c r="A667" s="1">
        <v>663</v>
      </c>
      <c r="B667" s="1">
        <v>6122</v>
      </c>
      <c r="C667" s="1" t="s">
        <v>824</v>
      </c>
      <c r="D667" s="1" t="s">
        <v>58</v>
      </c>
      <c r="E667" s="5" t="s">
        <v>1892</v>
      </c>
      <c r="F667" s="4" t="str">
        <f>"275.88"</f>
        <v>275.88</v>
      </c>
      <c r="G667" s="4" t="str">
        <f>"275.88"</f>
        <v>275.88</v>
      </c>
    </row>
    <row r="668" spans="1:7" ht="15.75" customHeight="1" x14ac:dyDescent="0.15">
      <c r="A668" s="1">
        <v>664</v>
      </c>
      <c r="B668" s="1">
        <v>842</v>
      </c>
      <c r="C668" s="1" t="s">
        <v>825</v>
      </c>
      <c r="D668" s="1" t="s">
        <v>14</v>
      </c>
      <c r="E668" s="5" t="s">
        <v>1892</v>
      </c>
      <c r="F668" s="4" t="str">
        <f>"275.92"</f>
        <v>275.92</v>
      </c>
      <c r="G668" s="4" t="str">
        <f>"275.92"</f>
        <v>275.92</v>
      </c>
    </row>
    <row r="669" spans="1:7" ht="15.75" customHeight="1" x14ac:dyDescent="0.15">
      <c r="A669" s="1">
        <v>665</v>
      </c>
      <c r="B669" s="1">
        <v>5728</v>
      </c>
      <c r="C669" s="1" t="s">
        <v>826</v>
      </c>
      <c r="D669" s="1" t="s">
        <v>19</v>
      </c>
      <c r="E669" s="5" t="s">
        <v>1892</v>
      </c>
      <c r="F669" s="4" t="str">
        <f>"275.95"</f>
        <v>275.95</v>
      </c>
      <c r="G669" s="4" t="str">
        <f>"275.95"</f>
        <v>275.95</v>
      </c>
    </row>
    <row r="670" spans="1:7" ht="15.75" customHeight="1" x14ac:dyDescent="0.15">
      <c r="A670" s="1">
        <v>666</v>
      </c>
      <c r="B670" s="1">
        <v>6656</v>
      </c>
      <c r="C670" s="1" t="s">
        <v>831</v>
      </c>
      <c r="D670" s="1" t="s">
        <v>10</v>
      </c>
      <c r="E670" s="5" t="s">
        <v>1892</v>
      </c>
      <c r="F670" s="4" t="str">
        <f>"276.32"</f>
        <v>276.32</v>
      </c>
      <c r="G670" s="4" t="str">
        <f>"276.32"</f>
        <v>276.32</v>
      </c>
    </row>
    <row r="671" spans="1:7" ht="15.75" customHeight="1" x14ac:dyDescent="0.15">
      <c r="A671" s="1">
        <v>667</v>
      </c>
      <c r="B671" s="1">
        <v>2172</v>
      </c>
      <c r="C671" s="1" t="s">
        <v>927</v>
      </c>
      <c r="D671" s="1" t="s">
        <v>5</v>
      </c>
      <c r="E671" s="5" t="s">
        <v>1892</v>
      </c>
      <c r="F671" s="4" t="str">
        <f>"276.34"</f>
        <v>276.34</v>
      </c>
      <c r="G671" s="4" t="str">
        <f>"276.34"</f>
        <v>276.34</v>
      </c>
    </row>
    <row r="672" spans="1:7" ht="15.75" customHeight="1" x14ac:dyDescent="0.15">
      <c r="A672" s="1">
        <v>668</v>
      </c>
      <c r="B672" s="1">
        <v>6370</v>
      </c>
      <c r="C672" s="1" t="s">
        <v>832</v>
      </c>
      <c r="D672" s="1" t="s">
        <v>737</v>
      </c>
      <c r="E672" s="5" t="s">
        <v>1892</v>
      </c>
      <c r="F672" s="4" t="str">
        <f>"276.45"</f>
        <v>276.45</v>
      </c>
      <c r="G672" s="4" t="str">
        <f>"276.45"</f>
        <v>276.45</v>
      </c>
    </row>
    <row r="673" spans="1:7" ht="15.75" customHeight="1" x14ac:dyDescent="0.15">
      <c r="A673" s="1">
        <v>669</v>
      </c>
      <c r="B673" s="1">
        <v>5379</v>
      </c>
      <c r="C673" s="1" t="s">
        <v>833</v>
      </c>
      <c r="D673" s="1" t="s">
        <v>58</v>
      </c>
      <c r="E673" s="5" t="s">
        <v>1892</v>
      </c>
      <c r="F673" s="4" t="str">
        <f>"276.49"</f>
        <v>276.49</v>
      </c>
      <c r="G673" s="4" t="str">
        <f>"276.49"</f>
        <v>276.49</v>
      </c>
    </row>
    <row r="674" spans="1:7" ht="15.75" customHeight="1" x14ac:dyDescent="0.15">
      <c r="A674" s="1">
        <v>670</v>
      </c>
      <c r="B674" s="1">
        <v>10163</v>
      </c>
      <c r="C674" s="1" t="s">
        <v>720</v>
      </c>
      <c r="D674" s="1" t="s">
        <v>5</v>
      </c>
      <c r="E674" s="5" t="s">
        <v>1892</v>
      </c>
      <c r="F674" s="4" t="str">
        <f>"277.23"</f>
        <v>277.23</v>
      </c>
      <c r="G674" s="4" t="str">
        <f>"332.26"</f>
        <v>332.26</v>
      </c>
    </row>
    <row r="675" spans="1:7" ht="15.75" customHeight="1" x14ac:dyDescent="0.15">
      <c r="A675" s="1">
        <v>671</v>
      </c>
      <c r="B675" s="1">
        <v>2221</v>
      </c>
      <c r="C675" s="1" t="s">
        <v>838</v>
      </c>
      <c r="D675" s="1" t="s">
        <v>5</v>
      </c>
      <c r="E675" s="5" t="s">
        <v>1892</v>
      </c>
      <c r="F675" s="4" t="str">
        <f>"278.20"</f>
        <v>278.20</v>
      </c>
      <c r="G675" s="4" t="str">
        <f>"278.20"</f>
        <v>278.20</v>
      </c>
    </row>
    <row r="676" spans="1:7" ht="15.75" customHeight="1" x14ac:dyDescent="0.15">
      <c r="A676" s="1">
        <v>672</v>
      </c>
      <c r="B676" s="1">
        <v>10385</v>
      </c>
      <c r="C676" s="1" t="s">
        <v>839</v>
      </c>
      <c r="D676" s="1" t="s">
        <v>19</v>
      </c>
      <c r="E676" s="5" t="s">
        <v>1892</v>
      </c>
      <c r="F676" s="4" t="str">
        <f>"279.51"</f>
        <v>279.51</v>
      </c>
      <c r="G676" s="4" t="str">
        <f>"279.51"</f>
        <v>279.51</v>
      </c>
    </row>
    <row r="677" spans="1:7" ht="15.75" customHeight="1" x14ac:dyDescent="0.15">
      <c r="A677" s="1">
        <v>673</v>
      </c>
      <c r="B677" s="1">
        <v>2258</v>
      </c>
      <c r="C677" s="1" t="s">
        <v>813</v>
      </c>
      <c r="D677" s="1" t="s">
        <v>41</v>
      </c>
      <c r="E677" s="5" t="s">
        <v>1892</v>
      </c>
      <c r="F677" s="4" t="str">
        <f>"279.73"</f>
        <v>279.73</v>
      </c>
      <c r="G677" s="4" t="str">
        <f>"279.73"</f>
        <v>279.73</v>
      </c>
    </row>
    <row r="678" spans="1:7" ht="15.75" customHeight="1" x14ac:dyDescent="0.15">
      <c r="A678" s="1">
        <v>674</v>
      </c>
      <c r="B678" s="1">
        <v>10901</v>
      </c>
      <c r="C678" s="1" t="s">
        <v>731</v>
      </c>
      <c r="D678" s="1" t="s">
        <v>5</v>
      </c>
      <c r="E678" s="5" t="s">
        <v>1892</v>
      </c>
      <c r="F678" s="4" t="str">
        <f>"280.62"</f>
        <v>280.62</v>
      </c>
      <c r="G678" s="4" t="str">
        <f>"376.92"</f>
        <v>376.92</v>
      </c>
    </row>
    <row r="679" spans="1:7" ht="15.75" customHeight="1" x14ac:dyDescent="0.15">
      <c r="A679" s="1">
        <v>675</v>
      </c>
      <c r="B679" s="1">
        <v>2268</v>
      </c>
      <c r="C679" s="1" t="s">
        <v>812</v>
      </c>
      <c r="D679" s="1" t="s">
        <v>5</v>
      </c>
      <c r="E679" s="5" t="s">
        <v>1892</v>
      </c>
      <c r="F679" s="4" t="str">
        <f>"280.91"</f>
        <v>280.91</v>
      </c>
      <c r="G679" s="4" t="str">
        <f>"291.95"</f>
        <v>291.95</v>
      </c>
    </row>
    <row r="680" spans="1:7" ht="15.75" customHeight="1" x14ac:dyDescent="0.15">
      <c r="A680" s="1">
        <v>676</v>
      </c>
      <c r="B680" s="1">
        <v>2278</v>
      </c>
      <c r="C680" s="1" t="s">
        <v>892</v>
      </c>
      <c r="D680" s="1" t="s">
        <v>5</v>
      </c>
      <c r="E680" s="5" t="s">
        <v>1892</v>
      </c>
      <c r="F680" s="4" t="str">
        <f>"280.95"</f>
        <v>280.95</v>
      </c>
      <c r="G680" s="4" t="str">
        <f>"280.95"</f>
        <v>280.95</v>
      </c>
    </row>
    <row r="681" spans="1:7" ht="15.75" customHeight="1" x14ac:dyDescent="0.15">
      <c r="A681" s="1">
        <v>677</v>
      </c>
      <c r="B681" s="1">
        <v>1821</v>
      </c>
      <c r="C681" s="1" t="s">
        <v>840</v>
      </c>
      <c r="D681" s="1" t="s">
        <v>41</v>
      </c>
      <c r="E681" s="5" t="s">
        <v>1892</v>
      </c>
      <c r="F681" s="4" t="str">
        <f>"280.99"</f>
        <v>280.99</v>
      </c>
      <c r="G681" s="4" t="str">
        <f>"280.99"</f>
        <v>280.99</v>
      </c>
    </row>
    <row r="682" spans="1:7" ht="15.75" customHeight="1" x14ac:dyDescent="0.15">
      <c r="A682" s="1">
        <v>678</v>
      </c>
      <c r="B682" s="1">
        <v>2263</v>
      </c>
      <c r="C682" s="1" t="s">
        <v>743</v>
      </c>
      <c r="D682" s="1" t="s">
        <v>5</v>
      </c>
      <c r="E682" s="5" t="s">
        <v>1892</v>
      </c>
      <c r="F682" s="4" t="str">
        <f>"281.50"</f>
        <v>281.50</v>
      </c>
      <c r="G682" s="4" t="str">
        <f>"301.18"</f>
        <v>301.18</v>
      </c>
    </row>
    <row r="683" spans="1:7" ht="15.75" customHeight="1" x14ac:dyDescent="0.15">
      <c r="A683" s="1">
        <v>679</v>
      </c>
      <c r="B683" s="1">
        <v>2329</v>
      </c>
      <c r="C683" s="1" t="s">
        <v>800</v>
      </c>
      <c r="D683" s="1" t="s">
        <v>24</v>
      </c>
      <c r="E683" s="5" t="s">
        <v>1892</v>
      </c>
      <c r="F683" s="4" t="str">
        <f>"281.89"</f>
        <v>281.89</v>
      </c>
      <c r="G683" s="4" t="str">
        <f>"299.88"</f>
        <v>299.88</v>
      </c>
    </row>
    <row r="684" spans="1:7" ht="15.75" customHeight="1" x14ac:dyDescent="0.15">
      <c r="A684" s="1">
        <v>680</v>
      </c>
      <c r="B684" s="1">
        <v>6369</v>
      </c>
      <c r="C684" s="1" t="s">
        <v>736</v>
      </c>
      <c r="D684" s="1" t="s">
        <v>737</v>
      </c>
      <c r="E684" s="5" t="s">
        <v>1892</v>
      </c>
      <c r="F684" s="4" t="str">
        <f>"282.77"</f>
        <v>282.77</v>
      </c>
      <c r="G684" s="4"/>
    </row>
    <row r="685" spans="1:7" ht="15.75" customHeight="1" x14ac:dyDescent="0.15">
      <c r="A685" s="1">
        <v>681</v>
      </c>
      <c r="B685" s="1">
        <v>9468</v>
      </c>
      <c r="C685" s="1" t="s">
        <v>740</v>
      </c>
      <c r="D685" s="1" t="s">
        <v>423</v>
      </c>
      <c r="E685" s="5" t="s">
        <v>1892</v>
      </c>
      <c r="F685" s="4" t="str">
        <f>"283.29"</f>
        <v>283.29</v>
      </c>
      <c r="G685" s="4" t="str">
        <f>"415.09"</f>
        <v>415.09</v>
      </c>
    </row>
    <row r="686" spans="1:7" ht="15.75" customHeight="1" x14ac:dyDescent="0.15">
      <c r="A686" s="1">
        <v>682</v>
      </c>
      <c r="B686" s="1">
        <v>10344</v>
      </c>
      <c r="C686" s="1" t="s">
        <v>741</v>
      </c>
      <c r="D686" s="1" t="s">
        <v>5</v>
      </c>
      <c r="E686" s="5" t="s">
        <v>1892</v>
      </c>
      <c r="F686" s="4" t="str">
        <f>"283.43"</f>
        <v>283.43</v>
      </c>
      <c r="G686" s="4" t="str">
        <f>"379.48"</f>
        <v>379.48</v>
      </c>
    </row>
    <row r="687" spans="1:7" ht="15.75" customHeight="1" x14ac:dyDescent="0.15">
      <c r="A687" s="1">
        <v>683</v>
      </c>
      <c r="B687" s="1">
        <v>10677</v>
      </c>
      <c r="C687" s="1" t="s">
        <v>844</v>
      </c>
      <c r="D687" s="1" t="s">
        <v>4</v>
      </c>
      <c r="E687" s="5" t="s">
        <v>1892</v>
      </c>
      <c r="F687" s="4" t="str">
        <f>"283.55"</f>
        <v>283.55</v>
      </c>
      <c r="G687" s="4" t="str">
        <f>"283.55"</f>
        <v>283.55</v>
      </c>
    </row>
    <row r="688" spans="1:7" ht="15.75" customHeight="1" x14ac:dyDescent="0.15">
      <c r="A688" s="1">
        <v>684</v>
      </c>
      <c r="B688" s="1">
        <v>1269</v>
      </c>
      <c r="C688" s="1" t="s">
        <v>747</v>
      </c>
      <c r="D688" s="1" t="s">
        <v>6</v>
      </c>
      <c r="E688" s="5" t="s">
        <v>1892</v>
      </c>
      <c r="F688" s="4" t="str">
        <f>"284.47"</f>
        <v>284.47</v>
      </c>
      <c r="G688" s="4" t="str">
        <f>"413.93"</f>
        <v>413.93</v>
      </c>
    </row>
    <row r="689" spans="1:7" ht="15.75" customHeight="1" x14ac:dyDescent="0.15">
      <c r="A689" s="1">
        <v>685</v>
      </c>
      <c r="B689" s="1">
        <v>3637</v>
      </c>
      <c r="C689" s="1" t="s">
        <v>894</v>
      </c>
      <c r="D689" s="1" t="s">
        <v>32</v>
      </c>
      <c r="E689" s="5" t="s">
        <v>1892</v>
      </c>
      <c r="F689" s="4" t="str">
        <f>"284.48"</f>
        <v>284.48</v>
      </c>
      <c r="G689" s="4" t="str">
        <f>"284.48"</f>
        <v>284.48</v>
      </c>
    </row>
    <row r="690" spans="1:7" ht="15.75" customHeight="1" x14ac:dyDescent="0.15">
      <c r="A690" s="1">
        <v>686</v>
      </c>
      <c r="B690" s="1">
        <v>10584</v>
      </c>
      <c r="C690" s="1" t="s">
        <v>1035</v>
      </c>
      <c r="D690" s="1" t="s">
        <v>5</v>
      </c>
      <c r="E690" s="5" t="s">
        <v>1892</v>
      </c>
      <c r="F690" s="4" t="str">
        <f>"285.58"</f>
        <v>285.58</v>
      </c>
      <c r="G690" s="4" t="str">
        <f>"285.58"</f>
        <v>285.58</v>
      </c>
    </row>
    <row r="691" spans="1:7" ht="15.75" customHeight="1" x14ac:dyDescent="0.15">
      <c r="A691" s="1">
        <v>687</v>
      </c>
      <c r="B691" s="1">
        <v>10115</v>
      </c>
      <c r="C691" s="1" t="s">
        <v>867</v>
      </c>
      <c r="D691" s="1" t="s">
        <v>5</v>
      </c>
      <c r="E691" s="5" t="s">
        <v>1892</v>
      </c>
      <c r="F691" s="4" t="str">
        <f>"286.64"</f>
        <v>286.64</v>
      </c>
      <c r="G691" s="4" t="str">
        <f>"286.64"</f>
        <v>286.64</v>
      </c>
    </row>
    <row r="692" spans="1:7" ht="15.75" customHeight="1" x14ac:dyDescent="0.15">
      <c r="A692" s="1">
        <v>688</v>
      </c>
      <c r="B692" s="1">
        <v>10188</v>
      </c>
      <c r="C692" s="1" t="s">
        <v>756</v>
      </c>
      <c r="D692" s="1" t="s">
        <v>5</v>
      </c>
      <c r="E692" s="5" t="s">
        <v>1892</v>
      </c>
      <c r="F692" s="4" t="str">
        <f>"286.72"</f>
        <v>286.72</v>
      </c>
      <c r="G692" s="4" t="str">
        <f>"319.64"</f>
        <v>319.64</v>
      </c>
    </row>
    <row r="693" spans="1:7" ht="15.75" customHeight="1" x14ac:dyDescent="0.15">
      <c r="A693" s="1">
        <v>689</v>
      </c>
      <c r="B693" s="1">
        <v>5903</v>
      </c>
      <c r="C693" s="1" t="s">
        <v>849</v>
      </c>
      <c r="D693" s="1" t="s">
        <v>52</v>
      </c>
      <c r="E693" s="5" t="s">
        <v>1892</v>
      </c>
      <c r="F693" s="4" t="str">
        <f>"286.99"</f>
        <v>286.99</v>
      </c>
      <c r="G693" s="4" t="str">
        <f>"286.99"</f>
        <v>286.99</v>
      </c>
    </row>
    <row r="694" spans="1:7" ht="15.75" customHeight="1" x14ac:dyDescent="0.15">
      <c r="A694" s="1">
        <v>690</v>
      </c>
      <c r="B694" s="1">
        <v>4358</v>
      </c>
      <c r="C694" s="1" t="s">
        <v>850</v>
      </c>
      <c r="D694" s="1" t="s">
        <v>76</v>
      </c>
      <c r="E694" s="5" t="s">
        <v>1892</v>
      </c>
      <c r="F694" s="4" t="str">
        <f>"287.30"</f>
        <v>287.30</v>
      </c>
      <c r="G694" s="4" t="str">
        <f>"287.30"</f>
        <v>287.30</v>
      </c>
    </row>
    <row r="695" spans="1:7" ht="15.75" customHeight="1" x14ac:dyDescent="0.15">
      <c r="A695" s="1">
        <v>691</v>
      </c>
      <c r="B695" s="1">
        <v>6862</v>
      </c>
      <c r="C695" s="1" t="s">
        <v>851</v>
      </c>
      <c r="D695" s="1" t="s">
        <v>19</v>
      </c>
      <c r="E695" s="5" t="s">
        <v>1892</v>
      </c>
      <c r="F695" s="4" t="str">
        <f>"287.44"</f>
        <v>287.44</v>
      </c>
      <c r="G695" s="4" t="str">
        <f>"287.44"</f>
        <v>287.44</v>
      </c>
    </row>
    <row r="696" spans="1:7" ht="15.75" customHeight="1" x14ac:dyDescent="0.15">
      <c r="A696" s="1">
        <v>692</v>
      </c>
      <c r="B696" s="1">
        <v>6173</v>
      </c>
      <c r="C696" s="1" t="s">
        <v>834</v>
      </c>
      <c r="D696" s="1" t="s">
        <v>835</v>
      </c>
      <c r="E696" s="5" t="s">
        <v>1892</v>
      </c>
      <c r="F696" s="4" t="str">
        <f>"287.71"</f>
        <v>287.71</v>
      </c>
      <c r="G696" s="4" t="str">
        <f>"287.71"</f>
        <v>287.71</v>
      </c>
    </row>
    <row r="697" spans="1:7" ht="15.75" customHeight="1" x14ac:dyDescent="0.15">
      <c r="A697" s="1">
        <v>693</v>
      </c>
      <c r="B697" s="1">
        <v>10156</v>
      </c>
      <c r="C697" s="1" t="s">
        <v>1027</v>
      </c>
      <c r="D697" s="1" t="s">
        <v>5</v>
      </c>
      <c r="E697" s="5" t="s">
        <v>1892</v>
      </c>
      <c r="F697" s="4" t="str">
        <f>"287.76"</f>
        <v>287.76</v>
      </c>
      <c r="G697" s="4" t="str">
        <f>"287.76"</f>
        <v>287.76</v>
      </c>
    </row>
    <row r="698" spans="1:7" ht="15.75" customHeight="1" x14ac:dyDescent="0.15">
      <c r="A698" s="1">
        <v>694</v>
      </c>
      <c r="B698" s="1">
        <v>10827</v>
      </c>
      <c r="C698" s="1" t="s">
        <v>852</v>
      </c>
      <c r="D698" s="1" t="s">
        <v>19</v>
      </c>
      <c r="E698" s="5" t="s">
        <v>1892</v>
      </c>
      <c r="F698" s="4" t="str">
        <f>"288.07"</f>
        <v>288.07</v>
      </c>
      <c r="G698" s="4" t="str">
        <f>"288.07"</f>
        <v>288.07</v>
      </c>
    </row>
    <row r="699" spans="1:7" ht="15.75" customHeight="1" x14ac:dyDescent="0.15">
      <c r="A699" s="1">
        <v>695</v>
      </c>
      <c r="B699" s="1">
        <v>10453</v>
      </c>
      <c r="C699" s="1" t="s">
        <v>853</v>
      </c>
      <c r="D699" s="1" t="s">
        <v>19</v>
      </c>
      <c r="E699" s="5" t="s">
        <v>1892</v>
      </c>
      <c r="F699" s="4" t="str">
        <f>"288.10"</f>
        <v>288.10</v>
      </c>
      <c r="G699" s="4" t="str">
        <f>"288.10"</f>
        <v>288.10</v>
      </c>
    </row>
    <row r="700" spans="1:7" ht="15.75" customHeight="1" x14ac:dyDescent="0.15">
      <c r="A700" s="1">
        <v>696</v>
      </c>
      <c r="B700" s="1">
        <v>2173</v>
      </c>
      <c r="C700" s="1" t="s">
        <v>895</v>
      </c>
      <c r="D700" s="1" t="s">
        <v>5</v>
      </c>
      <c r="E700" s="5" t="s">
        <v>1892</v>
      </c>
      <c r="F700" s="4" t="str">
        <f>"288.21"</f>
        <v>288.21</v>
      </c>
      <c r="G700" s="4" t="str">
        <f>"288.21"</f>
        <v>288.21</v>
      </c>
    </row>
    <row r="701" spans="1:7" ht="15.75" customHeight="1" x14ac:dyDescent="0.15">
      <c r="A701" s="1">
        <v>697</v>
      </c>
      <c r="B701" s="1">
        <v>10161</v>
      </c>
      <c r="C701" s="1" t="s">
        <v>890</v>
      </c>
      <c r="D701" s="1" t="s">
        <v>5</v>
      </c>
      <c r="E701" s="5" t="s">
        <v>1892</v>
      </c>
      <c r="F701" s="4" t="str">
        <f>"288.65"</f>
        <v>288.65</v>
      </c>
      <c r="G701" s="4" t="str">
        <f>"288.65"</f>
        <v>288.65</v>
      </c>
    </row>
    <row r="702" spans="1:7" ht="15.75" customHeight="1" x14ac:dyDescent="0.15">
      <c r="A702" s="1">
        <v>698</v>
      </c>
      <c r="B702" s="1">
        <v>11254</v>
      </c>
      <c r="C702" s="1" t="s">
        <v>764</v>
      </c>
      <c r="D702" s="1" t="s">
        <v>5</v>
      </c>
      <c r="E702" s="5" t="s">
        <v>1892</v>
      </c>
      <c r="F702" s="4" t="str">
        <f>"289.00"</f>
        <v>289.00</v>
      </c>
      <c r="G702" s="4"/>
    </row>
    <row r="703" spans="1:7" ht="15.75" customHeight="1" x14ac:dyDescent="0.15">
      <c r="A703" s="1">
        <v>699</v>
      </c>
      <c r="B703" s="1">
        <v>2333</v>
      </c>
      <c r="C703" s="1" t="s">
        <v>837</v>
      </c>
      <c r="D703" s="1" t="s">
        <v>5</v>
      </c>
      <c r="E703" s="5" t="s">
        <v>1892</v>
      </c>
      <c r="F703" s="4" t="str">
        <f>"289.23"</f>
        <v>289.23</v>
      </c>
      <c r="G703" s="4" t="str">
        <f>"294.68"</f>
        <v>294.68</v>
      </c>
    </row>
    <row r="704" spans="1:7" ht="15.75" customHeight="1" x14ac:dyDescent="0.15">
      <c r="A704" s="1">
        <v>700</v>
      </c>
      <c r="B704" s="1">
        <v>77</v>
      </c>
      <c r="C704" s="1" t="s">
        <v>769</v>
      </c>
      <c r="D704" s="1" t="s">
        <v>82</v>
      </c>
      <c r="E704" s="5" t="s">
        <v>1892</v>
      </c>
      <c r="F704" s="4" t="str">
        <f>"289.25"</f>
        <v>289.25</v>
      </c>
      <c r="G704" s="4" t="str">
        <f>"289.25"</f>
        <v>289.25</v>
      </c>
    </row>
    <row r="705" spans="1:7" ht="15.75" customHeight="1" x14ac:dyDescent="0.15">
      <c r="A705" s="1">
        <v>701</v>
      </c>
      <c r="B705" s="1">
        <v>6971</v>
      </c>
      <c r="C705" s="1" t="s">
        <v>912</v>
      </c>
      <c r="D705" s="1" t="s">
        <v>33</v>
      </c>
      <c r="E705" s="5" t="s">
        <v>1892</v>
      </c>
      <c r="F705" s="4" t="str">
        <f>"289.78"</f>
        <v>289.78</v>
      </c>
      <c r="G705" s="4" t="str">
        <f>"289.78"</f>
        <v>289.78</v>
      </c>
    </row>
    <row r="706" spans="1:7" ht="15.75" customHeight="1" x14ac:dyDescent="0.15">
      <c r="A706" s="1">
        <v>702</v>
      </c>
      <c r="B706" s="1">
        <v>2332</v>
      </c>
      <c r="C706" s="1" t="s">
        <v>962</v>
      </c>
      <c r="D706" s="1" t="s">
        <v>5</v>
      </c>
      <c r="E706" s="5" t="s">
        <v>1892</v>
      </c>
      <c r="F706" s="4" t="str">
        <f>"289.80"</f>
        <v>289.80</v>
      </c>
      <c r="G706" s="4" t="str">
        <f>"289.80"</f>
        <v>289.80</v>
      </c>
    </row>
    <row r="707" spans="1:7" ht="15.75" customHeight="1" x14ac:dyDescent="0.15">
      <c r="A707" s="1">
        <v>703</v>
      </c>
      <c r="B707" s="1">
        <v>8327</v>
      </c>
      <c r="C707" s="1" t="s">
        <v>856</v>
      </c>
      <c r="D707" s="1" t="s">
        <v>43</v>
      </c>
      <c r="E707" s="5" t="s">
        <v>1892</v>
      </c>
      <c r="F707" s="4" t="str">
        <f>"289.83"</f>
        <v>289.83</v>
      </c>
      <c r="G707" s="4" t="str">
        <f>"289.83"</f>
        <v>289.83</v>
      </c>
    </row>
    <row r="708" spans="1:7" ht="15.75" customHeight="1" x14ac:dyDescent="0.15">
      <c r="A708" s="1">
        <v>704</v>
      </c>
      <c r="B708" s="1">
        <v>11318</v>
      </c>
      <c r="C708" s="1" t="s">
        <v>768</v>
      </c>
      <c r="D708" s="1" t="s">
        <v>5</v>
      </c>
      <c r="E708" s="5" t="s">
        <v>1892</v>
      </c>
      <c r="F708" s="4" t="str">
        <f>"290.06"</f>
        <v>290.06</v>
      </c>
      <c r="G708" s="4"/>
    </row>
    <row r="709" spans="1:7" ht="15.75" customHeight="1" x14ac:dyDescent="0.15">
      <c r="A709" s="1">
        <v>705</v>
      </c>
      <c r="B709" s="1">
        <v>6457</v>
      </c>
      <c r="C709" s="1" t="s">
        <v>772</v>
      </c>
      <c r="D709" s="1" t="s">
        <v>91</v>
      </c>
      <c r="E709" s="5" t="s">
        <v>1892</v>
      </c>
      <c r="F709" s="4" t="str">
        <f>"290.23"</f>
        <v>290.23</v>
      </c>
      <c r="G709" s="4" t="str">
        <f>"393.93"</f>
        <v>393.93</v>
      </c>
    </row>
    <row r="710" spans="1:7" ht="15.75" customHeight="1" x14ac:dyDescent="0.15">
      <c r="A710" s="1">
        <v>706</v>
      </c>
      <c r="B710" s="1">
        <v>10267</v>
      </c>
      <c r="C710" s="1" t="s">
        <v>860</v>
      </c>
      <c r="D710" s="1" t="s">
        <v>19</v>
      </c>
      <c r="E710" s="5" t="s">
        <v>1892</v>
      </c>
      <c r="F710" s="4" t="str">
        <f>"290.57"</f>
        <v>290.57</v>
      </c>
      <c r="G710" s="4" t="str">
        <f>"290.57"</f>
        <v>290.57</v>
      </c>
    </row>
    <row r="711" spans="1:7" ht="15.75" customHeight="1" x14ac:dyDescent="0.15">
      <c r="A711" s="1">
        <v>707</v>
      </c>
      <c r="B711" s="1">
        <v>2396</v>
      </c>
      <c r="C711" s="1" t="s">
        <v>953</v>
      </c>
      <c r="D711" s="1" t="s">
        <v>5</v>
      </c>
      <c r="E711" s="5" t="s">
        <v>1892</v>
      </c>
      <c r="F711" s="4" t="str">
        <f>"291.49"</f>
        <v>291.49</v>
      </c>
      <c r="G711" s="4" t="str">
        <f>"291.49"</f>
        <v>291.49</v>
      </c>
    </row>
    <row r="712" spans="1:7" ht="15.75" customHeight="1" x14ac:dyDescent="0.15">
      <c r="A712" s="1">
        <v>708</v>
      </c>
      <c r="B712" s="1">
        <v>3369</v>
      </c>
      <c r="C712" s="1" t="s">
        <v>777</v>
      </c>
      <c r="D712" s="1" t="s">
        <v>74</v>
      </c>
      <c r="E712" s="5" t="s">
        <v>1892</v>
      </c>
      <c r="F712" s="4" t="str">
        <f>"292.07"</f>
        <v>292.07</v>
      </c>
      <c r="G712" s="4" t="str">
        <f>"305.75"</f>
        <v>305.75</v>
      </c>
    </row>
    <row r="713" spans="1:7" ht="15.75" customHeight="1" x14ac:dyDescent="0.15">
      <c r="A713" s="1">
        <v>709</v>
      </c>
      <c r="B713" s="1">
        <v>10943</v>
      </c>
      <c r="C713" s="1" t="s">
        <v>775</v>
      </c>
      <c r="D713" s="1" t="s">
        <v>5</v>
      </c>
      <c r="E713" s="5" t="s">
        <v>1892</v>
      </c>
      <c r="F713" s="4" t="str">
        <f>"292.53"</f>
        <v>292.53</v>
      </c>
      <c r="G713" s="4" t="str">
        <f>"531.38"</f>
        <v>531.38</v>
      </c>
    </row>
    <row r="714" spans="1:7" ht="15.75" customHeight="1" x14ac:dyDescent="0.15">
      <c r="A714" s="1">
        <v>710</v>
      </c>
      <c r="B714" s="1">
        <v>9972</v>
      </c>
      <c r="C714" s="1" t="s">
        <v>866</v>
      </c>
      <c r="D714" s="1" t="s">
        <v>81</v>
      </c>
      <c r="E714" s="5" t="s">
        <v>1892</v>
      </c>
      <c r="F714" s="4" t="str">
        <f>"293.43"</f>
        <v>293.43</v>
      </c>
      <c r="G714" s="4" t="str">
        <f>"293.43"</f>
        <v>293.43</v>
      </c>
    </row>
    <row r="715" spans="1:7" ht="15.75" customHeight="1" x14ac:dyDescent="0.15">
      <c r="A715" s="1">
        <v>711</v>
      </c>
      <c r="B715" s="1">
        <v>467</v>
      </c>
      <c r="C715" s="1" t="s">
        <v>868</v>
      </c>
      <c r="D715" s="1" t="s">
        <v>33</v>
      </c>
      <c r="E715" s="5" t="s">
        <v>1892</v>
      </c>
      <c r="F715" s="4" t="str">
        <f>"294.73"</f>
        <v>294.73</v>
      </c>
      <c r="G715" s="4" t="str">
        <f>"294.73"</f>
        <v>294.73</v>
      </c>
    </row>
    <row r="716" spans="1:7" ht="15.75" customHeight="1" x14ac:dyDescent="0.15">
      <c r="A716" s="1">
        <v>712</v>
      </c>
      <c r="B716" s="1">
        <v>10123</v>
      </c>
      <c r="C716" s="1" t="s">
        <v>1025</v>
      </c>
      <c r="D716" s="1" t="s">
        <v>5</v>
      </c>
      <c r="E716" s="5" t="s">
        <v>1892</v>
      </c>
      <c r="F716" s="4" t="str">
        <f>"295.82"</f>
        <v>295.82</v>
      </c>
      <c r="G716" s="4" t="str">
        <f>"295.82"</f>
        <v>295.82</v>
      </c>
    </row>
    <row r="717" spans="1:7" ht="15.75" customHeight="1" x14ac:dyDescent="0.15">
      <c r="A717" s="1">
        <v>713</v>
      </c>
      <c r="B717" s="1">
        <v>10576</v>
      </c>
      <c r="C717" s="1" t="s">
        <v>872</v>
      </c>
      <c r="D717" s="1" t="s">
        <v>5</v>
      </c>
      <c r="E717" s="5" t="s">
        <v>1892</v>
      </c>
      <c r="F717" s="4" t="str">
        <f>"296.01"</f>
        <v>296.01</v>
      </c>
      <c r="G717" s="4" t="str">
        <f>"296.01"</f>
        <v>296.01</v>
      </c>
    </row>
    <row r="718" spans="1:7" ht="15.75" customHeight="1" x14ac:dyDescent="0.15">
      <c r="A718" s="1">
        <v>714</v>
      </c>
      <c r="B718" s="1">
        <v>10998</v>
      </c>
      <c r="C718" s="1" t="s">
        <v>588</v>
      </c>
      <c r="D718" s="1" t="s">
        <v>8</v>
      </c>
      <c r="E718" s="5" t="s">
        <v>1892</v>
      </c>
      <c r="F718" s="4" t="str">
        <f>"296.69"</f>
        <v>296.69</v>
      </c>
      <c r="G718" s="4" t="str">
        <f>"396.98"</f>
        <v>396.98</v>
      </c>
    </row>
    <row r="719" spans="1:7" ht="15.75" customHeight="1" x14ac:dyDescent="0.15">
      <c r="A719" s="1">
        <v>715</v>
      </c>
      <c r="B719" s="1">
        <v>1812</v>
      </c>
      <c r="C719" s="1" t="s">
        <v>1004</v>
      </c>
      <c r="D719" s="1" t="s">
        <v>89</v>
      </c>
      <c r="E719" s="5" t="s">
        <v>1892</v>
      </c>
      <c r="F719" s="4" t="str">
        <f>"297.04"</f>
        <v>297.04</v>
      </c>
      <c r="G719" s="4" t="str">
        <f>"297.04"</f>
        <v>297.04</v>
      </c>
    </row>
    <row r="720" spans="1:7" ht="15.75" customHeight="1" x14ac:dyDescent="0.15">
      <c r="A720" s="1">
        <v>716</v>
      </c>
      <c r="B720" s="1">
        <v>10835</v>
      </c>
      <c r="C720" s="1" t="s">
        <v>891</v>
      </c>
      <c r="D720" s="1" t="s">
        <v>5</v>
      </c>
      <c r="E720" s="5" t="s">
        <v>1892</v>
      </c>
      <c r="F720" s="4" t="str">
        <f>"297.98"</f>
        <v>297.98</v>
      </c>
      <c r="G720" s="4" t="str">
        <f>"297.98"</f>
        <v>297.98</v>
      </c>
    </row>
    <row r="721" spans="1:7" ht="15.75" customHeight="1" x14ac:dyDescent="0.15">
      <c r="A721" s="1">
        <v>717</v>
      </c>
      <c r="B721" s="1">
        <v>484</v>
      </c>
      <c r="C721" s="1" t="s">
        <v>836</v>
      </c>
      <c r="D721" s="1" t="s">
        <v>94</v>
      </c>
      <c r="E721" s="5" t="s">
        <v>1892</v>
      </c>
      <c r="F721" s="4" t="str">
        <f>"298.51"</f>
        <v>298.51</v>
      </c>
      <c r="G721" s="4" t="str">
        <f>"309.73"</f>
        <v>309.73</v>
      </c>
    </row>
    <row r="722" spans="1:7" ht="15.75" customHeight="1" x14ac:dyDescent="0.15">
      <c r="A722" s="1">
        <v>718</v>
      </c>
      <c r="B722" s="1">
        <v>1266</v>
      </c>
      <c r="C722" s="1" t="s">
        <v>818</v>
      </c>
      <c r="D722" s="1" t="s">
        <v>92</v>
      </c>
      <c r="E722" s="5" t="s">
        <v>1892</v>
      </c>
      <c r="F722" s="4" t="str">
        <f>"298.98"</f>
        <v>298.98</v>
      </c>
      <c r="G722" s="4" t="str">
        <f>"298.98"</f>
        <v>298.98</v>
      </c>
    </row>
    <row r="723" spans="1:7" ht="15.75" customHeight="1" x14ac:dyDescent="0.15">
      <c r="A723" s="1">
        <v>719</v>
      </c>
      <c r="B723" s="1">
        <v>1430</v>
      </c>
      <c r="C723" s="1" t="s">
        <v>842</v>
      </c>
      <c r="D723" s="1" t="s">
        <v>22</v>
      </c>
      <c r="E723" s="5" t="s">
        <v>1892</v>
      </c>
      <c r="F723" s="4" t="str">
        <f>"299.73"</f>
        <v>299.73</v>
      </c>
      <c r="G723" s="4" t="str">
        <f>"316.29"</f>
        <v>316.29</v>
      </c>
    </row>
    <row r="724" spans="1:7" ht="15.75" customHeight="1" x14ac:dyDescent="0.15">
      <c r="A724" s="1">
        <v>720</v>
      </c>
      <c r="B724" s="1">
        <v>809</v>
      </c>
      <c r="C724" s="1" t="s">
        <v>875</v>
      </c>
      <c r="D724" s="1" t="s">
        <v>78</v>
      </c>
      <c r="E724" s="5" t="s">
        <v>1892</v>
      </c>
      <c r="F724" s="4" t="str">
        <f>"300.30"</f>
        <v>300.30</v>
      </c>
      <c r="G724" s="4" t="str">
        <f>"300.30"</f>
        <v>300.30</v>
      </c>
    </row>
    <row r="725" spans="1:7" ht="15.75" customHeight="1" x14ac:dyDescent="0.15">
      <c r="A725" s="1">
        <v>721</v>
      </c>
      <c r="B725" s="1">
        <v>6275</v>
      </c>
      <c r="C725" s="1" t="s">
        <v>876</v>
      </c>
      <c r="D725" s="1" t="s">
        <v>19</v>
      </c>
      <c r="E725" s="5" t="s">
        <v>1892</v>
      </c>
      <c r="F725" s="4" t="str">
        <f>"300.40"</f>
        <v>300.40</v>
      </c>
      <c r="G725" s="4" t="str">
        <f>"300.40"</f>
        <v>300.40</v>
      </c>
    </row>
    <row r="726" spans="1:7" ht="15.75" customHeight="1" x14ac:dyDescent="0.15">
      <c r="A726" s="1">
        <v>722</v>
      </c>
      <c r="B726" s="1">
        <v>2505</v>
      </c>
      <c r="C726" s="1" t="s">
        <v>878</v>
      </c>
      <c r="D726" s="1" t="s">
        <v>86</v>
      </c>
      <c r="E726" s="5" t="s">
        <v>1892</v>
      </c>
      <c r="F726" s="4" t="str">
        <f>"301.55"</f>
        <v>301.55</v>
      </c>
      <c r="G726" s="4" t="str">
        <f>"301.55"</f>
        <v>301.55</v>
      </c>
    </row>
    <row r="727" spans="1:7" ht="15.75" customHeight="1" x14ac:dyDescent="0.15">
      <c r="A727" s="1">
        <v>723</v>
      </c>
      <c r="B727" s="1">
        <v>6860</v>
      </c>
      <c r="C727" s="1" t="s">
        <v>879</v>
      </c>
      <c r="D727" s="1" t="s">
        <v>595</v>
      </c>
      <c r="E727" s="5" t="s">
        <v>1892</v>
      </c>
      <c r="F727" s="4" t="str">
        <f>"301.92"</f>
        <v>301.92</v>
      </c>
      <c r="G727" s="4" t="str">
        <f>"301.92"</f>
        <v>301.92</v>
      </c>
    </row>
    <row r="728" spans="1:7" ht="15.75" customHeight="1" x14ac:dyDescent="0.15">
      <c r="A728" s="1">
        <v>724</v>
      </c>
      <c r="B728" s="1">
        <v>4017</v>
      </c>
      <c r="C728" s="1" t="s">
        <v>881</v>
      </c>
      <c r="D728" s="1" t="s">
        <v>6</v>
      </c>
      <c r="E728" s="5" t="s">
        <v>1892</v>
      </c>
      <c r="F728" s="4" t="str">
        <f>"302.90"</f>
        <v>302.90</v>
      </c>
      <c r="G728" s="4" t="str">
        <f>"302.90"</f>
        <v>302.90</v>
      </c>
    </row>
    <row r="729" spans="1:7" ht="15.75" customHeight="1" x14ac:dyDescent="0.15">
      <c r="A729" s="1">
        <v>725</v>
      </c>
      <c r="B729" s="1">
        <v>2668</v>
      </c>
      <c r="C729" s="1" t="s">
        <v>806</v>
      </c>
      <c r="D729" s="1" t="s">
        <v>148</v>
      </c>
      <c r="E729" s="5" t="s">
        <v>1892</v>
      </c>
      <c r="F729" s="4" t="str">
        <f>"303.20"</f>
        <v>303.20</v>
      </c>
      <c r="G729" s="4" t="str">
        <f>"303.20"</f>
        <v>303.20</v>
      </c>
    </row>
    <row r="730" spans="1:7" ht="15.75" customHeight="1" x14ac:dyDescent="0.15">
      <c r="A730" s="1">
        <v>726</v>
      </c>
      <c r="B730" s="1">
        <v>6590</v>
      </c>
      <c r="C730" s="1" t="s">
        <v>884</v>
      </c>
      <c r="D730" s="1" t="s">
        <v>8</v>
      </c>
      <c r="E730" s="5" t="s">
        <v>1892</v>
      </c>
      <c r="F730" s="4" t="str">
        <f>"303.54"</f>
        <v>303.54</v>
      </c>
      <c r="G730" s="4" t="str">
        <f>"303.54"</f>
        <v>303.54</v>
      </c>
    </row>
    <row r="731" spans="1:7" ht="15.75" customHeight="1" x14ac:dyDescent="0.15">
      <c r="A731" s="1">
        <v>727</v>
      </c>
      <c r="B731" s="1">
        <v>2264</v>
      </c>
      <c r="C731" s="1" t="s">
        <v>845</v>
      </c>
      <c r="D731" s="1" t="s">
        <v>5</v>
      </c>
      <c r="E731" s="5" t="s">
        <v>1892</v>
      </c>
      <c r="F731" s="4" t="str">
        <f>"304.06"</f>
        <v>304.06</v>
      </c>
      <c r="G731" s="4" t="str">
        <f>"304.06"</f>
        <v>304.06</v>
      </c>
    </row>
    <row r="732" spans="1:7" ht="15.75" customHeight="1" x14ac:dyDescent="0.15">
      <c r="A732" s="1">
        <v>728</v>
      </c>
      <c r="B732" s="1">
        <v>8363</v>
      </c>
      <c r="C732" s="1" t="s">
        <v>885</v>
      </c>
      <c r="D732" s="1" t="s">
        <v>49</v>
      </c>
      <c r="E732" s="5" t="s">
        <v>1892</v>
      </c>
      <c r="F732" s="4" t="str">
        <f>"304.11"</f>
        <v>304.11</v>
      </c>
      <c r="G732" s="4" t="str">
        <f>"304.11"</f>
        <v>304.11</v>
      </c>
    </row>
    <row r="733" spans="1:7" ht="15.75" customHeight="1" x14ac:dyDescent="0.15">
      <c r="A733" s="1">
        <v>729</v>
      </c>
      <c r="B733" s="1">
        <v>10372</v>
      </c>
      <c r="C733" s="1" t="s">
        <v>886</v>
      </c>
      <c r="D733" s="1" t="s">
        <v>75</v>
      </c>
      <c r="E733" s="5" t="s">
        <v>1892</v>
      </c>
      <c r="F733" s="4" t="str">
        <f>"304.33"</f>
        <v>304.33</v>
      </c>
      <c r="G733" s="4" t="str">
        <f>"304.33"</f>
        <v>304.33</v>
      </c>
    </row>
    <row r="734" spans="1:7" ht="15.75" customHeight="1" x14ac:dyDescent="0.15">
      <c r="A734" s="1">
        <v>730</v>
      </c>
      <c r="B734" s="1">
        <v>4386</v>
      </c>
      <c r="C734" s="1" t="s">
        <v>889</v>
      </c>
      <c r="D734" s="1" t="s">
        <v>500</v>
      </c>
      <c r="E734" s="5" t="s">
        <v>1892</v>
      </c>
      <c r="F734" s="4" t="str">
        <f>"304.51"</f>
        <v>304.51</v>
      </c>
      <c r="G734" s="4" t="str">
        <f>"304.51"</f>
        <v>304.51</v>
      </c>
    </row>
    <row r="735" spans="1:7" ht="15.75" customHeight="1" x14ac:dyDescent="0.15">
      <c r="A735" s="1">
        <v>731</v>
      </c>
      <c r="B735" s="1">
        <v>7639</v>
      </c>
      <c r="C735" s="1" t="s">
        <v>1018</v>
      </c>
      <c r="D735" s="1" t="s">
        <v>82</v>
      </c>
      <c r="E735" s="5" t="s">
        <v>1892</v>
      </c>
      <c r="F735" s="4" t="str">
        <f>"304.57"</f>
        <v>304.57</v>
      </c>
      <c r="G735" s="4" t="str">
        <f>"304.57"</f>
        <v>304.57</v>
      </c>
    </row>
    <row r="736" spans="1:7" ht="15.75" customHeight="1" x14ac:dyDescent="0.15">
      <c r="A736" s="1">
        <v>732</v>
      </c>
      <c r="B736" s="1">
        <v>805</v>
      </c>
      <c r="C736" s="1" t="s">
        <v>887</v>
      </c>
      <c r="D736" s="1" t="s">
        <v>41</v>
      </c>
      <c r="E736" s="5" t="s">
        <v>1892</v>
      </c>
      <c r="F736" s="4" t="str">
        <f>"304.75"</f>
        <v>304.75</v>
      </c>
      <c r="G736" s="4" t="str">
        <f>"304.75"</f>
        <v>304.75</v>
      </c>
    </row>
    <row r="737" spans="1:7" ht="15.75" customHeight="1" x14ac:dyDescent="0.15">
      <c r="A737" s="1">
        <v>733</v>
      </c>
      <c r="B737" s="1">
        <v>10436</v>
      </c>
      <c r="C737" s="1" t="s">
        <v>888</v>
      </c>
      <c r="D737" s="1" t="s">
        <v>19</v>
      </c>
      <c r="E737" s="5" t="s">
        <v>1892</v>
      </c>
      <c r="F737" s="4" t="str">
        <f>"305.08"</f>
        <v>305.08</v>
      </c>
      <c r="G737" s="4" t="str">
        <f>"305.08"</f>
        <v>305.08</v>
      </c>
    </row>
    <row r="738" spans="1:7" ht="15.75" customHeight="1" x14ac:dyDescent="0.15">
      <c r="A738" s="1">
        <v>734</v>
      </c>
      <c r="B738" s="1">
        <v>6692</v>
      </c>
      <c r="C738" s="1" t="s">
        <v>897</v>
      </c>
      <c r="D738" s="1" t="s">
        <v>88</v>
      </c>
      <c r="E738" s="5" t="s">
        <v>1892</v>
      </c>
      <c r="F738" s="4" t="str">
        <f>"307.37"</f>
        <v>307.37</v>
      </c>
      <c r="G738" s="4" t="str">
        <f>"307.37"</f>
        <v>307.37</v>
      </c>
    </row>
    <row r="739" spans="1:7" ht="15.75" customHeight="1" x14ac:dyDescent="0.15">
      <c r="A739" s="1">
        <v>735</v>
      </c>
      <c r="B739" s="1">
        <v>5512</v>
      </c>
      <c r="C739" s="1" t="s">
        <v>899</v>
      </c>
      <c r="D739" s="1" t="s">
        <v>5</v>
      </c>
      <c r="E739" s="5" t="s">
        <v>1892</v>
      </c>
      <c r="F739" s="4" t="str">
        <f>"308.29"</f>
        <v>308.29</v>
      </c>
      <c r="G739" s="4" t="str">
        <f>"308.29"</f>
        <v>308.29</v>
      </c>
    </row>
    <row r="740" spans="1:7" ht="15.75" customHeight="1" x14ac:dyDescent="0.15">
      <c r="A740" s="1">
        <v>736</v>
      </c>
      <c r="B740" s="1">
        <v>10680</v>
      </c>
      <c r="C740" s="1" t="s">
        <v>902</v>
      </c>
      <c r="D740" s="1" t="s">
        <v>19</v>
      </c>
      <c r="E740" s="5" t="s">
        <v>1892</v>
      </c>
      <c r="F740" s="4" t="str">
        <f>"309.03"</f>
        <v>309.03</v>
      </c>
      <c r="G740" s="4" t="str">
        <f>"309.03"</f>
        <v>309.03</v>
      </c>
    </row>
    <row r="741" spans="1:7" ht="15.75" customHeight="1" x14ac:dyDescent="0.15">
      <c r="A741" s="1">
        <v>737</v>
      </c>
      <c r="B741" s="1">
        <v>11008</v>
      </c>
      <c r="C741" s="1" t="s">
        <v>905</v>
      </c>
      <c r="D741" s="1" t="s">
        <v>102</v>
      </c>
      <c r="E741" s="5" t="s">
        <v>1892</v>
      </c>
      <c r="F741" s="4" t="str">
        <f>"309.98"</f>
        <v>309.98</v>
      </c>
      <c r="G741" s="4" t="str">
        <f>"309.98"</f>
        <v>309.98</v>
      </c>
    </row>
    <row r="742" spans="1:7" ht="15.75" customHeight="1" x14ac:dyDescent="0.15">
      <c r="A742" s="1">
        <v>738</v>
      </c>
      <c r="B742" s="1">
        <v>3310</v>
      </c>
      <c r="C742" s="1" t="s">
        <v>906</v>
      </c>
      <c r="D742" s="1" t="s">
        <v>250</v>
      </c>
      <c r="E742" s="5" t="s">
        <v>1892</v>
      </c>
      <c r="F742" s="4" t="str">
        <f>"310.04"</f>
        <v>310.04</v>
      </c>
      <c r="G742" s="4" t="str">
        <f>"310.04"</f>
        <v>310.04</v>
      </c>
    </row>
    <row r="743" spans="1:7" ht="15.75" customHeight="1" x14ac:dyDescent="0.15">
      <c r="A743" s="1">
        <v>739</v>
      </c>
      <c r="B743" s="1">
        <v>10495</v>
      </c>
      <c r="C743" s="1" t="s">
        <v>907</v>
      </c>
      <c r="D743" s="1" t="s">
        <v>19</v>
      </c>
      <c r="E743" s="5" t="s">
        <v>1892</v>
      </c>
      <c r="F743" s="4" t="str">
        <f>"310.04"</f>
        <v>310.04</v>
      </c>
      <c r="G743" s="4" t="str">
        <f>"310.04"</f>
        <v>310.04</v>
      </c>
    </row>
    <row r="744" spans="1:7" ht="15.75" customHeight="1" x14ac:dyDescent="0.15">
      <c r="A744" s="1">
        <v>740</v>
      </c>
      <c r="B744" s="1">
        <v>5337</v>
      </c>
      <c r="C744" s="1" t="s">
        <v>908</v>
      </c>
      <c r="D744" s="1" t="s">
        <v>43</v>
      </c>
      <c r="E744" s="5" t="s">
        <v>1892</v>
      </c>
      <c r="F744" s="4" t="str">
        <f>"310.07"</f>
        <v>310.07</v>
      </c>
      <c r="G744" s="4" t="str">
        <f>"310.07"</f>
        <v>310.07</v>
      </c>
    </row>
    <row r="745" spans="1:7" ht="15.75" customHeight="1" x14ac:dyDescent="0.15">
      <c r="A745" s="1">
        <v>741</v>
      </c>
      <c r="B745" s="1">
        <v>10182</v>
      </c>
      <c r="C745" s="1" t="s">
        <v>814</v>
      </c>
      <c r="D745" s="1" t="s">
        <v>5</v>
      </c>
      <c r="E745" s="5" t="s">
        <v>1892</v>
      </c>
      <c r="F745" s="4" t="str">
        <f>"310.17"</f>
        <v>310.17</v>
      </c>
      <c r="G745" s="4" t="str">
        <f>"373.12"</f>
        <v>373.12</v>
      </c>
    </row>
    <row r="746" spans="1:7" ht="15.75" customHeight="1" x14ac:dyDescent="0.15">
      <c r="A746" s="1">
        <v>742</v>
      </c>
      <c r="B746" s="1">
        <v>5746</v>
      </c>
      <c r="C746" s="1" t="s">
        <v>1141</v>
      </c>
      <c r="D746" s="1" t="s">
        <v>144</v>
      </c>
      <c r="E746" s="5" t="s">
        <v>1892</v>
      </c>
      <c r="F746" s="4" t="str">
        <f>"310.20"</f>
        <v>310.20</v>
      </c>
      <c r="G746" s="4" t="str">
        <f>"310.20"</f>
        <v>310.20</v>
      </c>
    </row>
    <row r="747" spans="1:7" ht="15.75" customHeight="1" x14ac:dyDescent="0.15">
      <c r="A747" s="1">
        <v>743</v>
      </c>
      <c r="B747" s="1">
        <v>10167</v>
      </c>
      <c r="C747" s="1" t="s">
        <v>846</v>
      </c>
      <c r="D747" s="1" t="s">
        <v>5</v>
      </c>
      <c r="E747" s="5" t="s">
        <v>1892</v>
      </c>
      <c r="F747" s="4" t="str">
        <f>"310.27"</f>
        <v>310.27</v>
      </c>
      <c r="G747" s="4" t="str">
        <f>"334.72"</f>
        <v>334.72</v>
      </c>
    </row>
    <row r="748" spans="1:7" ht="15.75" customHeight="1" x14ac:dyDescent="0.15">
      <c r="A748" s="1">
        <v>744</v>
      </c>
      <c r="B748" s="1">
        <v>10227</v>
      </c>
      <c r="C748" s="1" t="s">
        <v>909</v>
      </c>
      <c r="D748" s="1" t="s">
        <v>58</v>
      </c>
      <c r="E748" s="5" t="s">
        <v>1892</v>
      </c>
      <c r="F748" s="4" t="str">
        <f>"310.37"</f>
        <v>310.37</v>
      </c>
      <c r="G748" s="4" t="str">
        <f>"310.37"</f>
        <v>310.37</v>
      </c>
    </row>
    <row r="749" spans="1:7" ht="15.75" customHeight="1" x14ac:dyDescent="0.15">
      <c r="A749" s="1">
        <v>745</v>
      </c>
      <c r="B749" s="1">
        <v>8333</v>
      </c>
      <c r="C749" s="1" t="s">
        <v>910</v>
      </c>
      <c r="D749" s="1" t="s">
        <v>6</v>
      </c>
      <c r="E749" s="5" t="s">
        <v>1892</v>
      </c>
      <c r="F749" s="4" t="str">
        <f>"310.99"</f>
        <v>310.99</v>
      </c>
      <c r="G749" s="4" t="str">
        <f>"310.99"</f>
        <v>310.99</v>
      </c>
    </row>
    <row r="750" spans="1:7" ht="15.75" customHeight="1" x14ac:dyDescent="0.15">
      <c r="A750" s="1">
        <v>746</v>
      </c>
      <c r="B750" s="1">
        <v>10636</v>
      </c>
      <c r="C750" s="1" t="s">
        <v>969</v>
      </c>
      <c r="D750" s="1" t="s">
        <v>5</v>
      </c>
      <c r="E750" s="5" t="s">
        <v>1892</v>
      </c>
      <c r="F750" s="4" t="str">
        <f>"311.65"</f>
        <v>311.65</v>
      </c>
      <c r="G750" s="4" t="str">
        <f>"311.65"</f>
        <v>311.65</v>
      </c>
    </row>
    <row r="751" spans="1:7" ht="15.75" customHeight="1" x14ac:dyDescent="0.15">
      <c r="A751" s="1">
        <v>747</v>
      </c>
      <c r="B751" s="1">
        <v>4346</v>
      </c>
      <c r="C751" s="1" t="s">
        <v>911</v>
      </c>
      <c r="D751" s="1" t="s">
        <v>44</v>
      </c>
      <c r="E751" s="5" t="s">
        <v>1892</v>
      </c>
      <c r="F751" s="4" t="str">
        <f>"311.81"</f>
        <v>311.81</v>
      </c>
      <c r="G751" s="4" t="str">
        <f>"311.81"</f>
        <v>311.81</v>
      </c>
    </row>
    <row r="752" spans="1:7" ht="15.75" customHeight="1" x14ac:dyDescent="0.15">
      <c r="A752" s="1">
        <v>748</v>
      </c>
      <c r="B752" s="1">
        <v>10900</v>
      </c>
      <c r="C752" s="1" t="s">
        <v>898</v>
      </c>
      <c r="D752" s="1" t="s">
        <v>5</v>
      </c>
      <c r="E752" s="5" t="s">
        <v>1892</v>
      </c>
      <c r="F752" s="4" t="str">
        <f>"312.37"</f>
        <v>312.37</v>
      </c>
      <c r="G752" s="4" t="str">
        <f>"316.69"</f>
        <v>316.69</v>
      </c>
    </row>
    <row r="753" spans="1:7" ht="15.75" customHeight="1" x14ac:dyDescent="0.15">
      <c r="A753" s="1">
        <v>749</v>
      </c>
      <c r="B753" s="1">
        <v>13</v>
      </c>
      <c r="C753" s="1" t="s">
        <v>913</v>
      </c>
      <c r="D753" s="1" t="s">
        <v>85</v>
      </c>
      <c r="E753" s="5" t="s">
        <v>1892</v>
      </c>
      <c r="F753" s="4" t="str">
        <f>"313.73"</f>
        <v>313.73</v>
      </c>
      <c r="G753" s="4" t="str">
        <f>"313.73"</f>
        <v>313.73</v>
      </c>
    </row>
    <row r="754" spans="1:7" ht="15.75" customHeight="1" x14ac:dyDescent="0.15">
      <c r="A754" s="1">
        <v>750</v>
      </c>
      <c r="B754" s="1">
        <v>2454</v>
      </c>
      <c r="C754" s="1" t="s">
        <v>916</v>
      </c>
      <c r="D754" s="1" t="s">
        <v>82</v>
      </c>
      <c r="E754" s="5" t="s">
        <v>1892</v>
      </c>
      <c r="F754" s="4" t="str">
        <f>"314.78"</f>
        <v>314.78</v>
      </c>
      <c r="G754" s="4" t="str">
        <f>"314.78"</f>
        <v>314.78</v>
      </c>
    </row>
    <row r="755" spans="1:7" ht="15.75" customHeight="1" x14ac:dyDescent="0.15">
      <c r="A755" s="1">
        <v>751</v>
      </c>
      <c r="B755" s="1">
        <v>10151</v>
      </c>
      <c r="C755" s="1" t="s">
        <v>989</v>
      </c>
      <c r="D755" s="1" t="s">
        <v>5</v>
      </c>
      <c r="E755" s="5" t="s">
        <v>1892</v>
      </c>
      <c r="F755" s="4" t="str">
        <f>"314.90"</f>
        <v>314.90</v>
      </c>
      <c r="G755" s="4" t="str">
        <f>"314.90"</f>
        <v>314.90</v>
      </c>
    </row>
    <row r="756" spans="1:7" ht="15.75" customHeight="1" x14ac:dyDescent="0.15">
      <c r="A756" s="1">
        <v>752</v>
      </c>
      <c r="B756" s="1">
        <v>2161</v>
      </c>
      <c r="C756" s="1" t="s">
        <v>1041</v>
      </c>
      <c r="D756" s="1" t="s">
        <v>5</v>
      </c>
      <c r="E756" s="5" t="s">
        <v>1892</v>
      </c>
      <c r="F756" s="4" t="str">
        <f>"315.72"</f>
        <v>315.72</v>
      </c>
      <c r="G756" s="4" t="str">
        <f>"315.72"</f>
        <v>315.72</v>
      </c>
    </row>
    <row r="757" spans="1:7" ht="15.75" customHeight="1" x14ac:dyDescent="0.15">
      <c r="A757" s="1">
        <v>753</v>
      </c>
      <c r="B757" s="1">
        <v>10979</v>
      </c>
      <c r="C757" s="1" t="s">
        <v>827</v>
      </c>
      <c r="D757" s="1" t="s">
        <v>828</v>
      </c>
      <c r="E757" s="5" t="s">
        <v>1892</v>
      </c>
      <c r="F757" s="4" t="str">
        <f>"316.04"</f>
        <v>316.04</v>
      </c>
      <c r="G757" s="4"/>
    </row>
    <row r="758" spans="1:7" ht="15.75" customHeight="1" x14ac:dyDescent="0.15">
      <c r="A758" s="1">
        <v>754</v>
      </c>
      <c r="B758" s="1">
        <v>10870</v>
      </c>
      <c r="C758" s="1" t="s">
        <v>829</v>
      </c>
      <c r="D758" s="1" t="s">
        <v>5</v>
      </c>
      <c r="E758" s="5" t="s">
        <v>1892</v>
      </c>
      <c r="F758" s="4" t="str">
        <f>"316.14"</f>
        <v>316.14</v>
      </c>
      <c r="G758" s="4" t="str">
        <f>"414.72"</f>
        <v>414.72</v>
      </c>
    </row>
    <row r="759" spans="1:7" ht="15.75" customHeight="1" x14ac:dyDescent="0.15">
      <c r="A759" s="1">
        <v>755</v>
      </c>
      <c r="B759" s="1">
        <v>10977</v>
      </c>
      <c r="C759" s="1" t="s">
        <v>830</v>
      </c>
      <c r="D759" s="1" t="s">
        <v>61</v>
      </c>
      <c r="E759" s="5" t="s">
        <v>1892</v>
      </c>
      <c r="F759" s="4" t="str">
        <f>"316.16"</f>
        <v>316.16</v>
      </c>
      <c r="G759" s="4"/>
    </row>
    <row r="760" spans="1:7" ht="15.75" customHeight="1" x14ac:dyDescent="0.15">
      <c r="A760" s="1">
        <v>756</v>
      </c>
      <c r="B760" s="1">
        <v>2325</v>
      </c>
      <c r="C760" s="1" t="s">
        <v>841</v>
      </c>
      <c r="D760" s="1" t="s">
        <v>5</v>
      </c>
      <c r="E760" s="5" t="s">
        <v>1892</v>
      </c>
      <c r="F760" s="4" t="str">
        <f>"316.44"</f>
        <v>316.44</v>
      </c>
      <c r="G760" s="4" t="str">
        <f>"331.93"</f>
        <v>331.93</v>
      </c>
    </row>
    <row r="761" spans="1:7" ht="15.75" customHeight="1" x14ac:dyDescent="0.15">
      <c r="A761" s="1">
        <v>757</v>
      </c>
      <c r="B761" s="1">
        <v>8442</v>
      </c>
      <c r="C761" s="1" t="s">
        <v>918</v>
      </c>
      <c r="D761" s="1" t="s">
        <v>6</v>
      </c>
      <c r="E761" s="5" t="s">
        <v>1892</v>
      </c>
      <c r="F761" s="4" t="str">
        <f>"317.07"</f>
        <v>317.07</v>
      </c>
      <c r="G761" s="4" t="str">
        <f>"317.07"</f>
        <v>317.07</v>
      </c>
    </row>
    <row r="762" spans="1:7" ht="15.75" customHeight="1" x14ac:dyDescent="0.15">
      <c r="A762" s="1">
        <v>758</v>
      </c>
      <c r="B762" s="1">
        <v>10803</v>
      </c>
      <c r="C762" s="1" t="s">
        <v>919</v>
      </c>
      <c r="D762" s="1" t="s">
        <v>19</v>
      </c>
      <c r="E762" s="5" t="s">
        <v>1892</v>
      </c>
      <c r="F762" s="4" t="str">
        <f>"317.38"</f>
        <v>317.38</v>
      </c>
      <c r="G762" s="4" t="str">
        <f>"317.38"</f>
        <v>317.38</v>
      </c>
    </row>
    <row r="763" spans="1:7" ht="15.75" customHeight="1" x14ac:dyDescent="0.15">
      <c r="A763" s="1">
        <v>759</v>
      </c>
      <c r="B763" s="1">
        <v>10202</v>
      </c>
      <c r="C763" s="1" t="s">
        <v>883</v>
      </c>
      <c r="D763" s="1" t="s">
        <v>5</v>
      </c>
      <c r="E763" s="5" t="s">
        <v>1892</v>
      </c>
      <c r="F763" s="4" t="str">
        <f>"318.08"</f>
        <v>318.08</v>
      </c>
      <c r="G763" s="4" t="str">
        <f>"332.89"</f>
        <v>332.89</v>
      </c>
    </row>
    <row r="764" spans="1:7" ht="15.75" customHeight="1" x14ac:dyDescent="0.15">
      <c r="A764" s="1">
        <v>760</v>
      </c>
      <c r="B764" s="1">
        <v>10451</v>
      </c>
      <c r="C764" s="1" t="s">
        <v>920</v>
      </c>
      <c r="D764" s="1" t="s">
        <v>19</v>
      </c>
      <c r="E764" s="5" t="s">
        <v>1892</v>
      </c>
      <c r="F764" s="4" t="str">
        <f>"318.23"</f>
        <v>318.23</v>
      </c>
      <c r="G764" s="4" t="str">
        <f>"318.23"</f>
        <v>318.23</v>
      </c>
    </row>
    <row r="765" spans="1:7" ht="15.75" customHeight="1" x14ac:dyDescent="0.15">
      <c r="A765" s="1">
        <v>761</v>
      </c>
      <c r="B765" s="1">
        <v>2146</v>
      </c>
      <c r="C765" s="1" t="s">
        <v>922</v>
      </c>
      <c r="D765" s="1" t="s">
        <v>91</v>
      </c>
      <c r="E765" s="5" t="s">
        <v>1892</v>
      </c>
      <c r="F765" s="4" t="str">
        <f>"318.95"</f>
        <v>318.95</v>
      </c>
      <c r="G765" s="4" t="str">
        <f>"318.95"</f>
        <v>318.95</v>
      </c>
    </row>
    <row r="766" spans="1:7" ht="15.75" customHeight="1" x14ac:dyDescent="0.15">
      <c r="A766" s="1">
        <v>762</v>
      </c>
      <c r="B766" s="1">
        <v>10170</v>
      </c>
      <c r="C766" s="1" t="s">
        <v>877</v>
      </c>
      <c r="D766" s="1" t="s">
        <v>5</v>
      </c>
      <c r="E766" s="5" t="s">
        <v>1892</v>
      </c>
      <c r="F766" s="4" t="str">
        <f>"318.99"</f>
        <v>318.99</v>
      </c>
      <c r="G766" s="4" t="str">
        <f>"325.58"</f>
        <v>325.58</v>
      </c>
    </row>
    <row r="767" spans="1:7" ht="15.75" customHeight="1" x14ac:dyDescent="0.15">
      <c r="A767" s="1">
        <v>763</v>
      </c>
      <c r="B767" s="1">
        <v>10340</v>
      </c>
      <c r="C767" s="1" t="s">
        <v>923</v>
      </c>
      <c r="D767" s="1" t="s">
        <v>5</v>
      </c>
      <c r="E767" s="5" t="s">
        <v>1892</v>
      </c>
      <c r="F767" s="4" t="str">
        <f>"319.12"</f>
        <v>319.12</v>
      </c>
      <c r="G767" s="4" t="str">
        <f>"319.12"</f>
        <v>319.12</v>
      </c>
    </row>
    <row r="768" spans="1:7" ht="15.75" customHeight="1" x14ac:dyDescent="0.15">
      <c r="A768" s="1">
        <v>764</v>
      </c>
      <c r="B768" s="1">
        <v>2507</v>
      </c>
      <c r="C768" s="1" t="s">
        <v>999</v>
      </c>
      <c r="D768" s="1" t="s">
        <v>86</v>
      </c>
      <c r="E768" s="5" t="s">
        <v>1892</v>
      </c>
      <c r="F768" s="4" t="str">
        <f>"319.37"</f>
        <v>319.37</v>
      </c>
      <c r="G768" s="4" t="str">
        <f>"319.37"</f>
        <v>319.37</v>
      </c>
    </row>
    <row r="769" spans="1:7" ht="15.75" customHeight="1" x14ac:dyDescent="0.15">
      <c r="A769" s="1">
        <v>765</v>
      </c>
      <c r="B769" s="1">
        <v>11039</v>
      </c>
      <c r="C769" s="1" t="s">
        <v>925</v>
      </c>
      <c r="D769" s="1" t="s">
        <v>6</v>
      </c>
      <c r="E769" s="5" t="s">
        <v>1892</v>
      </c>
      <c r="F769" s="4" t="str">
        <f>"319.47"</f>
        <v>319.47</v>
      </c>
      <c r="G769" s="4" t="str">
        <f>"319.47"</f>
        <v>319.47</v>
      </c>
    </row>
    <row r="770" spans="1:7" ht="15.75" customHeight="1" x14ac:dyDescent="0.15">
      <c r="A770" s="1">
        <v>766</v>
      </c>
      <c r="B770" s="1">
        <v>10297</v>
      </c>
      <c r="C770" s="1" t="s">
        <v>928</v>
      </c>
      <c r="D770" s="1" t="s">
        <v>6</v>
      </c>
      <c r="E770" s="5" t="s">
        <v>1892</v>
      </c>
      <c r="F770" s="4" t="str">
        <f>"321.00"</f>
        <v>321.00</v>
      </c>
      <c r="G770" s="4" t="str">
        <f>"321.00"</f>
        <v>321.00</v>
      </c>
    </row>
    <row r="771" spans="1:7" ht="15.75" customHeight="1" x14ac:dyDescent="0.15">
      <c r="A771" s="1">
        <v>767</v>
      </c>
      <c r="B771" s="1">
        <v>10445</v>
      </c>
      <c r="C771" s="1" t="s">
        <v>929</v>
      </c>
      <c r="D771" s="1" t="s">
        <v>19</v>
      </c>
      <c r="E771" s="5" t="s">
        <v>1892</v>
      </c>
      <c r="F771" s="4" t="str">
        <f>"321.08"</f>
        <v>321.08</v>
      </c>
      <c r="G771" s="4" t="str">
        <f>"321.08"</f>
        <v>321.08</v>
      </c>
    </row>
    <row r="772" spans="1:7" ht="15.75" customHeight="1" x14ac:dyDescent="0.15">
      <c r="A772" s="1">
        <v>768</v>
      </c>
      <c r="B772" s="1">
        <v>10415</v>
      </c>
      <c r="C772" s="1" t="s">
        <v>932</v>
      </c>
      <c r="D772" s="1" t="s">
        <v>19</v>
      </c>
      <c r="E772" s="5" t="s">
        <v>1892</v>
      </c>
      <c r="F772" s="4" t="str">
        <f>"322.62"</f>
        <v>322.62</v>
      </c>
      <c r="G772" s="4" t="str">
        <f>"322.62"</f>
        <v>322.62</v>
      </c>
    </row>
    <row r="773" spans="1:7" ht="15.75" customHeight="1" x14ac:dyDescent="0.15">
      <c r="A773" s="1">
        <v>769</v>
      </c>
      <c r="B773" s="1">
        <v>10689</v>
      </c>
      <c r="C773" s="1" t="s">
        <v>933</v>
      </c>
      <c r="D773" s="1" t="s">
        <v>8</v>
      </c>
      <c r="E773" s="5" t="s">
        <v>1892</v>
      </c>
      <c r="F773" s="4" t="str">
        <f>"322.79"</f>
        <v>322.79</v>
      </c>
      <c r="G773" s="4" t="str">
        <f>"322.79"</f>
        <v>322.79</v>
      </c>
    </row>
    <row r="774" spans="1:7" ht="15.75" customHeight="1" x14ac:dyDescent="0.15">
      <c r="A774" s="1">
        <v>770</v>
      </c>
      <c r="B774" s="1">
        <v>1306</v>
      </c>
      <c r="C774" s="1" t="s">
        <v>934</v>
      </c>
      <c r="D774" s="1" t="s">
        <v>34</v>
      </c>
      <c r="E774" s="5" t="s">
        <v>1892</v>
      </c>
      <c r="F774" s="4" t="str">
        <f>"323.46"</f>
        <v>323.46</v>
      </c>
      <c r="G774" s="4" t="str">
        <f>"323.46"</f>
        <v>323.46</v>
      </c>
    </row>
    <row r="775" spans="1:7" ht="15.75" customHeight="1" x14ac:dyDescent="0.15">
      <c r="A775" s="1">
        <v>771</v>
      </c>
      <c r="B775" s="1">
        <v>10424</v>
      </c>
      <c r="C775" s="1" t="s">
        <v>935</v>
      </c>
      <c r="D775" s="1" t="s">
        <v>19</v>
      </c>
      <c r="E775" s="5" t="s">
        <v>1892</v>
      </c>
      <c r="F775" s="4" t="str">
        <f>"324.67"</f>
        <v>324.67</v>
      </c>
      <c r="G775" s="4" t="str">
        <f>"324.67"</f>
        <v>324.67</v>
      </c>
    </row>
    <row r="776" spans="1:7" ht="15.75" customHeight="1" x14ac:dyDescent="0.15">
      <c r="A776" s="1">
        <v>772</v>
      </c>
      <c r="B776" s="1">
        <v>10963</v>
      </c>
      <c r="C776" s="1" t="s">
        <v>936</v>
      </c>
      <c r="D776" s="1" t="s">
        <v>27</v>
      </c>
      <c r="E776" s="5" t="s">
        <v>1892</v>
      </c>
      <c r="F776" s="4" t="str">
        <f>"325.91"</f>
        <v>325.91</v>
      </c>
      <c r="G776" s="4" t="str">
        <f>"325.91"</f>
        <v>325.91</v>
      </c>
    </row>
    <row r="777" spans="1:7" ht="15.75" customHeight="1" x14ac:dyDescent="0.15">
      <c r="A777" s="1">
        <v>773</v>
      </c>
      <c r="B777" s="1">
        <v>10912</v>
      </c>
      <c r="C777" s="1" t="s">
        <v>847</v>
      </c>
      <c r="D777" s="1" t="s">
        <v>5</v>
      </c>
      <c r="E777" s="5" t="s">
        <v>1892</v>
      </c>
      <c r="F777" s="4" t="str">
        <f>"325.95"</f>
        <v>325.95</v>
      </c>
      <c r="G777" s="4" t="str">
        <f>"493.13"</f>
        <v>493.13</v>
      </c>
    </row>
    <row r="778" spans="1:7" ht="15.75" customHeight="1" x14ac:dyDescent="0.15">
      <c r="A778" s="1">
        <v>774</v>
      </c>
      <c r="B778" s="1">
        <v>6943</v>
      </c>
      <c r="C778" s="1" t="s">
        <v>848</v>
      </c>
      <c r="D778" s="1" t="s">
        <v>534</v>
      </c>
      <c r="E778" s="5" t="s">
        <v>1892</v>
      </c>
      <c r="F778" s="4" t="str">
        <f>"325.98"</f>
        <v>325.98</v>
      </c>
      <c r="G778" s="4" t="str">
        <f>"375.77"</f>
        <v>375.77</v>
      </c>
    </row>
    <row r="779" spans="1:7" ht="15.75" customHeight="1" x14ac:dyDescent="0.15">
      <c r="A779" s="1">
        <v>775</v>
      </c>
      <c r="B779" s="1">
        <v>5492</v>
      </c>
      <c r="C779" s="1" t="s">
        <v>903</v>
      </c>
      <c r="D779" s="1" t="s">
        <v>5</v>
      </c>
      <c r="E779" s="5" t="s">
        <v>1892</v>
      </c>
      <c r="F779" s="4" t="str">
        <f>"328.89"</f>
        <v>328.89</v>
      </c>
      <c r="G779" s="4" t="str">
        <f>"328.89"</f>
        <v>328.89</v>
      </c>
    </row>
    <row r="780" spans="1:7" ht="15.75" customHeight="1" x14ac:dyDescent="0.15">
      <c r="A780" s="1">
        <v>776</v>
      </c>
      <c r="B780" s="1">
        <v>8318</v>
      </c>
      <c r="C780" s="1" t="s">
        <v>857</v>
      </c>
      <c r="D780" s="1" t="s">
        <v>858</v>
      </c>
      <c r="E780" s="5" t="s">
        <v>1892</v>
      </c>
      <c r="F780" s="4" t="str">
        <f>"330.00"</f>
        <v>330.00</v>
      </c>
      <c r="G780" s="4"/>
    </row>
    <row r="781" spans="1:7" ht="15.75" customHeight="1" x14ac:dyDescent="0.15">
      <c r="A781" s="1">
        <v>777</v>
      </c>
      <c r="B781" s="1">
        <v>11348</v>
      </c>
      <c r="C781" s="1" t="s">
        <v>859</v>
      </c>
      <c r="D781" s="1" t="s">
        <v>77</v>
      </c>
      <c r="E781" s="5" t="s">
        <v>1892</v>
      </c>
      <c r="F781" s="4" t="str">
        <f>"330.30"</f>
        <v>330.30</v>
      </c>
      <c r="G781" s="4"/>
    </row>
    <row r="782" spans="1:7" ht="15.75" customHeight="1" x14ac:dyDescent="0.15">
      <c r="A782" s="1">
        <v>778</v>
      </c>
      <c r="B782" s="1">
        <v>1912</v>
      </c>
      <c r="C782" s="1" t="s">
        <v>861</v>
      </c>
      <c r="D782" s="1" t="s">
        <v>60</v>
      </c>
      <c r="E782" s="5" t="s">
        <v>1892</v>
      </c>
      <c r="F782" s="4" t="str">
        <f>"330.60"</f>
        <v>330.60</v>
      </c>
      <c r="G782" s="4" t="str">
        <f>"453.87"</f>
        <v>453.87</v>
      </c>
    </row>
    <row r="783" spans="1:7" ht="15.75" customHeight="1" x14ac:dyDescent="0.15">
      <c r="A783" s="1">
        <v>779</v>
      </c>
      <c r="B783" s="1">
        <v>10727</v>
      </c>
      <c r="C783" s="1" t="s">
        <v>939</v>
      </c>
      <c r="D783" s="1" t="s">
        <v>19</v>
      </c>
      <c r="E783" s="5" t="s">
        <v>1892</v>
      </c>
      <c r="F783" s="4" t="str">
        <f>"330.82"</f>
        <v>330.82</v>
      </c>
      <c r="G783" s="4" t="str">
        <f>"330.82"</f>
        <v>330.82</v>
      </c>
    </row>
    <row r="784" spans="1:7" ht="15.75" customHeight="1" x14ac:dyDescent="0.15">
      <c r="A784" s="1">
        <v>780</v>
      </c>
      <c r="B784" s="1">
        <v>10600</v>
      </c>
      <c r="C784" s="1" t="s">
        <v>975</v>
      </c>
      <c r="D784" s="1" t="s">
        <v>5</v>
      </c>
      <c r="E784" s="5" t="s">
        <v>1892</v>
      </c>
      <c r="F784" s="4" t="str">
        <f>"330.92"</f>
        <v>330.92</v>
      </c>
      <c r="G784" s="4" t="str">
        <f>"330.92"</f>
        <v>330.92</v>
      </c>
    </row>
    <row r="785" spans="1:7" ht="15.75" customHeight="1" x14ac:dyDescent="0.15">
      <c r="A785" s="1">
        <v>781</v>
      </c>
      <c r="B785" s="1">
        <v>2283</v>
      </c>
      <c r="C785" s="1" t="s">
        <v>880</v>
      </c>
      <c r="D785" s="1" t="s">
        <v>5</v>
      </c>
      <c r="E785" s="5" t="s">
        <v>1892</v>
      </c>
      <c r="F785" s="4" t="str">
        <f>"331.07"</f>
        <v>331.07</v>
      </c>
      <c r="G785" s="4" t="str">
        <f>"335.68"</f>
        <v>335.68</v>
      </c>
    </row>
    <row r="786" spans="1:7" ht="15.75" customHeight="1" x14ac:dyDescent="0.15">
      <c r="A786" s="1">
        <v>782</v>
      </c>
      <c r="B786" s="1">
        <v>6707</v>
      </c>
      <c r="C786" s="1" t="s">
        <v>940</v>
      </c>
      <c r="D786" s="1" t="s">
        <v>44</v>
      </c>
      <c r="E786" s="5" t="s">
        <v>1892</v>
      </c>
      <c r="F786" s="4" t="str">
        <f>"331.17"</f>
        <v>331.17</v>
      </c>
      <c r="G786" s="4" t="str">
        <f>"331.17"</f>
        <v>331.17</v>
      </c>
    </row>
    <row r="787" spans="1:7" ht="15.75" customHeight="1" x14ac:dyDescent="0.15">
      <c r="A787" s="1">
        <v>783</v>
      </c>
      <c r="B787" s="1">
        <v>6478</v>
      </c>
      <c r="C787" s="1" t="s">
        <v>941</v>
      </c>
      <c r="D787" s="1" t="s">
        <v>16</v>
      </c>
      <c r="E787" s="5" t="s">
        <v>1892</v>
      </c>
      <c r="F787" s="4" t="str">
        <f>"331.48"</f>
        <v>331.48</v>
      </c>
      <c r="G787" s="4" t="str">
        <f>"331.48"</f>
        <v>331.48</v>
      </c>
    </row>
    <row r="788" spans="1:7" ht="15.75" customHeight="1" x14ac:dyDescent="0.15">
      <c r="A788" s="1">
        <v>784</v>
      </c>
      <c r="B788" s="1">
        <v>2450</v>
      </c>
      <c r="C788" s="1" t="s">
        <v>942</v>
      </c>
      <c r="D788" s="1" t="s">
        <v>47</v>
      </c>
      <c r="E788" s="5" t="s">
        <v>1892</v>
      </c>
      <c r="F788" s="4" t="str">
        <f>"332.06"</f>
        <v>332.06</v>
      </c>
      <c r="G788" s="4" t="str">
        <f>"332.06"</f>
        <v>332.06</v>
      </c>
    </row>
    <row r="789" spans="1:7" ht="15.75" customHeight="1" x14ac:dyDescent="0.15">
      <c r="A789" s="1">
        <v>785</v>
      </c>
      <c r="B789" s="1">
        <v>10140</v>
      </c>
      <c r="C789" s="1" t="s">
        <v>869</v>
      </c>
      <c r="D789" s="1" t="s">
        <v>5</v>
      </c>
      <c r="E789" s="5" t="s">
        <v>1892</v>
      </c>
      <c r="F789" s="4" t="str">
        <f>"332.07"</f>
        <v>332.07</v>
      </c>
      <c r="G789" s="4" t="str">
        <f>"352.55"</f>
        <v>352.55</v>
      </c>
    </row>
    <row r="790" spans="1:7" ht="15.75" customHeight="1" x14ac:dyDescent="0.15">
      <c r="A790" s="1">
        <v>786</v>
      </c>
      <c r="B790" s="1">
        <v>9929</v>
      </c>
      <c r="C790" s="1" t="s">
        <v>944</v>
      </c>
      <c r="D790" s="1" t="s">
        <v>388</v>
      </c>
      <c r="E790" s="5" t="s">
        <v>1892</v>
      </c>
      <c r="F790" s="4" t="str">
        <f>"332.69"</f>
        <v>332.69</v>
      </c>
      <c r="G790" s="4" t="str">
        <f>"332.69"</f>
        <v>332.69</v>
      </c>
    </row>
    <row r="791" spans="1:7" ht="15.75" customHeight="1" x14ac:dyDescent="0.15">
      <c r="A791" s="1">
        <v>787</v>
      </c>
      <c r="B791" s="1">
        <v>11256</v>
      </c>
      <c r="C791" s="1" t="s">
        <v>864</v>
      </c>
      <c r="D791" s="1" t="s">
        <v>5</v>
      </c>
      <c r="E791" s="5" t="s">
        <v>1892</v>
      </c>
      <c r="F791" s="4" t="str">
        <f>"333.22"</f>
        <v>333.22</v>
      </c>
      <c r="G791" s="4"/>
    </row>
    <row r="792" spans="1:7" ht="15.75" customHeight="1" x14ac:dyDescent="0.15">
      <c r="A792" s="1">
        <v>788</v>
      </c>
      <c r="B792" s="1">
        <v>6671</v>
      </c>
      <c r="C792" s="1" t="s">
        <v>865</v>
      </c>
      <c r="D792" s="1" t="s">
        <v>27</v>
      </c>
      <c r="E792" s="5" t="s">
        <v>1892</v>
      </c>
      <c r="F792" s="4" t="str">
        <f>"333.22"</f>
        <v>333.22</v>
      </c>
      <c r="G792" s="4"/>
    </row>
    <row r="793" spans="1:7" ht="15.75" customHeight="1" x14ac:dyDescent="0.15">
      <c r="A793" s="1">
        <v>789</v>
      </c>
      <c r="B793" s="1">
        <v>8317</v>
      </c>
      <c r="C793" s="1" t="s">
        <v>1102</v>
      </c>
      <c r="D793" s="1" t="s">
        <v>45</v>
      </c>
      <c r="E793" s="5" t="s">
        <v>1892</v>
      </c>
      <c r="F793" s="4" t="str">
        <f>"333.40"</f>
        <v>333.40</v>
      </c>
      <c r="G793" s="4" t="str">
        <f>"333.40"</f>
        <v>333.40</v>
      </c>
    </row>
    <row r="794" spans="1:7" ht="15.75" customHeight="1" x14ac:dyDescent="0.15">
      <c r="A794" s="1">
        <v>790</v>
      </c>
      <c r="B794" s="1">
        <v>10993</v>
      </c>
      <c r="C794" s="1" t="s">
        <v>947</v>
      </c>
      <c r="D794" s="1" t="s">
        <v>33</v>
      </c>
      <c r="E794" s="5" t="s">
        <v>1892</v>
      </c>
      <c r="F794" s="4" t="str">
        <f>"333.47"</f>
        <v>333.47</v>
      </c>
      <c r="G794" s="4" t="str">
        <f>"333.47"</f>
        <v>333.47</v>
      </c>
    </row>
    <row r="795" spans="1:7" ht="15.75" customHeight="1" x14ac:dyDescent="0.15">
      <c r="A795" s="1">
        <v>791</v>
      </c>
      <c r="B795" s="1">
        <v>2831</v>
      </c>
      <c r="C795" s="1" t="s">
        <v>896</v>
      </c>
      <c r="D795" s="1" t="s">
        <v>208</v>
      </c>
      <c r="E795" s="5" t="s">
        <v>1892</v>
      </c>
      <c r="F795" s="4" t="str">
        <f>"333.80"</f>
        <v>333.80</v>
      </c>
      <c r="G795" s="4" t="str">
        <f>"344.75"</f>
        <v>344.75</v>
      </c>
    </row>
    <row r="796" spans="1:7" ht="15.75" customHeight="1" x14ac:dyDescent="0.15">
      <c r="A796" s="1">
        <v>792</v>
      </c>
      <c r="B796" s="1">
        <v>3269</v>
      </c>
      <c r="C796" s="1" t="s">
        <v>882</v>
      </c>
      <c r="D796" s="1" t="s">
        <v>61</v>
      </c>
      <c r="E796" s="5" t="s">
        <v>1892</v>
      </c>
      <c r="F796" s="4" t="str">
        <f>"334.27"</f>
        <v>334.27</v>
      </c>
      <c r="G796" s="4" t="str">
        <f>"365.52"</f>
        <v>365.52</v>
      </c>
    </row>
    <row r="797" spans="1:7" ht="15.75" customHeight="1" x14ac:dyDescent="0.15">
      <c r="A797" s="1">
        <v>793</v>
      </c>
      <c r="B797" s="1">
        <v>6100</v>
      </c>
      <c r="C797" s="1" t="s">
        <v>924</v>
      </c>
      <c r="D797" s="1" t="s">
        <v>112</v>
      </c>
      <c r="E797" s="5" t="s">
        <v>1892</v>
      </c>
      <c r="F797" s="4" t="str">
        <f>"334.27"</f>
        <v>334.27</v>
      </c>
      <c r="G797" s="4" t="str">
        <f>"334.27"</f>
        <v>334.27</v>
      </c>
    </row>
    <row r="798" spans="1:7" ht="15.75" customHeight="1" x14ac:dyDescent="0.15">
      <c r="A798" s="1">
        <v>794</v>
      </c>
      <c r="B798" s="1">
        <v>10165</v>
      </c>
      <c r="C798" s="1" t="s">
        <v>948</v>
      </c>
      <c r="D798" s="1" t="s">
        <v>5</v>
      </c>
      <c r="E798" s="5" t="s">
        <v>1892</v>
      </c>
      <c r="F798" s="4" t="str">
        <f>"337.67"</f>
        <v>337.67</v>
      </c>
      <c r="G798" s="4" t="str">
        <f>"337.67"</f>
        <v>337.67</v>
      </c>
    </row>
    <row r="799" spans="1:7" ht="15.75" customHeight="1" x14ac:dyDescent="0.15">
      <c r="A799" s="1">
        <v>795</v>
      </c>
      <c r="B799" s="1">
        <v>1789</v>
      </c>
      <c r="C799" s="1" t="s">
        <v>949</v>
      </c>
      <c r="D799" s="1" t="s">
        <v>17</v>
      </c>
      <c r="E799" s="5" t="s">
        <v>1892</v>
      </c>
      <c r="F799" s="4" t="str">
        <f>"338.78"</f>
        <v>338.78</v>
      </c>
      <c r="G799" s="4" t="str">
        <f>"338.78"</f>
        <v>338.78</v>
      </c>
    </row>
    <row r="800" spans="1:7" ht="15.75" customHeight="1" x14ac:dyDescent="0.15">
      <c r="A800" s="1">
        <v>796</v>
      </c>
      <c r="B800" s="1">
        <v>6548</v>
      </c>
      <c r="C800" s="1" t="s">
        <v>950</v>
      </c>
      <c r="D800" s="1" t="s">
        <v>7</v>
      </c>
      <c r="E800" s="5" t="s">
        <v>1892</v>
      </c>
      <c r="F800" s="4" t="str">
        <f>"338.98"</f>
        <v>338.98</v>
      </c>
      <c r="G800" s="4" t="str">
        <f>"338.98"</f>
        <v>338.98</v>
      </c>
    </row>
    <row r="801" spans="1:7" ht="15.75" customHeight="1" x14ac:dyDescent="0.15">
      <c r="A801" s="1">
        <v>797</v>
      </c>
      <c r="B801" s="1">
        <v>11118</v>
      </c>
      <c r="C801" s="1" t="s">
        <v>873</v>
      </c>
      <c r="D801" s="1" t="s">
        <v>79</v>
      </c>
      <c r="E801" s="5" t="s">
        <v>1892</v>
      </c>
      <c r="F801" s="4" t="str">
        <f>"339.05"</f>
        <v>339.05</v>
      </c>
      <c r="G801" s="4"/>
    </row>
    <row r="802" spans="1:7" ht="15.75" customHeight="1" x14ac:dyDescent="0.15">
      <c r="A802" s="1">
        <v>798</v>
      </c>
      <c r="B802" s="1">
        <v>10657</v>
      </c>
      <c r="C802" s="1" t="s">
        <v>951</v>
      </c>
      <c r="D802" s="1" t="s">
        <v>8</v>
      </c>
      <c r="E802" s="5" t="s">
        <v>1892</v>
      </c>
      <c r="F802" s="4" t="str">
        <f>"339.96"</f>
        <v>339.96</v>
      </c>
      <c r="G802" s="4" t="str">
        <f>"339.96"</f>
        <v>339.96</v>
      </c>
    </row>
    <row r="803" spans="1:7" ht="15.75" customHeight="1" x14ac:dyDescent="0.15">
      <c r="A803" s="1">
        <v>799</v>
      </c>
      <c r="B803" s="1">
        <v>4114</v>
      </c>
      <c r="C803" s="1" t="s">
        <v>954</v>
      </c>
      <c r="D803" s="1" t="s">
        <v>63</v>
      </c>
      <c r="E803" s="5" t="s">
        <v>1892</v>
      </c>
      <c r="F803" s="4" t="str">
        <f>"340.77"</f>
        <v>340.77</v>
      </c>
      <c r="G803" s="4" t="str">
        <f>"340.77"</f>
        <v>340.77</v>
      </c>
    </row>
    <row r="804" spans="1:7" ht="15.75" customHeight="1" x14ac:dyDescent="0.15">
      <c r="A804" s="1">
        <v>800</v>
      </c>
      <c r="B804" s="1">
        <v>2271</v>
      </c>
      <c r="C804" s="1" t="s">
        <v>955</v>
      </c>
      <c r="D804" s="1" t="s">
        <v>5</v>
      </c>
      <c r="E804" s="5" t="s">
        <v>1892</v>
      </c>
      <c r="F804" s="4" t="str">
        <f>"340.95"</f>
        <v>340.95</v>
      </c>
      <c r="G804" s="4" t="str">
        <f>"342.09"</f>
        <v>342.09</v>
      </c>
    </row>
    <row r="805" spans="1:7" ht="15.75" customHeight="1" x14ac:dyDescent="0.15">
      <c r="A805" s="1">
        <v>801</v>
      </c>
      <c r="B805" s="1">
        <v>10588</v>
      </c>
      <c r="C805" s="1" t="s">
        <v>956</v>
      </c>
      <c r="D805" s="1" t="s">
        <v>5</v>
      </c>
      <c r="E805" s="5" t="s">
        <v>1892</v>
      </c>
      <c r="F805" s="4" t="str">
        <f>"342.14"</f>
        <v>342.14</v>
      </c>
      <c r="G805" s="4" t="str">
        <f>"342.14"</f>
        <v>342.14</v>
      </c>
    </row>
    <row r="806" spans="1:7" ht="15.75" customHeight="1" x14ac:dyDescent="0.15">
      <c r="A806" s="1">
        <v>802</v>
      </c>
      <c r="B806" s="1">
        <v>10148</v>
      </c>
      <c r="C806" s="1" t="s">
        <v>943</v>
      </c>
      <c r="D806" s="1" t="s">
        <v>5</v>
      </c>
      <c r="E806" s="5" t="s">
        <v>1892</v>
      </c>
      <c r="F806" s="4" t="str">
        <f>"342.57"</f>
        <v>342.57</v>
      </c>
      <c r="G806" s="4" t="str">
        <f>"352.55"</f>
        <v>352.55</v>
      </c>
    </row>
    <row r="807" spans="1:7" ht="15.75" customHeight="1" x14ac:dyDescent="0.15">
      <c r="A807" s="1">
        <v>803</v>
      </c>
      <c r="B807" s="1">
        <v>10408</v>
      </c>
      <c r="C807" s="1" t="s">
        <v>958</v>
      </c>
      <c r="D807" s="1" t="s">
        <v>19</v>
      </c>
      <c r="E807" s="5" t="s">
        <v>1892</v>
      </c>
      <c r="F807" s="4" t="str">
        <f>"343.04"</f>
        <v>343.04</v>
      </c>
      <c r="G807" s="4" t="str">
        <f>"343.04"</f>
        <v>343.04</v>
      </c>
    </row>
    <row r="808" spans="1:7" ht="15.75" customHeight="1" x14ac:dyDescent="0.15">
      <c r="A808" s="1">
        <v>804</v>
      </c>
      <c r="B808" s="1">
        <v>10239</v>
      </c>
      <c r="C808" s="1" t="s">
        <v>960</v>
      </c>
      <c r="D808" s="1" t="s">
        <v>44</v>
      </c>
      <c r="E808" s="5" t="s">
        <v>1892</v>
      </c>
      <c r="F808" s="4" t="str">
        <f>"343.97"</f>
        <v>343.97</v>
      </c>
      <c r="G808" s="4" t="str">
        <f>"343.97"</f>
        <v>343.97</v>
      </c>
    </row>
    <row r="809" spans="1:7" ht="15.75" customHeight="1" x14ac:dyDescent="0.15">
      <c r="A809" s="1">
        <v>805</v>
      </c>
      <c r="B809" s="1">
        <v>531</v>
      </c>
      <c r="C809" s="1" t="s">
        <v>961</v>
      </c>
      <c r="D809" s="1" t="s">
        <v>250</v>
      </c>
      <c r="E809" s="5" t="s">
        <v>1892</v>
      </c>
      <c r="F809" s="4" t="str">
        <f>"344.48"</f>
        <v>344.48</v>
      </c>
      <c r="G809" s="4" t="str">
        <f>"344.48"</f>
        <v>344.48</v>
      </c>
    </row>
    <row r="810" spans="1:7" ht="15.75" customHeight="1" x14ac:dyDescent="0.15">
      <c r="A810" s="1">
        <v>806</v>
      </c>
      <c r="B810" s="1">
        <v>3107</v>
      </c>
      <c r="C810" s="1" t="s">
        <v>893</v>
      </c>
      <c r="D810" s="1" t="s">
        <v>197</v>
      </c>
      <c r="E810" s="5" t="s">
        <v>1892</v>
      </c>
      <c r="F810" s="4" t="str">
        <f>"346.22"</f>
        <v>346.22</v>
      </c>
      <c r="G810" s="4" t="str">
        <f>"373.82"</f>
        <v>373.82</v>
      </c>
    </row>
    <row r="811" spans="1:7" ht="15.75" customHeight="1" x14ac:dyDescent="0.15">
      <c r="A811" s="1">
        <v>807</v>
      </c>
      <c r="B811" s="1">
        <v>5733</v>
      </c>
      <c r="C811" s="1" t="s">
        <v>964</v>
      </c>
      <c r="D811" s="1" t="s">
        <v>342</v>
      </c>
      <c r="E811" s="5" t="s">
        <v>1892</v>
      </c>
      <c r="F811" s="4" t="str">
        <f>"346.78"</f>
        <v>346.78</v>
      </c>
      <c r="G811" s="4" t="str">
        <f>"346.78"</f>
        <v>346.78</v>
      </c>
    </row>
    <row r="812" spans="1:7" ht="15.75" customHeight="1" x14ac:dyDescent="0.15">
      <c r="A812" s="1">
        <v>808</v>
      </c>
      <c r="B812" s="1">
        <v>10454</v>
      </c>
      <c r="C812" s="1" t="s">
        <v>966</v>
      </c>
      <c r="D812" s="1" t="s">
        <v>19</v>
      </c>
      <c r="E812" s="5" t="s">
        <v>1892</v>
      </c>
      <c r="F812" s="4" t="str">
        <f>"347.53"</f>
        <v>347.53</v>
      </c>
      <c r="G812" s="4" t="str">
        <f>"347.53"</f>
        <v>347.53</v>
      </c>
    </row>
    <row r="813" spans="1:7" ht="15.75" customHeight="1" x14ac:dyDescent="0.15">
      <c r="A813" s="1">
        <v>809</v>
      </c>
      <c r="B813" s="1">
        <v>10459</v>
      </c>
      <c r="C813" s="1" t="s">
        <v>967</v>
      </c>
      <c r="D813" s="1" t="s">
        <v>19</v>
      </c>
      <c r="E813" s="5" t="s">
        <v>1892</v>
      </c>
      <c r="F813" s="4" t="str">
        <f>"347.58"</f>
        <v>347.58</v>
      </c>
      <c r="G813" s="4" t="str">
        <f>"347.58"</f>
        <v>347.58</v>
      </c>
    </row>
    <row r="814" spans="1:7" ht="15.75" customHeight="1" x14ac:dyDescent="0.15">
      <c r="A814" s="1">
        <v>810</v>
      </c>
      <c r="B814" s="1">
        <v>3398</v>
      </c>
      <c r="C814" s="1" t="s">
        <v>1044</v>
      </c>
      <c r="D814" s="1" t="s">
        <v>81</v>
      </c>
      <c r="E814" s="5" t="s">
        <v>1892</v>
      </c>
      <c r="F814" s="4" t="str">
        <f>"347.78"</f>
        <v>347.78</v>
      </c>
      <c r="G814" s="4" t="str">
        <f>"347.78"</f>
        <v>347.78</v>
      </c>
    </row>
    <row r="815" spans="1:7" ht="15.75" customHeight="1" x14ac:dyDescent="0.15">
      <c r="A815" s="1">
        <v>811</v>
      </c>
      <c r="B815" s="1">
        <v>5821</v>
      </c>
      <c r="C815" s="1" t="s">
        <v>968</v>
      </c>
      <c r="D815" s="1" t="s">
        <v>60</v>
      </c>
      <c r="E815" s="5" t="s">
        <v>1892</v>
      </c>
      <c r="F815" s="4" t="str">
        <f>"348.36"</f>
        <v>348.36</v>
      </c>
      <c r="G815" s="4" t="str">
        <f>"348.36"</f>
        <v>348.36</v>
      </c>
    </row>
    <row r="816" spans="1:7" ht="15.75" customHeight="1" x14ac:dyDescent="0.15">
      <c r="A816" s="1">
        <v>812</v>
      </c>
      <c r="B816" s="1">
        <v>11240</v>
      </c>
      <c r="C816" s="1" t="s">
        <v>900</v>
      </c>
      <c r="D816" s="1" t="s">
        <v>5</v>
      </c>
      <c r="E816" s="5" t="s">
        <v>1892</v>
      </c>
      <c r="F816" s="4" t="str">
        <f>"348.39"</f>
        <v>348.39</v>
      </c>
      <c r="G816" s="4"/>
    </row>
    <row r="817" spans="1:7" ht="15.75" customHeight="1" x14ac:dyDescent="0.15">
      <c r="A817" s="1">
        <v>813</v>
      </c>
      <c r="B817" s="1">
        <v>5772</v>
      </c>
      <c r="C817" s="1" t="s">
        <v>1002</v>
      </c>
      <c r="D817" s="1" t="s">
        <v>312</v>
      </c>
      <c r="E817" s="5" t="s">
        <v>1892</v>
      </c>
      <c r="F817" s="4" t="str">
        <f>"348.45"</f>
        <v>348.45</v>
      </c>
      <c r="G817" s="4" t="str">
        <f>"348.45"</f>
        <v>348.45</v>
      </c>
    </row>
    <row r="818" spans="1:7" ht="15.75" customHeight="1" x14ac:dyDescent="0.15">
      <c r="A818" s="1">
        <v>814</v>
      </c>
      <c r="B818" s="1">
        <v>11109</v>
      </c>
      <c r="C818" s="1" t="s">
        <v>901</v>
      </c>
      <c r="D818" s="1" t="s">
        <v>5</v>
      </c>
      <c r="E818" s="5" t="s">
        <v>1892</v>
      </c>
      <c r="F818" s="4" t="str">
        <f>"348.68"</f>
        <v>348.68</v>
      </c>
      <c r="G818" s="4"/>
    </row>
    <row r="819" spans="1:7" ht="15.75" customHeight="1" x14ac:dyDescent="0.15">
      <c r="A819" s="1">
        <v>815</v>
      </c>
      <c r="B819" s="1">
        <v>9958</v>
      </c>
      <c r="C819" s="1" t="s">
        <v>970</v>
      </c>
      <c r="D819" s="1" t="s">
        <v>19</v>
      </c>
      <c r="E819" s="5" t="s">
        <v>1892</v>
      </c>
      <c r="F819" s="4" t="str">
        <f>"348.82"</f>
        <v>348.82</v>
      </c>
      <c r="G819" s="4" t="str">
        <f>"348.82"</f>
        <v>348.82</v>
      </c>
    </row>
    <row r="820" spans="1:7" ht="15.75" customHeight="1" x14ac:dyDescent="0.15">
      <c r="A820" s="1">
        <v>816</v>
      </c>
      <c r="B820" s="1">
        <v>10656</v>
      </c>
      <c r="C820" s="1" t="s">
        <v>971</v>
      </c>
      <c r="D820" s="1" t="s">
        <v>8</v>
      </c>
      <c r="E820" s="5" t="s">
        <v>1892</v>
      </c>
      <c r="F820" s="4" t="str">
        <f>"349.57"</f>
        <v>349.57</v>
      </c>
      <c r="G820" s="4" t="str">
        <f>"349.57"</f>
        <v>349.57</v>
      </c>
    </row>
    <row r="821" spans="1:7" ht="15.75" customHeight="1" x14ac:dyDescent="0.15">
      <c r="A821" s="1">
        <v>817</v>
      </c>
      <c r="B821" s="1">
        <v>4892</v>
      </c>
      <c r="C821" s="1" t="s">
        <v>972</v>
      </c>
      <c r="D821" s="1" t="s">
        <v>84</v>
      </c>
      <c r="E821" s="5" t="s">
        <v>1892</v>
      </c>
      <c r="F821" s="4" t="str">
        <f>"349.73"</f>
        <v>349.73</v>
      </c>
      <c r="G821" s="4" t="str">
        <f>"349.73"</f>
        <v>349.73</v>
      </c>
    </row>
    <row r="822" spans="1:7" ht="15.75" customHeight="1" x14ac:dyDescent="0.15">
      <c r="A822" s="1">
        <v>818</v>
      </c>
      <c r="B822" s="1">
        <v>4143</v>
      </c>
      <c r="C822" s="1" t="s">
        <v>904</v>
      </c>
      <c r="D822" s="1" t="s">
        <v>21</v>
      </c>
      <c r="E822" s="5" t="s">
        <v>1892</v>
      </c>
      <c r="F822" s="4" t="str">
        <f>"349.91"</f>
        <v>349.91</v>
      </c>
      <c r="G822" s="4" t="str">
        <f>"422.41"</f>
        <v>422.41</v>
      </c>
    </row>
    <row r="823" spans="1:7" ht="15.75" customHeight="1" x14ac:dyDescent="0.15">
      <c r="A823" s="1">
        <v>819</v>
      </c>
      <c r="B823" s="1">
        <v>2452</v>
      </c>
      <c r="C823" s="1" t="s">
        <v>973</v>
      </c>
      <c r="D823" s="1" t="s">
        <v>47</v>
      </c>
      <c r="E823" s="5" t="s">
        <v>1892</v>
      </c>
      <c r="F823" s="4" t="str">
        <f>"351.28"</f>
        <v>351.28</v>
      </c>
      <c r="G823" s="4" t="str">
        <f>"351.28"</f>
        <v>351.28</v>
      </c>
    </row>
    <row r="824" spans="1:7" ht="15.75" customHeight="1" x14ac:dyDescent="0.15">
      <c r="A824" s="1">
        <v>820</v>
      </c>
      <c r="B824" s="1">
        <v>9469</v>
      </c>
      <c r="C824" s="1" t="s">
        <v>974</v>
      </c>
      <c r="D824" s="1" t="s">
        <v>482</v>
      </c>
      <c r="E824" s="5" t="s">
        <v>1892</v>
      </c>
      <c r="F824" s="4" t="str">
        <f>"351.51"</f>
        <v>351.51</v>
      </c>
      <c r="G824" s="4" t="str">
        <f>"351.51"</f>
        <v>351.51</v>
      </c>
    </row>
    <row r="825" spans="1:7" ht="15.75" customHeight="1" x14ac:dyDescent="0.15">
      <c r="A825" s="1">
        <v>821</v>
      </c>
      <c r="B825" s="1">
        <v>8505</v>
      </c>
      <c r="C825" s="1" t="s">
        <v>976</v>
      </c>
      <c r="D825" s="1" t="s">
        <v>5</v>
      </c>
      <c r="E825" s="5" t="s">
        <v>1892</v>
      </c>
      <c r="F825" s="4" t="str">
        <f>"351.66"</f>
        <v>351.66</v>
      </c>
      <c r="G825" s="4" t="str">
        <f>"351.66"</f>
        <v>351.66</v>
      </c>
    </row>
    <row r="826" spans="1:7" ht="15.75" customHeight="1" x14ac:dyDescent="0.15">
      <c r="A826" s="1">
        <v>822</v>
      </c>
      <c r="B826" s="1">
        <v>778</v>
      </c>
      <c r="C826" s="1" t="s">
        <v>978</v>
      </c>
      <c r="D826" s="1" t="s">
        <v>979</v>
      </c>
      <c r="E826" s="5" t="s">
        <v>1892</v>
      </c>
      <c r="F826" s="4" t="str">
        <f>"351.97"</f>
        <v>351.97</v>
      </c>
      <c r="G826" s="4" t="str">
        <f>"351.97"</f>
        <v>351.97</v>
      </c>
    </row>
    <row r="827" spans="1:7" ht="15.75" customHeight="1" x14ac:dyDescent="0.15">
      <c r="A827" s="1">
        <v>823</v>
      </c>
      <c r="B827" s="1">
        <v>2175</v>
      </c>
      <c r="C827" s="1" t="s">
        <v>1032</v>
      </c>
      <c r="D827" s="1" t="s">
        <v>5</v>
      </c>
      <c r="E827" s="5" t="s">
        <v>1892</v>
      </c>
      <c r="F827" s="4" t="str">
        <f>"352.08"</f>
        <v>352.08</v>
      </c>
      <c r="G827" s="4" t="str">
        <f>"352.08"</f>
        <v>352.08</v>
      </c>
    </row>
    <row r="828" spans="1:7" ht="15.75" customHeight="1" x14ac:dyDescent="0.15">
      <c r="A828" s="1">
        <v>824</v>
      </c>
      <c r="B828" s="1">
        <v>10479</v>
      </c>
      <c r="C828" s="1" t="s">
        <v>981</v>
      </c>
      <c r="D828" s="1" t="s">
        <v>19</v>
      </c>
      <c r="E828" s="5" t="s">
        <v>1892</v>
      </c>
      <c r="F828" s="4" t="str">
        <f>"352.09"</f>
        <v>352.09</v>
      </c>
      <c r="G828" s="4" t="str">
        <f>"352.09"</f>
        <v>352.09</v>
      </c>
    </row>
    <row r="829" spans="1:7" ht="15.75" customHeight="1" x14ac:dyDescent="0.15">
      <c r="A829" s="1">
        <v>825</v>
      </c>
      <c r="B829" s="1">
        <v>10364</v>
      </c>
      <c r="C829" s="1" t="s">
        <v>983</v>
      </c>
      <c r="D829" s="1" t="s">
        <v>6</v>
      </c>
      <c r="E829" s="5" t="s">
        <v>1892</v>
      </c>
      <c r="F829" s="4" t="str">
        <f>"354.32"</f>
        <v>354.32</v>
      </c>
      <c r="G829" s="4" t="str">
        <f>"354.32"</f>
        <v>354.32</v>
      </c>
    </row>
    <row r="830" spans="1:7" ht="15.75" customHeight="1" x14ac:dyDescent="0.15">
      <c r="A830" s="1">
        <v>826</v>
      </c>
      <c r="B830" s="1">
        <v>5829</v>
      </c>
      <c r="C830" s="1" t="s">
        <v>1046</v>
      </c>
      <c r="D830" s="1" t="s">
        <v>72</v>
      </c>
      <c r="E830" s="5" t="s">
        <v>1892</v>
      </c>
      <c r="F830" s="4" t="str">
        <f>"354.41"</f>
        <v>354.41</v>
      </c>
      <c r="G830" s="4" t="str">
        <f>"354.41"</f>
        <v>354.41</v>
      </c>
    </row>
    <row r="831" spans="1:7" ht="15.75" customHeight="1" x14ac:dyDescent="0.15">
      <c r="A831" s="1">
        <v>827</v>
      </c>
      <c r="B831" s="1">
        <v>10890</v>
      </c>
      <c r="C831" s="1" t="s">
        <v>915</v>
      </c>
      <c r="D831" s="1" t="s">
        <v>5</v>
      </c>
      <c r="E831" s="5" t="s">
        <v>1892</v>
      </c>
      <c r="F831" s="4" t="str">
        <f>"354.50"</f>
        <v>354.50</v>
      </c>
      <c r="G831" s="4"/>
    </row>
    <row r="832" spans="1:7" ht="15.75" customHeight="1" x14ac:dyDescent="0.15">
      <c r="A832" s="1">
        <v>828</v>
      </c>
      <c r="B832" s="1">
        <v>10419</v>
      </c>
      <c r="C832" s="1" t="s">
        <v>984</v>
      </c>
      <c r="D832" s="1" t="s">
        <v>19</v>
      </c>
      <c r="E832" s="5" t="s">
        <v>1892</v>
      </c>
      <c r="F832" s="4" t="str">
        <f>"354.83"</f>
        <v>354.83</v>
      </c>
      <c r="G832" s="4" t="str">
        <f>"354.83"</f>
        <v>354.83</v>
      </c>
    </row>
    <row r="833" spans="1:7" ht="15.75" customHeight="1" x14ac:dyDescent="0.15">
      <c r="A833" s="1">
        <v>829</v>
      </c>
      <c r="B833" s="1">
        <v>11040</v>
      </c>
      <c r="C833" s="1" t="s">
        <v>985</v>
      </c>
      <c r="D833" s="1" t="s">
        <v>6</v>
      </c>
      <c r="E833" s="5" t="s">
        <v>1892</v>
      </c>
      <c r="F833" s="4" t="str">
        <f>"354.88"</f>
        <v>354.88</v>
      </c>
      <c r="G833" s="4" t="str">
        <f>"354.88"</f>
        <v>354.88</v>
      </c>
    </row>
    <row r="834" spans="1:7" ht="15.75" customHeight="1" x14ac:dyDescent="0.15">
      <c r="A834" s="1">
        <v>830</v>
      </c>
      <c r="B834" s="1">
        <v>10502</v>
      </c>
      <c r="C834" s="1" t="s">
        <v>986</v>
      </c>
      <c r="D834" s="1" t="s">
        <v>19</v>
      </c>
      <c r="E834" s="5" t="s">
        <v>1892</v>
      </c>
      <c r="F834" s="4" t="str">
        <f>"355.22"</f>
        <v>355.22</v>
      </c>
      <c r="G834" s="4" t="str">
        <f>"355.22"</f>
        <v>355.22</v>
      </c>
    </row>
    <row r="835" spans="1:7" ht="15.75" customHeight="1" x14ac:dyDescent="0.15">
      <c r="A835" s="1">
        <v>831</v>
      </c>
      <c r="B835" s="1">
        <v>3106</v>
      </c>
      <c r="C835" s="1" t="s">
        <v>987</v>
      </c>
      <c r="D835" s="1" t="s">
        <v>87</v>
      </c>
      <c r="E835" s="5" t="s">
        <v>1892</v>
      </c>
      <c r="F835" s="4" t="str">
        <f>"355.66"</f>
        <v>355.66</v>
      </c>
      <c r="G835" s="4" t="str">
        <f>"355.66"</f>
        <v>355.66</v>
      </c>
    </row>
    <row r="836" spans="1:7" ht="15.75" customHeight="1" x14ac:dyDescent="0.15">
      <c r="A836" s="1">
        <v>832</v>
      </c>
      <c r="B836" s="1">
        <v>10539</v>
      </c>
      <c r="C836" s="1" t="s">
        <v>977</v>
      </c>
      <c r="D836" s="1" t="s">
        <v>5</v>
      </c>
      <c r="E836" s="5" t="s">
        <v>1892</v>
      </c>
      <c r="F836" s="4" t="str">
        <f>"356.07"</f>
        <v>356.07</v>
      </c>
      <c r="G836" s="4" t="str">
        <f>"382.55"</f>
        <v>382.55</v>
      </c>
    </row>
    <row r="837" spans="1:7" ht="15.75" customHeight="1" x14ac:dyDescent="0.15">
      <c r="A837" s="1">
        <v>833</v>
      </c>
      <c r="B837" s="1">
        <v>11268</v>
      </c>
      <c r="C837" s="1" t="s">
        <v>917</v>
      </c>
      <c r="D837" s="1" t="s">
        <v>5</v>
      </c>
      <c r="E837" s="5" t="s">
        <v>1892</v>
      </c>
      <c r="F837" s="4" t="str">
        <f>"356.49"</f>
        <v>356.49</v>
      </c>
      <c r="G837" s="4"/>
    </row>
    <row r="838" spans="1:7" ht="15.75" customHeight="1" x14ac:dyDescent="0.15">
      <c r="A838" s="1">
        <v>834</v>
      </c>
      <c r="B838" s="1">
        <v>10461</v>
      </c>
      <c r="C838" s="1" t="s">
        <v>991</v>
      </c>
      <c r="D838" s="1" t="s">
        <v>19</v>
      </c>
      <c r="E838" s="5" t="s">
        <v>1892</v>
      </c>
      <c r="F838" s="4" t="str">
        <f>"357.12"</f>
        <v>357.12</v>
      </c>
      <c r="G838" s="4" t="str">
        <f>"357.12"</f>
        <v>357.12</v>
      </c>
    </row>
    <row r="839" spans="1:7" ht="15.75" customHeight="1" x14ac:dyDescent="0.15">
      <c r="A839" s="1">
        <v>835</v>
      </c>
      <c r="B839" s="1">
        <v>3104</v>
      </c>
      <c r="C839" s="1" t="s">
        <v>992</v>
      </c>
      <c r="D839" s="1" t="s">
        <v>89</v>
      </c>
      <c r="E839" s="5" t="s">
        <v>1892</v>
      </c>
      <c r="F839" s="4" t="str">
        <f>"357.15"</f>
        <v>357.15</v>
      </c>
      <c r="G839" s="4" t="str">
        <f>"357.15"</f>
        <v>357.15</v>
      </c>
    </row>
    <row r="840" spans="1:7" ht="15.75" customHeight="1" x14ac:dyDescent="0.15">
      <c r="A840" s="1">
        <v>836</v>
      </c>
      <c r="B840" s="1">
        <v>11289</v>
      </c>
      <c r="C840" s="1" t="s">
        <v>921</v>
      </c>
      <c r="D840" s="1" t="s">
        <v>5</v>
      </c>
      <c r="E840" s="5" t="s">
        <v>1892</v>
      </c>
      <c r="F840" s="4" t="str">
        <f>"358.25"</f>
        <v>358.25</v>
      </c>
      <c r="G840" s="4"/>
    </row>
    <row r="841" spans="1:7" ht="15.75" customHeight="1" x14ac:dyDescent="0.15">
      <c r="A841" s="1">
        <v>837</v>
      </c>
      <c r="B841" s="1">
        <v>5190</v>
      </c>
      <c r="C841" s="1" t="s">
        <v>996</v>
      </c>
      <c r="D841" s="1" t="s">
        <v>86</v>
      </c>
      <c r="E841" s="5" t="s">
        <v>1892</v>
      </c>
      <c r="F841" s="4" t="str">
        <f>"358.64"</f>
        <v>358.64</v>
      </c>
      <c r="G841" s="4" t="str">
        <f>"358.64"</f>
        <v>358.64</v>
      </c>
    </row>
    <row r="842" spans="1:7" ht="15.75" customHeight="1" x14ac:dyDescent="0.15">
      <c r="A842" s="1">
        <v>838</v>
      </c>
      <c r="B842" s="1">
        <v>10274</v>
      </c>
      <c r="C842" s="1" t="s">
        <v>997</v>
      </c>
      <c r="D842" s="1" t="s">
        <v>6</v>
      </c>
      <c r="E842" s="5" t="s">
        <v>1892</v>
      </c>
      <c r="F842" s="4" t="str">
        <f>"359.22"</f>
        <v>359.22</v>
      </c>
      <c r="G842" s="4" t="str">
        <f>"359.22"</f>
        <v>359.22</v>
      </c>
    </row>
    <row r="843" spans="1:7" ht="15.75" customHeight="1" x14ac:dyDescent="0.15">
      <c r="A843" s="1">
        <v>839</v>
      </c>
      <c r="B843" s="1">
        <v>10592</v>
      </c>
      <c r="C843" s="1" t="s">
        <v>998</v>
      </c>
      <c r="D843" s="1" t="s">
        <v>5</v>
      </c>
      <c r="E843" s="5" t="s">
        <v>1892</v>
      </c>
      <c r="F843" s="4" t="str">
        <f>"359.41"</f>
        <v>359.41</v>
      </c>
      <c r="G843" s="4" t="str">
        <f>"359.41"</f>
        <v>359.41</v>
      </c>
    </row>
    <row r="844" spans="1:7" ht="15.75" customHeight="1" x14ac:dyDescent="0.15">
      <c r="A844" s="1">
        <v>840</v>
      </c>
      <c r="B844" s="1">
        <v>10722</v>
      </c>
      <c r="C844" s="1" t="s">
        <v>1000</v>
      </c>
      <c r="D844" s="1" t="s">
        <v>19</v>
      </c>
      <c r="E844" s="5" t="s">
        <v>1892</v>
      </c>
      <c r="F844" s="4" t="str">
        <f>"359.85"</f>
        <v>359.85</v>
      </c>
      <c r="G844" s="4" t="str">
        <f>"359.85"</f>
        <v>359.85</v>
      </c>
    </row>
    <row r="845" spans="1:7" ht="15.75" customHeight="1" x14ac:dyDescent="0.15">
      <c r="A845" s="1">
        <v>841</v>
      </c>
      <c r="B845" s="1">
        <v>3722</v>
      </c>
      <c r="C845" s="1" t="s">
        <v>1001</v>
      </c>
      <c r="D845" s="1" t="s">
        <v>316</v>
      </c>
      <c r="E845" s="5" t="s">
        <v>1892</v>
      </c>
      <c r="F845" s="4" t="str">
        <f>"360.31"</f>
        <v>360.31</v>
      </c>
      <c r="G845" s="4" t="str">
        <f>"360.31"</f>
        <v>360.31</v>
      </c>
    </row>
    <row r="846" spans="1:7" ht="15.75" customHeight="1" x14ac:dyDescent="0.15">
      <c r="A846" s="1">
        <v>842</v>
      </c>
      <c r="B846" s="1">
        <v>11121</v>
      </c>
      <c r="C846" s="1" t="s">
        <v>930</v>
      </c>
      <c r="D846" s="1" t="s">
        <v>19</v>
      </c>
      <c r="E846" s="5" t="s">
        <v>1892</v>
      </c>
      <c r="F846" s="4" t="str">
        <f>"361.43"</f>
        <v>361.43</v>
      </c>
      <c r="G846" s="4"/>
    </row>
    <row r="847" spans="1:7" ht="15.75" customHeight="1" x14ac:dyDescent="0.15">
      <c r="A847" s="1">
        <v>843</v>
      </c>
      <c r="B847" s="1">
        <v>10854</v>
      </c>
      <c r="C847" s="1" t="s">
        <v>931</v>
      </c>
      <c r="D847" s="1" t="s">
        <v>5</v>
      </c>
      <c r="E847" s="5" t="s">
        <v>1892</v>
      </c>
      <c r="F847" s="4" t="str">
        <f>"362.45"</f>
        <v>362.45</v>
      </c>
      <c r="G847" s="4" t="str">
        <f>"432.73"</f>
        <v>432.73</v>
      </c>
    </row>
    <row r="848" spans="1:7" ht="15.75" customHeight="1" x14ac:dyDescent="0.15">
      <c r="A848" s="1">
        <v>844</v>
      </c>
      <c r="B848" s="1">
        <v>10402</v>
      </c>
      <c r="C848" s="1" t="s">
        <v>1158</v>
      </c>
      <c r="D848" s="1" t="s">
        <v>5</v>
      </c>
      <c r="E848" s="5" t="s">
        <v>1892</v>
      </c>
      <c r="F848" s="4" t="str">
        <f>"362.68"</f>
        <v>362.68</v>
      </c>
      <c r="G848" s="4" t="str">
        <f>"362.68"</f>
        <v>362.68</v>
      </c>
    </row>
    <row r="849" spans="1:7" ht="15.75" customHeight="1" x14ac:dyDescent="0.15">
      <c r="A849" s="1">
        <v>845</v>
      </c>
      <c r="B849" s="1">
        <v>10191</v>
      </c>
      <c r="C849" s="1" t="s">
        <v>1090</v>
      </c>
      <c r="D849" s="1" t="s">
        <v>5</v>
      </c>
      <c r="E849" s="5" t="s">
        <v>1892</v>
      </c>
      <c r="F849" s="4" t="str">
        <f>"363.05"</f>
        <v>363.05</v>
      </c>
      <c r="G849" s="4" t="str">
        <f>"363.05"</f>
        <v>363.05</v>
      </c>
    </row>
    <row r="850" spans="1:7" ht="15.75" customHeight="1" x14ac:dyDescent="0.15">
      <c r="A850" s="1">
        <v>846</v>
      </c>
      <c r="B850" s="1">
        <v>7299</v>
      </c>
      <c r="C850" s="1" t="s">
        <v>952</v>
      </c>
      <c r="D850" s="1" t="s">
        <v>45</v>
      </c>
      <c r="E850" s="5" t="s">
        <v>1892</v>
      </c>
      <c r="F850" s="4" t="str">
        <f>"363.11"</f>
        <v>363.11</v>
      </c>
      <c r="G850" s="4" t="str">
        <f>"375.28"</f>
        <v>375.28</v>
      </c>
    </row>
    <row r="851" spans="1:7" ht="15.75" customHeight="1" x14ac:dyDescent="0.15">
      <c r="A851" s="1">
        <v>847</v>
      </c>
      <c r="B851" s="1">
        <v>10595</v>
      </c>
      <c r="C851" s="1" t="s">
        <v>1011</v>
      </c>
      <c r="D851" s="1" t="s">
        <v>5</v>
      </c>
      <c r="E851" s="5" t="s">
        <v>1892</v>
      </c>
      <c r="F851" s="4" t="str">
        <f>"363.11"</f>
        <v>363.11</v>
      </c>
      <c r="G851" s="4" t="str">
        <f>"370.17"</f>
        <v>370.17</v>
      </c>
    </row>
    <row r="852" spans="1:7" ht="15.75" customHeight="1" x14ac:dyDescent="0.15">
      <c r="A852" s="1">
        <v>848</v>
      </c>
      <c r="B852" s="1">
        <v>8393</v>
      </c>
      <c r="C852" s="1" t="s">
        <v>1005</v>
      </c>
      <c r="D852" s="1" t="s">
        <v>22</v>
      </c>
      <c r="E852" s="5" t="s">
        <v>1892</v>
      </c>
      <c r="F852" s="4" t="str">
        <f>"363.89"</f>
        <v>363.89</v>
      </c>
      <c r="G852" s="4" t="str">
        <f>"363.89"</f>
        <v>363.89</v>
      </c>
    </row>
    <row r="853" spans="1:7" ht="15.75" customHeight="1" x14ac:dyDescent="0.15">
      <c r="A853" s="1">
        <v>849</v>
      </c>
      <c r="B853" s="1">
        <v>4372</v>
      </c>
      <c r="C853" s="1" t="s">
        <v>938</v>
      </c>
      <c r="D853" s="1" t="s">
        <v>88</v>
      </c>
      <c r="E853" s="5" t="s">
        <v>1892</v>
      </c>
      <c r="F853" s="4" t="str">
        <f>"364.13"</f>
        <v>364.13</v>
      </c>
      <c r="G853" s="4" t="str">
        <f>"401.68"</f>
        <v>401.68</v>
      </c>
    </row>
    <row r="854" spans="1:7" ht="15.75" customHeight="1" x14ac:dyDescent="0.15">
      <c r="A854" s="1">
        <v>850</v>
      </c>
      <c r="B854" s="1">
        <v>10114</v>
      </c>
      <c r="C854" s="1" t="s">
        <v>1043</v>
      </c>
      <c r="D854" s="1" t="s">
        <v>5</v>
      </c>
      <c r="E854" s="5" t="s">
        <v>1892</v>
      </c>
      <c r="F854" s="4" t="str">
        <f>"364.34"</f>
        <v>364.34</v>
      </c>
      <c r="G854" s="4" t="str">
        <f>"364.34"</f>
        <v>364.34</v>
      </c>
    </row>
    <row r="855" spans="1:7" ht="15.75" customHeight="1" x14ac:dyDescent="0.15">
      <c r="A855" s="1">
        <v>851</v>
      </c>
      <c r="B855" s="1">
        <v>4296</v>
      </c>
      <c r="C855" s="1" t="s">
        <v>1007</v>
      </c>
      <c r="D855" s="1" t="s">
        <v>97</v>
      </c>
      <c r="E855" s="5" t="s">
        <v>1892</v>
      </c>
      <c r="F855" s="4" t="str">
        <f>"365.59"</f>
        <v>365.59</v>
      </c>
      <c r="G855" s="4" t="str">
        <f>"365.59"</f>
        <v>365.59</v>
      </c>
    </row>
    <row r="856" spans="1:7" ht="15.75" customHeight="1" x14ac:dyDescent="0.15">
      <c r="A856" s="1">
        <v>852</v>
      </c>
      <c r="B856" s="1">
        <v>2577</v>
      </c>
      <c r="C856" s="1" t="s">
        <v>1009</v>
      </c>
      <c r="D856" s="1" t="s">
        <v>613</v>
      </c>
      <c r="E856" s="5" t="s">
        <v>1892</v>
      </c>
      <c r="F856" s="4" t="str">
        <f>"365.82"</f>
        <v>365.82</v>
      </c>
      <c r="G856" s="4" t="str">
        <f>"365.82"</f>
        <v>365.82</v>
      </c>
    </row>
    <row r="857" spans="1:7" ht="15.75" customHeight="1" x14ac:dyDescent="0.15">
      <c r="A857" s="1">
        <v>853</v>
      </c>
      <c r="B857" s="1">
        <v>10617</v>
      </c>
      <c r="C857" s="1" t="s">
        <v>937</v>
      </c>
      <c r="D857" s="1" t="s">
        <v>5</v>
      </c>
      <c r="E857" s="5" t="s">
        <v>1892</v>
      </c>
      <c r="F857" s="4" t="str">
        <f>"366.03"</f>
        <v>366.03</v>
      </c>
      <c r="G857" s="4" t="str">
        <f>"480.99"</f>
        <v>480.99</v>
      </c>
    </row>
    <row r="858" spans="1:7" ht="15.75" customHeight="1" x14ac:dyDescent="0.15">
      <c r="A858" s="1">
        <v>854</v>
      </c>
      <c r="B858" s="1">
        <v>10455</v>
      </c>
      <c r="C858" s="1" t="s">
        <v>1010</v>
      </c>
      <c r="D858" s="1" t="s">
        <v>19</v>
      </c>
      <c r="E858" s="5" t="s">
        <v>1892</v>
      </c>
      <c r="F858" s="4" t="str">
        <f>"367.17"</f>
        <v>367.17</v>
      </c>
      <c r="G858" s="4" t="str">
        <f>"367.17"</f>
        <v>367.17</v>
      </c>
    </row>
    <row r="859" spans="1:7" ht="15.75" customHeight="1" x14ac:dyDescent="0.15">
      <c r="A859" s="1">
        <v>855</v>
      </c>
      <c r="B859" s="1">
        <v>10403</v>
      </c>
      <c r="C859" s="1" t="s">
        <v>1012</v>
      </c>
      <c r="D859" s="1" t="s">
        <v>19</v>
      </c>
      <c r="E859" s="5" t="s">
        <v>1892</v>
      </c>
      <c r="F859" s="4" t="str">
        <f>"367.63"</f>
        <v>367.63</v>
      </c>
      <c r="G859" s="4" t="str">
        <f>"367.63"</f>
        <v>367.63</v>
      </c>
    </row>
    <row r="860" spans="1:7" ht="15.75" customHeight="1" x14ac:dyDescent="0.15">
      <c r="A860" s="1">
        <v>856</v>
      </c>
      <c r="B860" s="1">
        <v>10435</v>
      </c>
      <c r="C860" s="1" t="s">
        <v>1014</v>
      </c>
      <c r="D860" s="1" t="s">
        <v>19</v>
      </c>
      <c r="E860" s="5" t="s">
        <v>1892</v>
      </c>
      <c r="F860" s="4" t="str">
        <f>"369.46"</f>
        <v>369.46</v>
      </c>
      <c r="G860" s="4" t="str">
        <f>"369.46"</f>
        <v>369.46</v>
      </c>
    </row>
    <row r="861" spans="1:7" ht="15.75" customHeight="1" x14ac:dyDescent="0.15">
      <c r="A861" s="1">
        <v>857</v>
      </c>
      <c r="B861" s="1">
        <v>10843</v>
      </c>
      <c r="C861" s="1" t="s">
        <v>1015</v>
      </c>
      <c r="D861" s="1" t="s">
        <v>5</v>
      </c>
      <c r="E861" s="5" t="s">
        <v>1892</v>
      </c>
      <c r="F861" s="4" t="str">
        <f>"369.97"</f>
        <v>369.97</v>
      </c>
      <c r="G861" s="4" t="str">
        <f>"369.97"</f>
        <v>369.97</v>
      </c>
    </row>
    <row r="862" spans="1:7" ht="15.75" customHeight="1" x14ac:dyDescent="0.15">
      <c r="A862" s="1">
        <v>858</v>
      </c>
      <c r="B862" s="1">
        <v>10482</v>
      </c>
      <c r="C862" s="1" t="s">
        <v>1017</v>
      </c>
      <c r="D862" s="1" t="s">
        <v>19</v>
      </c>
      <c r="E862" s="5" t="s">
        <v>1892</v>
      </c>
      <c r="F862" s="4" t="str">
        <f>"370.37"</f>
        <v>370.37</v>
      </c>
      <c r="G862" s="4" t="str">
        <f>"370.37"</f>
        <v>370.37</v>
      </c>
    </row>
    <row r="863" spans="1:7" ht="15.75" customHeight="1" x14ac:dyDescent="0.15">
      <c r="A863" s="1">
        <v>859</v>
      </c>
      <c r="B863" s="1">
        <v>5071</v>
      </c>
      <c r="C863" s="1" t="s">
        <v>963</v>
      </c>
      <c r="D863" s="1" t="s">
        <v>52</v>
      </c>
      <c r="E863" s="5" t="s">
        <v>1892</v>
      </c>
      <c r="F863" s="4" t="str">
        <f>"371.03"</f>
        <v>371.03</v>
      </c>
      <c r="G863" s="4" t="str">
        <f>"371.89"</f>
        <v>371.89</v>
      </c>
    </row>
    <row r="864" spans="1:7" ht="15.75" customHeight="1" x14ac:dyDescent="0.15">
      <c r="A864" s="1">
        <v>860</v>
      </c>
      <c r="B864" s="1">
        <v>2837</v>
      </c>
      <c r="C864" s="1" t="s">
        <v>1087</v>
      </c>
      <c r="D864" s="1" t="s">
        <v>500</v>
      </c>
      <c r="E864" s="5" t="s">
        <v>1892</v>
      </c>
      <c r="F864" s="4" t="str">
        <f>"371.15"</f>
        <v>371.15</v>
      </c>
      <c r="G864" s="4" t="str">
        <f>"371.15"</f>
        <v>371.15</v>
      </c>
    </row>
    <row r="865" spans="1:7" ht="15.75" customHeight="1" x14ac:dyDescent="0.15">
      <c r="A865" s="1">
        <v>861</v>
      </c>
      <c r="B865" s="1">
        <v>10404</v>
      </c>
      <c r="C865" s="1" t="s">
        <v>1019</v>
      </c>
      <c r="D865" s="1" t="s">
        <v>19</v>
      </c>
      <c r="E865" s="5" t="s">
        <v>1892</v>
      </c>
      <c r="F865" s="4" t="str">
        <f>"372.64"</f>
        <v>372.64</v>
      </c>
      <c r="G865" s="4" t="str">
        <f>"372.64"</f>
        <v>372.64</v>
      </c>
    </row>
    <row r="866" spans="1:7" ht="15.75" customHeight="1" x14ac:dyDescent="0.15">
      <c r="A866" s="1">
        <v>862</v>
      </c>
      <c r="B866" s="1">
        <v>1311</v>
      </c>
      <c r="C866" s="1" t="s">
        <v>946</v>
      </c>
      <c r="D866" s="1" t="s">
        <v>60</v>
      </c>
      <c r="E866" s="5" t="s">
        <v>1892</v>
      </c>
      <c r="F866" s="4" t="str">
        <f>"373.07"</f>
        <v>373.07</v>
      </c>
      <c r="G866" s="4" t="str">
        <f>"510.83"</f>
        <v>510.83</v>
      </c>
    </row>
    <row r="867" spans="1:7" ht="15.75" customHeight="1" x14ac:dyDescent="0.15">
      <c r="A867" s="1">
        <v>863</v>
      </c>
      <c r="B867" s="1">
        <v>1917</v>
      </c>
      <c r="C867" s="1" t="s">
        <v>1022</v>
      </c>
      <c r="D867" s="1" t="s">
        <v>24</v>
      </c>
      <c r="E867" s="5" t="s">
        <v>1892</v>
      </c>
      <c r="F867" s="4" t="str">
        <f>"373.98"</f>
        <v>373.98</v>
      </c>
      <c r="G867" s="4" t="str">
        <f>"373.98"</f>
        <v>373.98</v>
      </c>
    </row>
    <row r="868" spans="1:7" ht="15.75" customHeight="1" x14ac:dyDescent="0.15">
      <c r="A868" s="1">
        <v>864</v>
      </c>
      <c r="B868" s="1">
        <v>10125</v>
      </c>
      <c r="C868" s="1" t="s">
        <v>1081</v>
      </c>
      <c r="D868" s="1" t="s">
        <v>5</v>
      </c>
      <c r="E868" s="5" t="s">
        <v>1892</v>
      </c>
      <c r="F868" s="4" t="str">
        <f>"374.94"</f>
        <v>374.94</v>
      </c>
      <c r="G868" s="4" t="str">
        <f>"374.94"</f>
        <v>374.94</v>
      </c>
    </row>
    <row r="869" spans="1:7" ht="15.75" customHeight="1" x14ac:dyDescent="0.15">
      <c r="A869" s="1">
        <v>865</v>
      </c>
      <c r="B869" s="1">
        <v>5720</v>
      </c>
      <c r="C869" s="1" t="s">
        <v>1028</v>
      </c>
      <c r="D869" s="1" t="s">
        <v>55</v>
      </c>
      <c r="E869" s="5" t="s">
        <v>1892</v>
      </c>
      <c r="F869" s="4" t="str">
        <f>"376.63"</f>
        <v>376.63</v>
      </c>
      <c r="G869" s="4" t="str">
        <f>"376.63"</f>
        <v>376.63</v>
      </c>
    </row>
    <row r="870" spans="1:7" ht="15.75" customHeight="1" x14ac:dyDescent="0.15">
      <c r="A870" s="1">
        <v>866</v>
      </c>
      <c r="B870" s="1">
        <v>10442</v>
      </c>
      <c r="C870" s="1" t="s">
        <v>982</v>
      </c>
      <c r="D870" s="1" t="s">
        <v>5</v>
      </c>
      <c r="E870" s="5" t="s">
        <v>1892</v>
      </c>
      <c r="F870" s="4" t="str">
        <f>"377.30"</f>
        <v>377.30</v>
      </c>
      <c r="G870" s="4" t="str">
        <f>"395.97"</f>
        <v>395.97</v>
      </c>
    </row>
    <row r="871" spans="1:7" ht="15.75" customHeight="1" x14ac:dyDescent="0.15">
      <c r="A871" s="1">
        <v>867</v>
      </c>
      <c r="B871" s="1">
        <v>10261</v>
      </c>
      <c r="C871" s="1" t="s">
        <v>1030</v>
      </c>
      <c r="D871" s="1" t="s">
        <v>6</v>
      </c>
      <c r="E871" s="5" t="s">
        <v>1892</v>
      </c>
      <c r="F871" s="4" t="str">
        <f>"377.88"</f>
        <v>377.88</v>
      </c>
      <c r="G871" s="4" t="str">
        <f>"377.88"</f>
        <v>377.88</v>
      </c>
    </row>
    <row r="872" spans="1:7" ht="15.75" customHeight="1" x14ac:dyDescent="0.15">
      <c r="A872" s="1">
        <v>868</v>
      </c>
      <c r="B872" s="1">
        <v>11097</v>
      </c>
      <c r="C872" s="1" t="s">
        <v>1033</v>
      </c>
      <c r="D872" s="1" t="s">
        <v>8</v>
      </c>
      <c r="E872" s="5" t="s">
        <v>1892</v>
      </c>
      <c r="F872" s="4" t="str">
        <f>"379.50"</f>
        <v>379.50</v>
      </c>
      <c r="G872" s="4" t="str">
        <f>"379.50"</f>
        <v>379.50</v>
      </c>
    </row>
    <row r="873" spans="1:7" ht="15.75" customHeight="1" x14ac:dyDescent="0.15">
      <c r="A873" s="1">
        <v>869</v>
      </c>
      <c r="B873" s="1">
        <v>5817</v>
      </c>
      <c r="C873" s="1" t="s">
        <v>1034</v>
      </c>
      <c r="D873" s="1" t="s">
        <v>17</v>
      </c>
      <c r="E873" s="5" t="s">
        <v>1892</v>
      </c>
      <c r="F873" s="4" t="str">
        <f>"380.37"</f>
        <v>380.37</v>
      </c>
      <c r="G873" s="4" t="str">
        <f>"380.37"</f>
        <v>380.37</v>
      </c>
    </row>
    <row r="874" spans="1:7" ht="15.75" customHeight="1" x14ac:dyDescent="0.15">
      <c r="A874" s="1">
        <v>870</v>
      </c>
      <c r="B874" s="1">
        <v>10112</v>
      </c>
      <c r="C874" s="1" t="s">
        <v>1101</v>
      </c>
      <c r="D874" s="1" t="s">
        <v>5</v>
      </c>
      <c r="E874" s="5" t="s">
        <v>1892</v>
      </c>
      <c r="F874" s="4" t="str">
        <f>"382.03"</f>
        <v>382.03</v>
      </c>
      <c r="G874" s="4" t="str">
        <f>"382.03"</f>
        <v>382.03</v>
      </c>
    </row>
    <row r="875" spans="1:7" ht="15.75" customHeight="1" x14ac:dyDescent="0.15">
      <c r="A875" s="1">
        <v>871</v>
      </c>
      <c r="B875" s="1">
        <v>3250</v>
      </c>
      <c r="C875" s="1" t="s">
        <v>957</v>
      </c>
      <c r="D875" s="1" t="s">
        <v>37</v>
      </c>
      <c r="E875" s="5" t="s">
        <v>1892</v>
      </c>
      <c r="F875" s="4" t="str">
        <f>"382.17"</f>
        <v>382.17</v>
      </c>
      <c r="G875" s="4" t="str">
        <f>"501.33"</f>
        <v>501.33</v>
      </c>
    </row>
    <row r="876" spans="1:7" ht="15.75" customHeight="1" x14ac:dyDescent="0.15">
      <c r="A876" s="1">
        <v>872</v>
      </c>
      <c r="B876" s="1">
        <v>10231</v>
      </c>
      <c r="C876" s="1" t="s">
        <v>1036</v>
      </c>
      <c r="D876" s="1" t="s">
        <v>58</v>
      </c>
      <c r="E876" s="5" t="s">
        <v>1892</v>
      </c>
      <c r="F876" s="4" t="str">
        <f>"382.65"</f>
        <v>382.65</v>
      </c>
      <c r="G876" s="4" t="str">
        <f>"382.65"</f>
        <v>382.65</v>
      </c>
    </row>
    <row r="877" spans="1:7" ht="15.75" customHeight="1" x14ac:dyDescent="0.15">
      <c r="A877" s="1">
        <v>873</v>
      </c>
      <c r="B877" s="1">
        <v>8066</v>
      </c>
      <c r="C877" s="1" t="s">
        <v>1037</v>
      </c>
      <c r="D877" s="1" t="s">
        <v>1038</v>
      </c>
      <c r="E877" s="5" t="s">
        <v>1892</v>
      </c>
      <c r="F877" s="4" t="str">
        <f>"383.25"</f>
        <v>383.25</v>
      </c>
      <c r="G877" s="4" t="str">
        <f>"383.25"</f>
        <v>383.25</v>
      </c>
    </row>
    <row r="878" spans="1:7" ht="15.75" customHeight="1" x14ac:dyDescent="0.15">
      <c r="A878" s="1">
        <v>874</v>
      </c>
      <c r="B878" s="1">
        <v>2166</v>
      </c>
      <c r="C878" s="1" t="s">
        <v>1089</v>
      </c>
      <c r="D878" s="1" t="s">
        <v>5</v>
      </c>
      <c r="E878" s="5" t="s">
        <v>1892</v>
      </c>
      <c r="F878" s="4" t="str">
        <f>"383.69"</f>
        <v>383.69</v>
      </c>
      <c r="G878" s="4" t="str">
        <f>"383.69"</f>
        <v>383.69</v>
      </c>
    </row>
    <row r="879" spans="1:7" ht="15.75" customHeight="1" x14ac:dyDescent="0.15">
      <c r="A879" s="1">
        <v>875</v>
      </c>
      <c r="B879" s="1">
        <v>10844</v>
      </c>
      <c r="C879" s="1" t="s">
        <v>959</v>
      </c>
      <c r="D879" s="1" t="s">
        <v>5</v>
      </c>
      <c r="E879" s="5" t="s">
        <v>1892</v>
      </c>
      <c r="F879" s="4" t="str">
        <f>"383.95"</f>
        <v>383.95</v>
      </c>
      <c r="G879" s="4" t="str">
        <f>"441.80"</f>
        <v>441.80</v>
      </c>
    </row>
    <row r="880" spans="1:7" ht="15.75" customHeight="1" x14ac:dyDescent="0.15">
      <c r="A880" s="1">
        <v>876</v>
      </c>
      <c r="B880" s="1">
        <v>5151</v>
      </c>
      <c r="C880" s="1" t="s">
        <v>1040</v>
      </c>
      <c r="D880" s="1" t="s">
        <v>388</v>
      </c>
      <c r="E880" s="5" t="s">
        <v>1892</v>
      </c>
      <c r="F880" s="4" t="str">
        <f>"384.50"</f>
        <v>384.50</v>
      </c>
      <c r="G880" s="4" t="str">
        <f>"384.50"</f>
        <v>384.50</v>
      </c>
    </row>
    <row r="881" spans="1:7" ht="15.75" customHeight="1" x14ac:dyDescent="0.15">
      <c r="A881" s="1">
        <v>877</v>
      </c>
      <c r="B881" s="1">
        <v>7575</v>
      </c>
      <c r="C881" s="1" t="s">
        <v>1042</v>
      </c>
      <c r="D881" s="1" t="s">
        <v>112</v>
      </c>
      <c r="E881" s="5" t="s">
        <v>1892</v>
      </c>
      <c r="F881" s="4" t="str">
        <f>"385.35"</f>
        <v>385.35</v>
      </c>
      <c r="G881" s="4" t="str">
        <f>"385.35"</f>
        <v>385.35</v>
      </c>
    </row>
    <row r="882" spans="1:7" ht="15.75" customHeight="1" x14ac:dyDescent="0.15">
      <c r="A882" s="1">
        <v>878</v>
      </c>
      <c r="B882" s="1">
        <v>10400</v>
      </c>
      <c r="C882" s="1" t="s">
        <v>1045</v>
      </c>
      <c r="D882" s="1" t="s">
        <v>19</v>
      </c>
      <c r="E882" s="5" t="s">
        <v>1892</v>
      </c>
      <c r="F882" s="4" t="str">
        <f>"387.78"</f>
        <v>387.78</v>
      </c>
      <c r="G882" s="4" t="str">
        <f>"387.78"</f>
        <v>387.78</v>
      </c>
    </row>
    <row r="883" spans="1:7" ht="15.75" customHeight="1" x14ac:dyDescent="0.15">
      <c r="A883" s="1">
        <v>879</v>
      </c>
      <c r="B883" s="1">
        <v>7623</v>
      </c>
      <c r="C883" s="1" t="s">
        <v>1023</v>
      </c>
      <c r="D883" s="1" t="s">
        <v>1024</v>
      </c>
      <c r="E883" s="5" t="s">
        <v>1892</v>
      </c>
      <c r="F883" s="4" t="str">
        <f>"389.01"</f>
        <v>389.01</v>
      </c>
      <c r="G883" s="4" t="str">
        <f>"403.79"</f>
        <v>403.79</v>
      </c>
    </row>
    <row r="884" spans="1:7" ht="15.75" customHeight="1" x14ac:dyDescent="0.15">
      <c r="A884" s="1">
        <v>880</v>
      </c>
      <c r="B884" s="1">
        <v>8151</v>
      </c>
      <c r="C884" s="1" t="s">
        <v>1048</v>
      </c>
      <c r="D884" s="1" t="s">
        <v>1049</v>
      </c>
      <c r="E884" s="5" t="s">
        <v>1892</v>
      </c>
      <c r="F884" s="4" t="str">
        <f>"390.66"</f>
        <v>390.66</v>
      </c>
      <c r="G884" s="4" t="str">
        <f>"390.66"</f>
        <v>390.66</v>
      </c>
    </row>
    <row r="885" spans="1:7" ht="15.75" customHeight="1" x14ac:dyDescent="0.15">
      <c r="A885" s="1">
        <v>881</v>
      </c>
      <c r="B885" s="1">
        <v>10390</v>
      </c>
      <c r="C885" s="1" t="s">
        <v>1051</v>
      </c>
      <c r="D885" s="1" t="s">
        <v>19</v>
      </c>
      <c r="E885" s="5" t="s">
        <v>1892</v>
      </c>
      <c r="F885" s="4" t="str">
        <f>"390.94"</f>
        <v>390.94</v>
      </c>
      <c r="G885" s="4" t="str">
        <f>"390.94"</f>
        <v>390.94</v>
      </c>
    </row>
    <row r="886" spans="1:7" ht="15.75" customHeight="1" x14ac:dyDescent="0.15">
      <c r="A886" s="1">
        <v>882</v>
      </c>
      <c r="B886" s="1">
        <v>10368</v>
      </c>
      <c r="C886" s="1" t="s">
        <v>1052</v>
      </c>
      <c r="D886" s="1" t="s">
        <v>216</v>
      </c>
      <c r="E886" s="5" t="s">
        <v>1892</v>
      </c>
      <c r="F886" s="4" t="str">
        <f>"391.39"</f>
        <v>391.39</v>
      </c>
      <c r="G886" s="4" t="str">
        <f>"391.39"</f>
        <v>391.39</v>
      </c>
    </row>
    <row r="887" spans="1:7" ht="15.75" customHeight="1" x14ac:dyDescent="0.15">
      <c r="A887" s="1">
        <v>883</v>
      </c>
      <c r="B887" s="1">
        <v>5254</v>
      </c>
      <c r="C887" s="1" t="s">
        <v>980</v>
      </c>
      <c r="D887" s="1" t="s">
        <v>23</v>
      </c>
      <c r="E887" s="5" t="s">
        <v>1892</v>
      </c>
      <c r="F887" s="4" t="str">
        <f>"392.09"</f>
        <v>392.09</v>
      </c>
      <c r="G887" s="4"/>
    </row>
    <row r="888" spans="1:7" ht="15.75" customHeight="1" x14ac:dyDescent="0.15">
      <c r="A888" s="1">
        <v>884</v>
      </c>
      <c r="B888" s="1">
        <v>9992</v>
      </c>
      <c r="C888" s="1" t="s">
        <v>1054</v>
      </c>
      <c r="D888" s="1" t="s">
        <v>141</v>
      </c>
      <c r="E888" s="5" t="s">
        <v>1892</v>
      </c>
      <c r="F888" s="4" t="str">
        <f>"392.11"</f>
        <v>392.11</v>
      </c>
      <c r="G888" s="4" t="str">
        <f>"392.11"</f>
        <v>392.11</v>
      </c>
    </row>
    <row r="889" spans="1:7" ht="15.75" customHeight="1" x14ac:dyDescent="0.15">
      <c r="A889" s="1">
        <v>885</v>
      </c>
      <c r="B889" s="1">
        <v>11072</v>
      </c>
      <c r="C889" s="1" t="s">
        <v>1055</v>
      </c>
      <c r="D889" s="1" t="s">
        <v>6</v>
      </c>
      <c r="E889" s="5" t="s">
        <v>1892</v>
      </c>
      <c r="F889" s="4" t="str">
        <f>"393.71"</f>
        <v>393.71</v>
      </c>
      <c r="G889" s="4" t="str">
        <f>"393.71"</f>
        <v>393.71</v>
      </c>
    </row>
    <row r="890" spans="1:7" ht="15.75" customHeight="1" x14ac:dyDescent="0.15">
      <c r="A890" s="1">
        <v>886</v>
      </c>
      <c r="B890" s="1">
        <v>10180</v>
      </c>
      <c r="C890" s="1" t="s">
        <v>1013</v>
      </c>
      <c r="D890" s="1" t="s">
        <v>5</v>
      </c>
      <c r="E890" s="5" t="s">
        <v>1892</v>
      </c>
      <c r="F890" s="4" t="str">
        <f>"395.22"</f>
        <v>395.22</v>
      </c>
      <c r="G890" s="4" t="str">
        <f>"421.57"</f>
        <v>421.57</v>
      </c>
    </row>
    <row r="891" spans="1:7" ht="15.75" customHeight="1" x14ac:dyDescent="0.15">
      <c r="A891" s="1">
        <v>887</v>
      </c>
      <c r="B891" s="1">
        <v>10441</v>
      </c>
      <c r="C891" s="1" t="s">
        <v>1057</v>
      </c>
      <c r="D891" s="1" t="s">
        <v>19</v>
      </c>
      <c r="E891" s="5" t="s">
        <v>1892</v>
      </c>
      <c r="F891" s="4" t="str">
        <f>"395.27"</f>
        <v>395.27</v>
      </c>
      <c r="G891" s="4" t="str">
        <f>"395.27"</f>
        <v>395.27</v>
      </c>
    </row>
    <row r="892" spans="1:7" ht="15.75" customHeight="1" x14ac:dyDescent="0.15">
      <c r="A892" s="1">
        <v>888</v>
      </c>
      <c r="B892" s="1">
        <v>3621</v>
      </c>
      <c r="C892" s="1" t="s">
        <v>995</v>
      </c>
      <c r="D892" s="1" t="s">
        <v>488</v>
      </c>
      <c r="E892" s="5" t="s">
        <v>1892</v>
      </c>
      <c r="F892" s="4" t="str">
        <f>"395.69"</f>
        <v>395.69</v>
      </c>
      <c r="G892" s="4" t="str">
        <f>"408.14"</f>
        <v>408.14</v>
      </c>
    </row>
    <row r="893" spans="1:7" ht="15.75" customHeight="1" x14ac:dyDescent="0.15">
      <c r="A893" s="1">
        <v>889</v>
      </c>
      <c r="B893" s="1">
        <v>11356</v>
      </c>
      <c r="C893" s="1" t="s">
        <v>990</v>
      </c>
      <c r="D893" s="1" t="s">
        <v>77</v>
      </c>
      <c r="E893" s="5" t="s">
        <v>1892</v>
      </c>
      <c r="F893" s="4" t="str">
        <f>"397.08"</f>
        <v>397.08</v>
      </c>
      <c r="G893" s="4"/>
    </row>
    <row r="894" spans="1:7" ht="15.75" customHeight="1" x14ac:dyDescent="0.15">
      <c r="A894" s="1">
        <v>890</v>
      </c>
      <c r="B894" s="1">
        <v>10837</v>
      </c>
      <c r="C894" s="1" t="s">
        <v>993</v>
      </c>
      <c r="D894" s="1" t="s">
        <v>5</v>
      </c>
      <c r="E894" s="5" t="s">
        <v>1892</v>
      </c>
      <c r="F894" s="4" t="str">
        <f>"397.67"</f>
        <v>397.67</v>
      </c>
      <c r="G894" s="4"/>
    </row>
    <row r="895" spans="1:7" ht="15.75" customHeight="1" x14ac:dyDescent="0.15">
      <c r="A895" s="1">
        <v>891</v>
      </c>
      <c r="B895" s="1">
        <v>10883</v>
      </c>
      <c r="C895" s="1" t="s">
        <v>994</v>
      </c>
      <c r="D895" s="1" t="s">
        <v>5</v>
      </c>
      <c r="E895" s="5" t="s">
        <v>1892</v>
      </c>
      <c r="F895" s="4" t="str">
        <f>"398.36"</f>
        <v>398.36</v>
      </c>
      <c r="G895" s="4"/>
    </row>
    <row r="896" spans="1:7" ht="15.75" customHeight="1" x14ac:dyDescent="0.15">
      <c r="A896" s="1">
        <v>892</v>
      </c>
      <c r="B896" s="1">
        <v>10389</v>
      </c>
      <c r="C896" s="1" t="s">
        <v>1060</v>
      </c>
      <c r="D896" s="1" t="s">
        <v>19</v>
      </c>
      <c r="E896" s="5" t="s">
        <v>1892</v>
      </c>
      <c r="F896" s="4" t="str">
        <f>"398.64"</f>
        <v>398.64</v>
      </c>
      <c r="G896" s="4" t="str">
        <f>"398.64"</f>
        <v>398.64</v>
      </c>
    </row>
    <row r="897" spans="1:7" ht="15.75" customHeight="1" x14ac:dyDescent="0.15">
      <c r="A897" s="1">
        <v>893</v>
      </c>
      <c r="B897" s="1">
        <v>10621</v>
      </c>
      <c r="C897" s="1" t="s">
        <v>945</v>
      </c>
      <c r="D897" s="1" t="s">
        <v>5</v>
      </c>
      <c r="E897" s="5" t="s">
        <v>1892</v>
      </c>
      <c r="F897" s="4" t="str">
        <f>"401.60"</f>
        <v>401.60</v>
      </c>
      <c r="G897" s="4" t="str">
        <f>"470.21"</f>
        <v>470.21</v>
      </c>
    </row>
    <row r="898" spans="1:7" ht="15.75" customHeight="1" x14ac:dyDescent="0.15">
      <c r="A898" s="1">
        <v>894</v>
      </c>
      <c r="B898" s="1">
        <v>10452</v>
      </c>
      <c r="C898" s="1" t="s">
        <v>1061</v>
      </c>
      <c r="D898" s="1" t="s">
        <v>19</v>
      </c>
      <c r="E898" s="5" t="s">
        <v>1892</v>
      </c>
      <c r="F898" s="4" t="str">
        <f>"402.83"</f>
        <v>402.83</v>
      </c>
      <c r="G898" s="4" t="str">
        <f>"402.83"</f>
        <v>402.83</v>
      </c>
    </row>
    <row r="899" spans="1:7" ht="15.75" customHeight="1" x14ac:dyDescent="0.15">
      <c r="A899" s="1">
        <v>895</v>
      </c>
      <c r="B899" s="1">
        <v>8614</v>
      </c>
      <c r="C899" s="1" t="s">
        <v>1062</v>
      </c>
      <c r="D899" s="1" t="s">
        <v>5</v>
      </c>
      <c r="E899" s="5" t="s">
        <v>1892</v>
      </c>
      <c r="F899" s="4" t="str">
        <f>"402.84"</f>
        <v>402.84</v>
      </c>
      <c r="G899" s="4" t="str">
        <f>"402.84"</f>
        <v>402.84</v>
      </c>
    </row>
    <row r="900" spans="1:7" ht="15.75" customHeight="1" x14ac:dyDescent="0.15">
      <c r="A900" s="1">
        <v>896</v>
      </c>
      <c r="B900" s="1">
        <v>4545</v>
      </c>
      <c r="C900" s="1" t="s">
        <v>1064</v>
      </c>
      <c r="D900" s="1" t="s">
        <v>17</v>
      </c>
      <c r="E900" s="5" t="s">
        <v>1892</v>
      </c>
      <c r="F900" s="4" t="str">
        <f>"403.79"</f>
        <v>403.79</v>
      </c>
      <c r="G900" s="4" t="str">
        <f>"403.79"</f>
        <v>403.79</v>
      </c>
    </row>
    <row r="901" spans="1:7" ht="15.75" customHeight="1" x14ac:dyDescent="0.15">
      <c r="A901" s="1">
        <v>897</v>
      </c>
      <c r="B901" s="1">
        <v>10228</v>
      </c>
      <c r="C901" s="1" t="s">
        <v>1065</v>
      </c>
      <c r="D901" s="1" t="s">
        <v>58</v>
      </c>
      <c r="E901" s="5" t="s">
        <v>1892</v>
      </c>
      <c r="F901" s="4" t="str">
        <f>"405.14"</f>
        <v>405.14</v>
      </c>
      <c r="G901" s="4" t="str">
        <f>"405.14"</f>
        <v>405.14</v>
      </c>
    </row>
    <row r="902" spans="1:7" ht="15.75" customHeight="1" x14ac:dyDescent="0.15">
      <c r="A902" s="1">
        <v>898</v>
      </c>
      <c r="B902" s="1">
        <v>10907</v>
      </c>
      <c r="C902" s="1" t="s">
        <v>1006</v>
      </c>
      <c r="D902" s="1" t="s">
        <v>5</v>
      </c>
      <c r="E902" s="5" t="s">
        <v>1892</v>
      </c>
      <c r="F902" s="4" t="str">
        <f>"405.46"</f>
        <v>405.46</v>
      </c>
      <c r="G902" s="4" t="str">
        <f>"487.16"</f>
        <v>487.16</v>
      </c>
    </row>
    <row r="903" spans="1:7" ht="15.75" customHeight="1" x14ac:dyDescent="0.15">
      <c r="A903" s="1">
        <v>899</v>
      </c>
      <c r="B903" s="1">
        <v>10761</v>
      </c>
      <c r="C903" s="1" t="s">
        <v>1066</v>
      </c>
      <c r="D903" s="1" t="s">
        <v>19</v>
      </c>
      <c r="E903" s="5" t="s">
        <v>1892</v>
      </c>
      <c r="F903" s="4" t="str">
        <f>"405.57"</f>
        <v>405.57</v>
      </c>
      <c r="G903" s="4" t="str">
        <f>"405.57"</f>
        <v>405.57</v>
      </c>
    </row>
    <row r="904" spans="1:7" ht="15.75" customHeight="1" x14ac:dyDescent="0.15">
      <c r="A904" s="1">
        <v>900</v>
      </c>
      <c r="B904" s="1">
        <v>11345</v>
      </c>
      <c r="C904" s="1" t="s">
        <v>1008</v>
      </c>
      <c r="D904" s="1" t="s">
        <v>6</v>
      </c>
      <c r="E904" s="5" t="s">
        <v>1892</v>
      </c>
      <c r="F904" s="4" t="str">
        <f>"405.71"</f>
        <v>405.71</v>
      </c>
      <c r="G904" s="4"/>
    </row>
    <row r="905" spans="1:7" ht="15.75" customHeight="1" x14ac:dyDescent="0.15">
      <c r="A905" s="1">
        <v>901</v>
      </c>
      <c r="B905" s="1">
        <v>3924</v>
      </c>
      <c r="C905" s="1" t="s">
        <v>1092</v>
      </c>
      <c r="D905" s="1" t="s">
        <v>1093</v>
      </c>
      <c r="E905" s="5" t="s">
        <v>1892</v>
      </c>
      <c r="F905" s="4" t="str">
        <f>"406.98"</f>
        <v>406.98</v>
      </c>
      <c r="G905" s="4" t="str">
        <f>"406.98"</f>
        <v>406.98</v>
      </c>
    </row>
    <row r="906" spans="1:7" ht="15.75" customHeight="1" x14ac:dyDescent="0.15">
      <c r="A906" s="1">
        <v>902</v>
      </c>
      <c r="B906" s="1">
        <v>6363</v>
      </c>
      <c r="C906" s="1" t="s">
        <v>1016</v>
      </c>
      <c r="D906" s="1" t="s">
        <v>534</v>
      </c>
      <c r="E906" s="5" t="s">
        <v>1892</v>
      </c>
      <c r="F906" s="4" t="str">
        <f>"410.31"</f>
        <v>410.31</v>
      </c>
      <c r="G906" s="4"/>
    </row>
    <row r="907" spans="1:7" ht="15.75" customHeight="1" x14ac:dyDescent="0.15">
      <c r="A907" s="1">
        <v>903</v>
      </c>
      <c r="B907" s="1">
        <v>5735</v>
      </c>
      <c r="C907" s="1" t="s">
        <v>1159</v>
      </c>
      <c r="D907" s="1" t="s">
        <v>8</v>
      </c>
      <c r="E907" s="5" t="s">
        <v>1892</v>
      </c>
      <c r="F907" s="4" t="str">
        <f>"410.40"</f>
        <v>410.40</v>
      </c>
      <c r="G907" s="4" t="str">
        <f>"410.40"</f>
        <v>410.40</v>
      </c>
    </row>
    <row r="908" spans="1:7" ht="15.75" customHeight="1" x14ac:dyDescent="0.15">
      <c r="A908" s="1">
        <v>904</v>
      </c>
      <c r="B908" s="1">
        <v>11049</v>
      </c>
      <c r="C908" s="1" t="s">
        <v>1069</v>
      </c>
      <c r="D908" s="1" t="s">
        <v>6</v>
      </c>
      <c r="E908" s="5" t="s">
        <v>1892</v>
      </c>
      <c r="F908" s="4" t="str">
        <f>"411.45"</f>
        <v>411.45</v>
      </c>
      <c r="G908" s="4" t="str">
        <f>"411.45"</f>
        <v>411.45</v>
      </c>
    </row>
    <row r="909" spans="1:7" ht="15.75" customHeight="1" x14ac:dyDescent="0.15">
      <c r="A909" s="1">
        <v>905</v>
      </c>
      <c r="B909" s="1">
        <v>1489</v>
      </c>
      <c r="C909" s="1" t="s">
        <v>1070</v>
      </c>
      <c r="D909" s="1" t="s">
        <v>61</v>
      </c>
      <c r="E909" s="5" t="s">
        <v>1892</v>
      </c>
      <c r="F909" s="4" t="str">
        <f>"411.58"</f>
        <v>411.58</v>
      </c>
      <c r="G909" s="4" t="str">
        <f>"411.58"</f>
        <v>411.58</v>
      </c>
    </row>
    <row r="910" spans="1:7" ht="15.75" customHeight="1" x14ac:dyDescent="0.15">
      <c r="A910" s="1">
        <v>906</v>
      </c>
      <c r="B910" s="1">
        <v>1364</v>
      </c>
      <c r="C910" s="1" t="s">
        <v>1203</v>
      </c>
      <c r="D910" s="1" t="s">
        <v>18</v>
      </c>
      <c r="E910" s="5" t="s">
        <v>1892</v>
      </c>
      <c r="F910" s="4" t="str">
        <f>"411.72"</f>
        <v>411.72</v>
      </c>
      <c r="G910" s="4" t="str">
        <f>"411.72"</f>
        <v>411.72</v>
      </c>
    </row>
    <row r="911" spans="1:7" ht="15.75" customHeight="1" x14ac:dyDescent="0.15">
      <c r="A911" s="1">
        <v>907</v>
      </c>
      <c r="B911" s="1">
        <v>10510</v>
      </c>
      <c r="C911" s="1" t="s">
        <v>1071</v>
      </c>
      <c r="D911" s="1" t="s">
        <v>8</v>
      </c>
      <c r="E911" s="5" t="s">
        <v>1892</v>
      </c>
      <c r="F911" s="4" t="str">
        <f>"412.98"</f>
        <v>412.98</v>
      </c>
      <c r="G911" s="4" t="str">
        <f>"412.98"</f>
        <v>412.98</v>
      </c>
    </row>
    <row r="912" spans="1:7" ht="15.75" customHeight="1" x14ac:dyDescent="0.15">
      <c r="A912" s="1">
        <v>908</v>
      </c>
      <c r="B912" s="1">
        <v>10275</v>
      </c>
      <c r="C912" s="1" t="s">
        <v>1072</v>
      </c>
      <c r="D912" s="1" t="s">
        <v>462</v>
      </c>
      <c r="E912" s="5" t="s">
        <v>1892</v>
      </c>
      <c r="F912" s="4" t="str">
        <f>"413.01"</f>
        <v>413.01</v>
      </c>
      <c r="G912" s="4" t="str">
        <f>"413.01"</f>
        <v>413.01</v>
      </c>
    </row>
    <row r="913" spans="1:7" ht="15.75" customHeight="1" x14ac:dyDescent="0.15">
      <c r="A913" s="1">
        <v>909</v>
      </c>
      <c r="B913" s="1">
        <v>8276</v>
      </c>
      <c r="C913" s="1" t="s">
        <v>1021</v>
      </c>
      <c r="D913" s="1" t="s">
        <v>48</v>
      </c>
      <c r="E913" s="5" t="s">
        <v>1892</v>
      </c>
      <c r="F913" s="4" t="str">
        <f>"413.55"</f>
        <v>413.55</v>
      </c>
      <c r="G913" s="4"/>
    </row>
    <row r="914" spans="1:7" ht="15.75" customHeight="1" x14ac:dyDescent="0.15">
      <c r="A914" s="1">
        <v>910</v>
      </c>
      <c r="B914" s="1">
        <v>11265</v>
      </c>
      <c r="C914" s="1" t="s">
        <v>1026</v>
      </c>
      <c r="D914" s="1" t="s">
        <v>5</v>
      </c>
      <c r="E914" s="5" t="s">
        <v>1892</v>
      </c>
      <c r="F914" s="4" t="str">
        <f>"414.65"</f>
        <v>414.65</v>
      </c>
      <c r="G914" s="4"/>
    </row>
    <row r="915" spans="1:7" ht="15.75" customHeight="1" x14ac:dyDescent="0.15">
      <c r="A915" s="1">
        <v>911</v>
      </c>
      <c r="B915" s="1">
        <v>10552</v>
      </c>
      <c r="C915" s="1" t="s">
        <v>1076</v>
      </c>
      <c r="D915" s="1" t="s">
        <v>5</v>
      </c>
      <c r="E915" s="5" t="s">
        <v>1892</v>
      </c>
      <c r="F915" s="4" t="str">
        <f>"416.40"</f>
        <v>416.40</v>
      </c>
      <c r="G915" s="4" t="str">
        <f>"416.40"</f>
        <v>416.40</v>
      </c>
    </row>
    <row r="916" spans="1:7" ht="15.75" customHeight="1" x14ac:dyDescent="0.15">
      <c r="A916" s="1">
        <v>912</v>
      </c>
      <c r="B916" s="1">
        <v>11238</v>
      </c>
      <c r="C916" s="1" t="s">
        <v>1029</v>
      </c>
      <c r="D916" s="1" t="s">
        <v>5</v>
      </c>
      <c r="E916" s="5" t="s">
        <v>1892</v>
      </c>
      <c r="F916" s="4" t="str">
        <f>"417.85"</f>
        <v>417.85</v>
      </c>
      <c r="G916" s="4"/>
    </row>
    <row r="917" spans="1:7" ht="15.75" customHeight="1" x14ac:dyDescent="0.15">
      <c r="A917" s="1">
        <v>913</v>
      </c>
      <c r="B917" s="1">
        <v>10787</v>
      </c>
      <c r="C917" s="1" t="s">
        <v>1077</v>
      </c>
      <c r="D917" s="1" t="s">
        <v>19</v>
      </c>
      <c r="E917" s="5" t="s">
        <v>1892</v>
      </c>
      <c r="F917" s="4" t="str">
        <f>"417.89"</f>
        <v>417.89</v>
      </c>
      <c r="G917" s="4" t="str">
        <f>"417.89"</f>
        <v>417.89</v>
      </c>
    </row>
    <row r="918" spans="1:7" ht="15.75" customHeight="1" x14ac:dyDescent="0.15">
      <c r="A918" s="1">
        <v>914</v>
      </c>
      <c r="B918" s="1">
        <v>4046</v>
      </c>
      <c r="C918" s="1" t="s">
        <v>1031</v>
      </c>
      <c r="D918" s="1" t="s">
        <v>61</v>
      </c>
      <c r="E918" s="5" t="s">
        <v>1892</v>
      </c>
      <c r="F918" s="4" t="str">
        <f>"418.10"</f>
        <v>418.10</v>
      </c>
      <c r="G918" s="4" t="str">
        <f>"510.67"</f>
        <v>510.67</v>
      </c>
    </row>
    <row r="919" spans="1:7" ht="15.75" customHeight="1" x14ac:dyDescent="0.15">
      <c r="A919" s="1">
        <v>915</v>
      </c>
      <c r="B919" s="1">
        <v>1284</v>
      </c>
      <c r="C919" s="1" t="s">
        <v>1079</v>
      </c>
      <c r="D919" s="1" t="s">
        <v>500</v>
      </c>
      <c r="E919" s="5" t="s">
        <v>1892</v>
      </c>
      <c r="F919" s="4" t="str">
        <f>"418.13"</f>
        <v>418.13</v>
      </c>
      <c r="G919" s="4" t="str">
        <f>"418.13"</f>
        <v>418.13</v>
      </c>
    </row>
    <row r="920" spans="1:7" ht="15.75" customHeight="1" x14ac:dyDescent="0.15">
      <c r="A920" s="1">
        <v>916</v>
      </c>
      <c r="B920" s="1">
        <v>8633</v>
      </c>
      <c r="C920" s="1" t="s">
        <v>1078</v>
      </c>
      <c r="D920" s="1" t="s">
        <v>5</v>
      </c>
      <c r="E920" s="5" t="s">
        <v>1892</v>
      </c>
      <c r="F920" s="4" t="str">
        <f>"419.38"</f>
        <v>419.38</v>
      </c>
      <c r="G920" s="4" t="str">
        <f>"420.82"</f>
        <v>420.82</v>
      </c>
    </row>
    <row r="921" spans="1:7" ht="15.75" customHeight="1" x14ac:dyDescent="0.15">
      <c r="A921" s="1">
        <v>917</v>
      </c>
      <c r="B921" s="1">
        <v>11077</v>
      </c>
      <c r="C921" s="1" t="s">
        <v>1080</v>
      </c>
      <c r="D921" s="1" t="s">
        <v>32</v>
      </c>
      <c r="E921" s="5" t="s">
        <v>1892</v>
      </c>
      <c r="F921" s="4" t="str">
        <f>"420.55"</f>
        <v>420.55</v>
      </c>
      <c r="G921" s="4" t="str">
        <f>"420.55"</f>
        <v>420.55</v>
      </c>
    </row>
    <row r="922" spans="1:7" ht="15.75" customHeight="1" x14ac:dyDescent="0.15">
      <c r="A922" s="1">
        <v>918</v>
      </c>
      <c r="B922" s="1">
        <v>10425</v>
      </c>
      <c r="C922" s="1" t="s">
        <v>1082</v>
      </c>
      <c r="D922" s="1" t="s">
        <v>19</v>
      </c>
      <c r="E922" s="5" t="s">
        <v>1892</v>
      </c>
      <c r="F922" s="4" t="str">
        <f>"421.57"</f>
        <v>421.57</v>
      </c>
      <c r="G922" s="4" t="str">
        <f>"421.57"</f>
        <v>421.57</v>
      </c>
    </row>
    <row r="923" spans="1:7" ht="15.75" customHeight="1" x14ac:dyDescent="0.15">
      <c r="A923" s="1">
        <v>919</v>
      </c>
      <c r="B923" s="1">
        <v>10486</v>
      </c>
      <c r="C923" s="1" t="s">
        <v>1083</v>
      </c>
      <c r="D923" s="1" t="s">
        <v>19</v>
      </c>
      <c r="E923" s="5" t="s">
        <v>1892</v>
      </c>
      <c r="F923" s="4" t="str">
        <f>"423.85"</f>
        <v>423.85</v>
      </c>
      <c r="G923" s="4" t="str">
        <f>"423.85"</f>
        <v>423.85</v>
      </c>
    </row>
    <row r="924" spans="1:7" ht="15.75" customHeight="1" x14ac:dyDescent="0.15">
      <c r="A924" s="1">
        <v>920</v>
      </c>
      <c r="B924" s="1">
        <v>5336</v>
      </c>
      <c r="C924" s="1" t="s">
        <v>1085</v>
      </c>
      <c r="D924" s="1" t="s">
        <v>43</v>
      </c>
      <c r="E924" s="5" t="s">
        <v>1892</v>
      </c>
      <c r="F924" s="4" t="str">
        <f>"425.57"</f>
        <v>425.57</v>
      </c>
      <c r="G924" s="4" t="str">
        <f>"425.57"</f>
        <v>425.57</v>
      </c>
    </row>
    <row r="925" spans="1:7" ht="15.75" customHeight="1" x14ac:dyDescent="0.15">
      <c r="A925" s="1">
        <v>921</v>
      </c>
      <c r="B925" s="1">
        <v>2168</v>
      </c>
      <c r="C925" s="1" t="s">
        <v>1174</v>
      </c>
      <c r="D925" s="1" t="s">
        <v>5</v>
      </c>
      <c r="E925" s="5" t="s">
        <v>1892</v>
      </c>
      <c r="F925" s="4" t="str">
        <f>"425.59"</f>
        <v>425.59</v>
      </c>
      <c r="G925" s="4" t="str">
        <f>"425.59"</f>
        <v>425.59</v>
      </c>
    </row>
    <row r="926" spans="1:7" ht="15.75" customHeight="1" x14ac:dyDescent="0.15">
      <c r="A926" s="1">
        <v>922</v>
      </c>
      <c r="B926" s="1">
        <v>2647</v>
      </c>
      <c r="C926" s="1" t="s">
        <v>1088</v>
      </c>
      <c r="D926" s="1" t="s">
        <v>1049</v>
      </c>
      <c r="E926" s="5" t="s">
        <v>1892</v>
      </c>
      <c r="F926" s="4" t="str">
        <f>"428.02"</f>
        <v>428.02</v>
      </c>
      <c r="G926" s="4" t="str">
        <f>"428.02"</f>
        <v>428.02</v>
      </c>
    </row>
    <row r="927" spans="1:7" ht="15.75" customHeight="1" x14ac:dyDescent="0.15">
      <c r="A927" s="1">
        <v>923</v>
      </c>
      <c r="B927" s="1">
        <v>10910</v>
      </c>
      <c r="C927" s="1" t="s">
        <v>1047</v>
      </c>
      <c r="D927" s="1" t="s">
        <v>5</v>
      </c>
      <c r="E927" s="5" t="s">
        <v>1892</v>
      </c>
      <c r="F927" s="4" t="str">
        <f>"428.85"</f>
        <v>428.85</v>
      </c>
      <c r="G927" s="4" t="str">
        <f>"507.18"</f>
        <v>507.18</v>
      </c>
    </row>
    <row r="928" spans="1:7" ht="15.75" customHeight="1" x14ac:dyDescent="0.15">
      <c r="A928" s="1">
        <v>924</v>
      </c>
      <c r="B928" s="1">
        <v>10141</v>
      </c>
      <c r="C928" s="1" t="s">
        <v>1020</v>
      </c>
      <c r="D928" s="1" t="s">
        <v>5</v>
      </c>
      <c r="E928" s="5" t="s">
        <v>1892</v>
      </c>
      <c r="F928" s="4" t="str">
        <f>"430.17"</f>
        <v>430.17</v>
      </c>
      <c r="G928" s="4" t="str">
        <f>"487.39"</f>
        <v>487.39</v>
      </c>
    </row>
    <row r="929" spans="1:7" ht="15.75" customHeight="1" x14ac:dyDescent="0.15">
      <c r="A929" s="1">
        <v>925</v>
      </c>
      <c r="B929" s="1">
        <v>10117</v>
      </c>
      <c r="C929" s="1" t="s">
        <v>1100</v>
      </c>
      <c r="D929" s="1" t="s">
        <v>5</v>
      </c>
      <c r="E929" s="5" t="s">
        <v>1892</v>
      </c>
      <c r="F929" s="4" t="str">
        <f>"430.25"</f>
        <v>430.25</v>
      </c>
      <c r="G929" s="4" t="str">
        <f>"430.25"</f>
        <v>430.25</v>
      </c>
    </row>
    <row r="930" spans="1:7" ht="15.75" customHeight="1" x14ac:dyDescent="0.15">
      <c r="A930" s="1">
        <v>926</v>
      </c>
      <c r="B930" s="1">
        <v>10418</v>
      </c>
      <c r="C930" s="1" t="s">
        <v>1094</v>
      </c>
      <c r="D930" s="1" t="s">
        <v>19</v>
      </c>
      <c r="E930" s="5" t="s">
        <v>1892</v>
      </c>
      <c r="F930" s="4" t="str">
        <f>"433.45"</f>
        <v>433.45</v>
      </c>
      <c r="G930" s="4" t="str">
        <f>"433.45"</f>
        <v>433.45</v>
      </c>
    </row>
    <row r="931" spans="1:7" ht="15.75" customHeight="1" x14ac:dyDescent="0.15">
      <c r="A931" s="1">
        <v>927</v>
      </c>
      <c r="B931" s="1">
        <v>11082</v>
      </c>
      <c r="C931" s="1" t="s">
        <v>1056</v>
      </c>
      <c r="D931" s="1" t="s">
        <v>5</v>
      </c>
      <c r="E931" s="5" t="s">
        <v>1892</v>
      </c>
      <c r="F931" s="4" t="str">
        <f>"433.95"</f>
        <v>433.95</v>
      </c>
      <c r="G931" s="4"/>
    </row>
    <row r="932" spans="1:7" ht="15.75" customHeight="1" x14ac:dyDescent="0.15">
      <c r="A932" s="1">
        <v>928</v>
      </c>
      <c r="B932" s="1">
        <v>7852</v>
      </c>
      <c r="C932" s="1" t="s">
        <v>1096</v>
      </c>
      <c r="D932" s="1" t="s">
        <v>6</v>
      </c>
      <c r="E932" s="5" t="s">
        <v>1892</v>
      </c>
      <c r="F932" s="4" t="str">
        <f>"434.76"</f>
        <v>434.76</v>
      </c>
      <c r="G932" s="4" t="str">
        <f>"434.76"</f>
        <v>434.76</v>
      </c>
    </row>
    <row r="933" spans="1:7" ht="15.75" customHeight="1" x14ac:dyDescent="0.15">
      <c r="A933" s="1">
        <v>929</v>
      </c>
      <c r="B933" s="1">
        <v>3243</v>
      </c>
      <c r="C933" s="1" t="s">
        <v>1097</v>
      </c>
      <c r="D933" s="1" t="s">
        <v>85</v>
      </c>
      <c r="E933" s="5" t="s">
        <v>1892</v>
      </c>
      <c r="F933" s="4" t="str">
        <f>"436.36"</f>
        <v>436.36</v>
      </c>
      <c r="G933" s="4" t="str">
        <f>"436.36"</f>
        <v>436.36</v>
      </c>
    </row>
    <row r="934" spans="1:7" ht="15.75" customHeight="1" x14ac:dyDescent="0.15">
      <c r="A934" s="1">
        <v>930</v>
      </c>
      <c r="B934" s="1">
        <v>2269</v>
      </c>
      <c r="C934" s="1" t="s">
        <v>1058</v>
      </c>
      <c r="D934" s="1" t="s">
        <v>1059</v>
      </c>
      <c r="E934" s="5" t="s">
        <v>1892</v>
      </c>
      <c r="F934" s="4" t="str">
        <f>"437.23"</f>
        <v>437.23</v>
      </c>
      <c r="G934" s="4" t="str">
        <f>"507.03"</f>
        <v>507.03</v>
      </c>
    </row>
    <row r="935" spans="1:7" ht="15.75" customHeight="1" x14ac:dyDescent="0.15">
      <c r="A935" s="1">
        <v>931</v>
      </c>
      <c r="B935" s="1">
        <v>10122</v>
      </c>
      <c r="C935" s="1" t="s">
        <v>1122</v>
      </c>
      <c r="D935" s="1" t="s">
        <v>5</v>
      </c>
      <c r="E935" s="5" t="s">
        <v>1892</v>
      </c>
      <c r="F935" s="4" t="str">
        <f>"437.60"</f>
        <v>437.60</v>
      </c>
      <c r="G935" s="4" t="str">
        <f>"437.60"</f>
        <v>437.60</v>
      </c>
    </row>
    <row r="936" spans="1:7" ht="15.75" customHeight="1" x14ac:dyDescent="0.15">
      <c r="A936" s="1">
        <v>932</v>
      </c>
      <c r="B936" s="1">
        <v>10399</v>
      </c>
      <c r="C936" s="1" t="s">
        <v>1099</v>
      </c>
      <c r="D936" s="1" t="s">
        <v>79</v>
      </c>
      <c r="E936" s="5" t="s">
        <v>1892</v>
      </c>
      <c r="F936" s="4" t="str">
        <f>"438.20"</f>
        <v>438.20</v>
      </c>
      <c r="G936" s="4" t="str">
        <f>"438.20"</f>
        <v>438.20</v>
      </c>
    </row>
    <row r="937" spans="1:7" ht="15.75" customHeight="1" x14ac:dyDescent="0.15">
      <c r="A937" s="1">
        <v>933</v>
      </c>
      <c r="B937" s="1">
        <v>10201</v>
      </c>
      <c r="C937" s="1" t="s">
        <v>1075</v>
      </c>
      <c r="D937" s="1" t="s">
        <v>5</v>
      </c>
      <c r="E937" s="5" t="s">
        <v>1892</v>
      </c>
      <c r="F937" s="4" t="str">
        <f>"438.23"</f>
        <v>438.23</v>
      </c>
      <c r="G937" s="4" t="str">
        <f>"461.79"</f>
        <v>461.79</v>
      </c>
    </row>
    <row r="938" spans="1:7" ht="15.75" customHeight="1" x14ac:dyDescent="0.15">
      <c r="A938" s="1">
        <v>934</v>
      </c>
      <c r="B938" s="1">
        <v>10464</v>
      </c>
      <c r="C938" s="1" t="s">
        <v>1103</v>
      </c>
      <c r="D938" s="1" t="s">
        <v>19</v>
      </c>
      <c r="E938" s="5" t="s">
        <v>1892</v>
      </c>
      <c r="F938" s="4" t="str">
        <f>"441.68"</f>
        <v>441.68</v>
      </c>
      <c r="G938" s="4" t="str">
        <f>"441.68"</f>
        <v>441.68</v>
      </c>
    </row>
    <row r="939" spans="1:7" ht="15.75" customHeight="1" x14ac:dyDescent="0.15">
      <c r="A939" s="1">
        <v>935</v>
      </c>
      <c r="B939" s="1">
        <v>10809</v>
      </c>
      <c r="C939" s="1" t="s">
        <v>1104</v>
      </c>
      <c r="D939" s="1" t="s">
        <v>19</v>
      </c>
      <c r="E939" s="5" t="s">
        <v>1892</v>
      </c>
      <c r="F939" s="4" t="str">
        <f>"441.73"</f>
        <v>441.73</v>
      </c>
      <c r="G939" s="4" t="str">
        <f>"441.73"</f>
        <v>441.73</v>
      </c>
    </row>
    <row r="940" spans="1:7" ht="15.75" customHeight="1" x14ac:dyDescent="0.15">
      <c r="A940" s="1">
        <v>936</v>
      </c>
      <c r="B940" s="1">
        <v>11043</v>
      </c>
      <c r="C940" s="1" t="s">
        <v>1105</v>
      </c>
      <c r="D940" s="1" t="s">
        <v>6</v>
      </c>
      <c r="E940" s="5" t="s">
        <v>1892</v>
      </c>
      <c r="F940" s="4" t="str">
        <f>"441.77"</f>
        <v>441.77</v>
      </c>
      <c r="G940" s="4" t="str">
        <f>"441.77"</f>
        <v>441.77</v>
      </c>
    </row>
    <row r="941" spans="1:7" ht="15.75" customHeight="1" x14ac:dyDescent="0.15">
      <c r="A941" s="1">
        <v>937</v>
      </c>
      <c r="B941" s="1">
        <v>10905</v>
      </c>
      <c r="C941" s="1" t="s">
        <v>1063</v>
      </c>
      <c r="D941" s="1" t="s">
        <v>5</v>
      </c>
      <c r="E941" s="5" t="s">
        <v>1892</v>
      </c>
      <c r="F941" s="4" t="str">
        <f>"443.08"</f>
        <v>443.08</v>
      </c>
      <c r="G941" s="4"/>
    </row>
    <row r="942" spans="1:7" ht="15.75" customHeight="1" x14ac:dyDescent="0.15">
      <c r="A942" s="1">
        <v>938</v>
      </c>
      <c r="B942" s="1">
        <v>10771</v>
      </c>
      <c r="C942" s="1" t="s">
        <v>1108</v>
      </c>
      <c r="D942" s="1" t="s">
        <v>19</v>
      </c>
      <c r="E942" s="5" t="s">
        <v>1892</v>
      </c>
      <c r="F942" s="4" t="str">
        <f>"443.97"</f>
        <v>443.97</v>
      </c>
      <c r="G942" s="4" t="str">
        <f>"443.97"</f>
        <v>443.97</v>
      </c>
    </row>
    <row r="943" spans="1:7" ht="15.75" customHeight="1" x14ac:dyDescent="0.15">
      <c r="A943" s="1">
        <v>939</v>
      </c>
      <c r="B943" s="1">
        <v>10426</v>
      </c>
      <c r="C943" s="1" t="s">
        <v>1109</v>
      </c>
      <c r="D943" s="1" t="s">
        <v>19</v>
      </c>
      <c r="E943" s="5" t="s">
        <v>1892</v>
      </c>
      <c r="F943" s="4" t="str">
        <f>"444.91"</f>
        <v>444.91</v>
      </c>
      <c r="G943" s="4" t="str">
        <f>"444.91"</f>
        <v>444.91</v>
      </c>
    </row>
    <row r="944" spans="1:7" ht="15.75" customHeight="1" x14ac:dyDescent="0.15">
      <c r="A944" s="1">
        <v>940</v>
      </c>
      <c r="B944" s="1">
        <v>10440</v>
      </c>
      <c r="C944" s="1" t="s">
        <v>1110</v>
      </c>
      <c r="D944" s="1" t="s">
        <v>19</v>
      </c>
      <c r="E944" s="5" t="s">
        <v>1892</v>
      </c>
      <c r="F944" s="4" t="str">
        <f>"445.33"</f>
        <v>445.33</v>
      </c>
      <c r="G944" s="4" t="str">
        <f>"445.33"</f>
        <v>445.33</v>
      </c>
    </row>
    <row r="945" spans="1:7" ht="15.75" customHeight="1" x14ac:dyDescent="0.15">
      <c r="A945" s="1">
        <v>941</v>
      </c>
      <c r="B945" s="1">
        <v>10119</v>
      </c>
      <c r="C945" s="1" t="s">
        <v>1139</v>
      </c>
      <c r="D945" s="1" t="s">
        <v>5</v>
      </c>
      <c r="E945" s="5" t="s">
        <v>1892</v>
      </c>
      <c r="F945" s="4" t="str">
        <f>"446.64"</f>
        <v>446.64</v>
      </c>
      <c r="G945" s="4" t="str">
        <f>"446.64"</f>
        <v>446.64</v>
      </c>
    </row>
    <row r="946" spans="1:7" ht="15.75" customHeight="1" x14ac:dyDescent="0.15">
      <c r="A946" s="1">
        <v>942</v>
      </c>
      <c r="B946" s="1">
        <v>10853</v>
      </c>
      <c r="C946" s="1" t="s">
        <v>1067</v>
      </c>
      <c r="D946" s="1" t="s">
        <v>5</v>
      </c>
      <c r="E946" s="5" t="s">
        <v>1892</v>
      </c>
      <c r="F946" s="4" t="str">
        <f>"447.58"</f>
        <v>447.58</v>
      </c>
      <c r="G946" s="4"/>
    </row>
    <row r="947" spans="1:7" ht="15.75" customHeight="1" x14ac:dyDescent="0.15">
      <c r="A947" s="1">
        <v>943</v>
      </c>
      <c r="B947" s="1">
        <v>10193</v>
      </c>
      <c r="C947" s="1" t="s">
        <v>988</v>
      </c>
      <c r="D947" s="1" t="s">
        <v>5</v>
      </c>
      <c r="E947" s="5" t="s">
        <v>1892</v>
      </c>
      <c r="F947" s="4" t="str">
        <f>"448.58"</f>
        <v>448.58</v>
      </c>
      <c r="G947" s="4" t="str">
        <f>"540.84"</f>
        <v>540.84</v>
      </c>
    </row>
    <row r="948" spans="1:7" ht="15.75" customHeight="1" x14ac:dyDescent="0.15">
      <c r="A948" s="1">
        <v>944</v>
      </c>
      <c r="B948" s="1">
        <v>10414</v>
      </c>
      <c r="C948" s="1" t="s">
        <v>1114</v>
      </c>
      <c r="D948" s="1" t="s">
        <v>19</v>
      </c>
      <c r="E948" s="5" t="s">
        <v>1892</v>
      </c>
      <c r="F948" s="4" t="str">
        <f>"449.80"</f>
        <v>449.80</v>
      </c>
      <c r="G948" s="4" t="str">
        <f>"449.80"</f>
        <v>449.80</v>
      </c>
    </row>
    <row r="949" spans="1:7" ht="15.75" customHeight="1" x14ac:dyDescent="0.15">
      <c r="A949" s="1">
        <v>945</v>
      </c>
      <c r="B949" s="1">
        <v>10387</v>
      </c>
      <c r="C949" s="1" t="s">
        <v>1118</v>
      </c>
      <c r="D949" s="1" t="s">
        <v>19</v>
      </c>
      <c r="E949" s="5" t="s">
        <v>1892</v>
      </c>
      <c r="F949" s="4" t="str">
        <f>"453.94"</f>
        <v>453.94</v>
      </c>
      <c r="G949" s="4" t="str">
        <f>"453.94"</f>
        <v>453.94</v>
      </c>
    </row>
    <row r="950" spans="1:7" ht="15.75" customHeight="1" x14ac:dyDescent="0.15">
      <c r="A950" s="1">
        <v>946</v>
      </c>
      <c r="B950" s="1">
        <v>10230</v>
      </c>
      <c r="C950" s="1" t="s">
        <v>1120</v>
      </c>
      <c r="D950" s="1" t="s">
        <v>58</v>
      </c>
      <c r="E950" s="5" t="s">
        <v>1892</v>
      </c>
      <c r="F950" s="4" t="str">
        <f>"454.68"</f>
        <v>454.68</v>
      </c>
      <c r="G950" s="4" t="str">
        <f>"454.68"</f>
        <v>454.68</v>
      </c>
    </row>
    <row r="951" spans="1:7" ht="15.75" customHeight="1" x14ac:dyDescent="0.15">
      <c r="A951" s="1">
        <v>947</v>
      </c>
      <c r="B951" s="1">
        <v>9906</v>
      </c>
      <c r="C951" s="1" t="s">
        <v>1121</v>
      </c>
      <c r="D951" s="1" t="s">
        <v>342</v>
      </c>
      <c r="E951" s="5" t="s">
        <v>1892</v>
      </c>
      <c r="F951" s="4" t="str">
        <f>"455.03"</f>
        <v>455.03</v>
      </c>
      <c r="G951" s="4" t="str">
        <f>"455.03"</f>
        <v>455.03</v>
      </c>
    </row>
    <row r="952" spans="1:7" ht="15.75" customHeight="1" x14ac:dyDescent="0.15">
      <c r="A952" s="1">
        <v>948</v>
      </c>
      <c r="B952" s="1">
        <v>10481</v>
      </c>
      <c r="C952" s="1" t="s">
        <v>1124</v>
      </c>
      <c r="D952" s="1" t="s">
        <v>19</v>
      </c>
      <c r="E952" s="5" t="s">
        <v>1892</v>
      </c>
      <c r="F952" s="4" t="str">
        <f>"455.39"</f>
        <v>455.39</v>
      </c>
      <c r="G952" s="4" t="str">
        <f>"455.39"</f>
        <v>455.39</v>
      </c>
    </row>
    <row r="953" spans="1:7" ht="15.75" customHeight="1" x14ac:dyDescent="0.15">
      <c r="A953" s="1">
        <v>949</v>
      </c>
      <c r="B953" s="1">
        <v>10585</v>
      </c>
      <c r="C953" s="1" t="s">
        <v>1098</v>
      </c>
      <c r="D953" s="1" t="s">
        <v>5</v>
      </c>
      <c r="E953" s="5" t="s">
        <v>1892</v>
      </c>
      <c r="F953" s="4" t="str">
        <f>"456.45"</f>
        <v>456.45</v>
      </c>
      <c r="G953" s="4" t="str">
        <f>"475.45"</f>
        <v>475.45</v>
      </c>
    </row>
    <row r="954" spans="1:7" ht="15.75" customHeight="1" x14ac:dyDescent="0.15">
      <c r="A954" s="1">
        <v>950</v>
      </c>
      <c r="B954" s="1">
        <v>3249</v>
      </c>
      <c r="C954" s="1" t="s">
        <v>1119</v>
      </c>
      <c r="D954" s="1" t="s">
        <v>73</v>
      </c>
      <c r="E954" s="5" t="s">
        <v>1892</v>
      </c>
      <c r="F954" s="4" t="str">
        <f>"456.77"</f>
        <v>456.77</v>
      </c>
      <c r="G954" s="4" t="str">
        <f>"459.44"</f>
        <v>459.44</v>
      </c>
    </row>
    <row r="955" spans="1:7" ht="15.75" customHeight="1" x14ac:dyDescent="0.15">
      <c r="A955" s="1">
        <v>951</v>
      </c>
      <c r="B955" s="1">
        <v>10186</v>
      </c>
      <c r="C955" s="1" t="s">
        <v>1086</v>
      </c>
      <c r="D955" s="1" t="s">
        <v>5</v>
      </c>
      <c r="E955" s="5" t="s">
        <v>1892</v>
      </c>
      <c r="F955" s="4" t="str">
        <f>"461.17"</f>
        <v>461.17</v>
      </c>
      <c r="G955" s="4" t="str">
        <f>"496.07"</f>
        <v>496.07</v>
      </c>
    </row>
    <row r="956" spans="1:7" ht="15.75" customHeight="1" x14ac:dyDescent="0.15">
      <c r="A956" s="1">
        <v>952</v>
      </c>
      <c r="B956" s="1">
        <v>10684</v>
      </c>
      <c r="C956" s="1" t="s">
        <v>1126</v>
      </c>
      <c r="D956" s="1" t="s">
        <v>5</v>
      </c>
      <c r="E956" s="5" t="s">
        <v>1892</v>
      </c>
      <c r="F956" s="4" t="str">
        <f>"461.40"</f>
        <v>461.40</v>
      </c>
      <c r="G956" s="4" t="str">
        <f>"461.40"</f>
        <v>461.40</v>
      </c>
    </row>
    <row r="957" spans="1:7" ht="15.75" customHeight="1" x14ac:dyDescent="0.15">
      <c r="A957" s="1">
        <v>953</v>
      </c>
      <c r="B957" s="1">
        <v>2159</v>
      </c>
      <c r="C957" s="1" t="s">
        <v>1128</v>
      </c>
      <c r="D957" s="1" t="s">
        <v>5</v>
      </c>
      <c r="E957" s="5" t="s">
        <v>1892</v>
      </c>
      <c r="F957" s="4" t="str">
        <f>"462.18"</f>
        <v>462.18</v>
      </c>
      <c r="G957" s="4" t="str">
        <f>"462.18"</f>
        <v>462.18</v>
      </c>
    </row>
    <row r="958" spans="1:7" ht="15.75" customHeight="1" x14ac:dyDescent="0.15">
      <c r="A958" s="1">
        <v>954</v>
      </c>
      <c r="B958" s="1">
        <v>10747</v>
      </c>
      <c r="C958" s="1" t="s">
        <v>1129</v>
      </c>
      <c r="D958" s="1" t="s">
        <v>19</v>
      </c>
      <c r="E958" s="5" t="s">
        <v>1892</v>
      </c>
      <c r="F958" s="4" t="str">
        <f>"462.54"</f>
        <v>462.54</v>
      </c>
      <c r="G958" s="4" t="str">
        <f>"462.54"</f>
        <v>462.54</v>
      </c>
    </row>
    <row r="959" spans="1:7" ht="15.75" customHeight="1" x14ac:dyDescent="0.15">
      <c r="A959" s="1">
        <v>955</v>
      </c>
      <c r="B959" s="1">
        <v>8381</v>
      </c>
      <c r="C959" s="1" t="s">
        <v>1131</v>
      </c>
      <c r="D959" s="1" t="s">
        <v>94</v>
      </c>
      <c r="E959" s="5" t="s">
        <v>1892</v>
      </c>
      <c r="F959" s="4" t="str">
        <f>"462.96"</f>
        <v>462.96</v>
      </c>
      <c r="G959" s="4" t="str">
        <f>"462.96"</f>
        <v>462.96</v>
      </c>
    </row>
    <row r="960" spans="1:7" ht="15.75" customHeight="1" x14ac:dyDescent="0.15">
      <c r="A960" s="1">
        <v>956</v>
      </c>
      <c r="B960" s="1">
        <v>10885</v>
      </c>
      <c r="C960" s="1" t="s">
        <v>1132</v>
      </c>
      <c r="D960" s="1" t="s">
        <v>5</v>
      </c>
      <c r="E960" s="5" t="s">
        <v>1892</v>
      </c>
      <c r="F960" s="4" t="str">
        <f>"465.15"</f>
        <v>465.15</v>
      </c>
      <c r="G960" s="4" t="str">
        <f>"465.15"</f>
        <v>465.15</v>
      </c>
    </row>
    <row r="961" spans="1:7" ht="15.75" customHeight="1" x14ac:dyDescent="0.15">
      <c r="A961" s="1">
        <v>957</v>
      </c>
      <c r="B961" s="1">
        <v>10492</v>
      </c>
      <c r="C961" s="1" t="s">
        <v>1133</v>
      </c>
      <c r="D961" s="1" t="s">
        <v>19</v>
      </c>
      <c r="E961" s="5" t="s">
        <v>1892</v>
      </c>
      <c r="F961" s="4" t="str">
        <f>"465.91"</f>
        <v>465.91</v>
      </c>
      <c r="G961" s="4" t="str">
        <f>"465.91"</f>
        <v>465.91</v>
      </c>
    </row>
    <row r="962" spans="1:7" ht="15.75" customHeight="1" x14ac:dyDescent="0.15">
      <c r="A962" s="1">
        <v>958</v>
      </c>
      <c r="B962" s="1">
        <v>10681</v>
      </c>
      <c r="C962" s="1" t="s">
        <v>1134</v>
      </c>
      <c r="D962" s="1" t="s">
        <v>19</v>
      </c>
      <c r="E962" s="5" t="s">
        <v>1892</v>
      </c>
      <c r="F962" s="4" t="str">
        <f>"466.36"</f>
        <v>466.36</v>
      </c>
      <c r="G962" s="4" t="str">
        <f>"466.36"</f>
        <v>466.36</v>
      </c>
    </row>
    <row r="963" spans="1:7" ht="15.75" customHeight="1" x14ac:dyDescent="0.15">
      <c r="A963" s="1">
        <v>959</v>
      </c>
      <c r="B963" s="1">
        <v>7587</v>
      </c>
      <c r="C963" s="1" t="s">
        <v>1135</v>
      </c>
      <c r="D963" s="1" t="s">
        <v>285</v>
      </c>
      <c r="E963" s="5" t="s">
        <v>1892</v>
      </c>
      <c r="F963" s="4" t="str">
        <f>"466.71"</f>
        <v>466.71</v>
      </c>
      <c r="G963" s="4" t="str">
        <f>"466.71"</f>
        <v>466.71</v>
      </c>
    </row>
    <row r="964" spans="1:7" ht="15.75" customHeight="1" x14ac:dyDescent="0.15">
      <c r="A964" s="1">
        <v>960</v>
      </c>
      <c r="B964" s="1">
        <v>10773</v>
      </c>
      <c r="C964" s="1" t="s">
        <v>1136</v>
      </c>
      <c r="D964" s="1" t="s">
        <v>19</v>
      </c>
      <c r="E964" s="5" t="s">
        <v>1892</v>
      </c>
      <c r="F964" s="4" t="str">
        <f>"467.10"</f>
        <v>467.10</v>
      </c>
      <c r="G964" s="4" t="str">
        <f>"467.10"</f>
        <v>467.10</v>
      </c>
    </row>
    <row r="965" spans="1:7" ht="15.75" customHeight="1" x14ac:dyDescent="0.15">
      <c r="A965" s="1">
        <v>961</v>
      </c>
      <c r="B965" s="1">
        <v>9982</v>
      </c>
      <c r="C965" s="1" t="s">
        <v>1137</v>
      </c>
      <c r="D965" s="1" t="s">
        <v>6</v>
      </c>
      <c r="E965" s="5" t="s">
        <v>1892</v>
      </c>
      <c r="F965" s="4" t="str">
        <f>"468.28"</f>
        <v>468.28</v>
      </c>
      <c r="G965" s="4" t="str">
        <f>"468.28"</f>
        <v>468.28</v>
      </c>
    </row>
    <row r="966" spans="1:7" ht="15.75" customHeight="1" x14ac:dyDescent="0.15">
      <c r="A966" s="1">
        <v>962</v>
      </c>
      <c r="B966" s="1">
        <v>10511</v>
      </c>
      <c r="C966" s="1" t="s">
        <v>1138</v>
      </c>
      <c r="D966" s="1" t="s">
        <v>8</v>
      </c>
      <c r="E966" s="5" t="s">
        <v>1892</v>
      </c>
      <c r="F966" s="4" t="str">
        <f>"469.62"</f>
        <v>469.62</v>
      </c>
      <c r="G966" s="4" t="str">
        <f>"469.62"</f>
        <v>469.62</v>
      </c>
    </row>
    <row r="967" spans="1:7" ht="15.75" customHeight="1" x14ac:dyDescent="0.15">
      <c r="A967" s="1">
        <v>963</v>
      </c>
      <c r="B967" s="1">
        <v>7586</v>
      </c>
      <c r="C967" s="1" t="s">
        <v>1091</v>
      </c>
      <c r="D967" s="1" t="s">
        <v>312</v>
      </c>
      <c r="E967" s="5" t="s">
        <v>1892</v>
      </c>
      <c r="F967" s="4" t="str">
        <f>"470.58"</f>
        <v>470.58</v>
      </c>
      <c r="G967" s="4"/>
    </row>
    <row r="968" spans="1:7" ht="15.75" customHeight="1" x14ac:dyDescent="0.15">
      <c r="A968" s="1">
        <v>964</v>
      </c>
      <c r="B968" s="1">
        <v>10790</v>
      </c>
      <c r="C968" s="1" t="s">
        <v>1050</v>
      </c>
      <c r="D968" s="1" t="s">
        <v>5</v>
      </c>
      <c r="E968" s="5" t="s">
        <v>1892</v>
      </c>
      <c r="F968" s="4" t="str">
        <f>"472.24"</f>
        <v>472.24</v>
      </c>
      <c r="G968" s="4" t="str">
        <f>"553.67"</f>
        <v>553.67</v>
      </c>
    </row>
    <row r="969" spans="1:7" ht="15.75" customHeight="1" x14ac:dyDescent="0.15">
      <c r="A969" s="1">
        <v>965</v>
      </c>
      <c r="B969" s="1">
        <v>2334</v>
      </c>
      <c r="C969" s="1" t="s">
        <v>1147</v>
      </c>
      <c r="D969" s="1" t="s">
        <v>5</v>
      </c>
      <c r="E969" s="5" t="s">
        <v>1892</v>
      </c>
      <c r="F969" s="4" t="str">
        <f>"473.32"</f>
        <v>473.32</v>
      </c>
      <c r="G969" s="4" t="str">
        <f>"473.32"</f>
        <v>473.32</v>
      </c>
    </row>
    <row r="970" spans="1:7" ht="15.75" customHeight="1" x14ac:dyDescent="0.15">
      <c r="A970" s="1">
        <v>966</v>
      </c>
      <c r="B970" s="1">
        <v>10586</v>
      </c>
      <c r="C970" s="1" t="s">
        <v>1140</v>
      </c>
      <c r="D970" s="1" t="s">
        <v>5</v>
      </c>
      <c r="E970" s="5" t="s">
        <v>1892</v>
      </c>
      <c r="F970" s="4" t="str">
        <f>"473.42"</f>
        <v>473.42</v>
      </c>
      <c r="G970" s="4" t="str">
        <f>"473.42"</f>
        <v>473.42</v>
      </c>
    </row>
    <row r="971" spans="1:7" ht="15.75" customHeight="1" x14ac:dyDescent="0.15">
      <c r="A971" s="1">
        <v>967</v>
      </c>
      <c r="B971" s="1">
        <v>2266</v>
      </c>
      <c r="C971" s="1" t="s">
        <v>1142</v>
      </c>
      <c r="D971" s="1" t="s">
        <v>5</v>
      </c>
      <c r="E971" s="5" t="s">
        <v>1892</v>
      </c>
      <c r="F971" s="4" t="str">
        <f>"473.50"</f>
        <v>473.50</v>
      </c>
      <c r="G971" s="4" t="str">
        <f>"473.50"</f>
        <v>473.50</v>
      </c>
    </row>
    <row r="972" spans="1:7" ht="15.75" customHeight="1" x14ac:dyDescent="0.15">
      <c r="A972" s="1">
        <v>968</v>
      </c>
      <c r="B972" s="1">
        <v>10646</v>
      </c>
      <c r="C972" s="1" t="s">
        <v>1143</v>
      </c>
      <c r="D972" s="1" t="s">
        <v>5</v>
      </c>
      <c r="E972" s="5" t="s">
        <v>1892</v>
      </c>
      <c r="F972" s="4" t="str">
        <f>"473.79"</f>
        <v>473.79</v>
      </c>
      <c r="G972" s="4" t="str">
        <f>"473.79"</f>
        <v>473.79</v>
      </c>
    </row>
    <row r="973" spans="1:7" ht="15.75" customHeight="1" x14ac:dyDescent="0.15">
      <c r="A973" s="1">
        <v>969</v>
      </c>
      <c r="B973" s="1">
        <v>5773</v>
      </c>
      <c r="C973" s="1" t="s">
        <v>1095</v>
      </c>
      <c r="D973" s="1" t="s">
        <v>45</v>
      </c>
      <c r="E973" s="5" t="s">
        <v>1892</v>
      </c>
      <c r="F973" s="4" t="str">
        <f>"474.32"</f>
        <v>474.32</v>
      </c>
      <c r="G973" s="4" t="str">
        <f>"500.04"</f>
        <v>500.04</v>
      </c>
    </row>
    <row r="974" spans="1:7" ht="15.75" customHeight="1" x14ac:dyDescent="0.15">
      <c r="A974" s="1">
        <v>970</v>
      </c>
      <c r="B974" s="1">
        <v>11013</v>
      </c>
      <c r="C974" s="1" t="s">
        <v>1145</v>
      </c>
      <c r="D974" s="1" t="s">
        <v>8</v>
      </c>
      <c r="E974" s="5" t="s">
        <v>1892</v>
      </c>
      <c r="F974" s="4" t="str">
        <f>"475.79"</f>
        <v>475.79</v>
      </c>
      <c r="G974" s="4" t="str">
        <f>"475.79"</f>
        <v>475.79</v>
      </c>
    </row>
    <row r="975" spans="1:7" ht="15.75" customHeight="1" x14ac:dyDescent="0.15">
      <c r="A975" s="1">
        <v>971</v>
      </c>
      <c r="B975" s="1">
        <v>10153</v>
      </c>
      <c r="C975" s="1" t="s">
        <v>1123</v>
      </c>
      <c r="D975" s="1" t="s">
        <v>5</v>
      </c>
      <c r="E975" s="5" t="s">
        <v>1892</v>
      </c>
      <c r="F975" s="4" t="str">
        <f>"481.35"</f>
        <v>481.35</v>
      </c>
      <c r="G975" s="4" t="str">
        <f>"507.52"</f>
        <v>507.52</v>
      </c>
    </row>
    <row r="976" spans="1:7" ht="15.75" customHeight="1" x14ac:dyDescent="0.15">
      <c r="A976" s="1">
        <v>972</v>
      </c>
      <c r="B976" s="1">
        <v>10857</v>
      </c>
      <c r="C976" s="1" t="s">
        <v>1148</v>
      </c>
      <c r="D976" s="1" t="s">
        <v>5</v>
      </c>
      <c r="E976" s="5" t="s">
        <v>1892</v>
      </c>
      <c r="F976" s="4" t="str">
        <f>"481.36"</f>
        <v>481.36</v>
      </c>
      <c r="G976" s="4" t="str">
        <f>"481.36"</f>
        <v>481.36</v>
      </c>
    </row>
    <row r="977" spans="1:7" ht="15.75" customHeight="1" x14ac:dyDescent="0.15">
      <c r="A977" s="1">
        <v>973</v>
      </c>
      <c r="B977" s="1">
        <v>10467</v>
      </c>
      <c r="C977" s="1" t="s">
        <v>1149</v>
      </c>
      <c r="D977" s="1" t="s">
        <v>19</v>
      </c>
      <c r="E977" s="5" t="s">
        <v>1892</v>
      </c>
      <c r="F977" s="4" t="str">
        <f>"483.28"</f>
        <v>483.28</v>
      </c>
      <c r="G977" s="4" t="str">
        <f>"483.28"</f>
        <v>483.28</v>
      </c>
    </row>
    <row r="978" spans="1:7" ht="15.75" customHeight="1" x14ac:dyDescent="0.15">
      <c r="A978" s="1">
        <v>974</v>
      </c>
      <c r="B978" s="1">
        <v>10587</v>
      </c>
      <c r="C978" s="1" t="s">
        <v>1232</v>
      </c>
      <c r="D978" s="1" t="s">
        <v>5</v>
      </c>
      <c r="E978" s="5" t="s">
        <v>1892</v>
      </c>
      <c r="F978" s="4" t="str">
        <f>"484.01"</f>
        <v>484.01</v>
      </c>
      <c r="G978" s="4" t="str">
        <f>"484.01"</f>
        <v>484.01</v>
      </c>
    </row>
    <row r="979" spans="1:7" ht="15.75" customHeight="1" x14ac:dyDescent="0.15">
      <c r="A979" s="1">
        <v>975</v>
      </c>
      <c r="B979" s="1">
        <v>10582</v>
      </c>
      <c r="C979" s="1" t="s">
        <v>1146</v>
      </c>
      <c r="D979" s="1" t="s">
        <v>5</v>
      </c>
      <c r="E979" s="5" t="s">
        <v>1892</v>
      </c>
      <c r="F979" s="4" t="str">
        <f>"486.55"</f>
        <v>486.55</v>
      </c>
      <c r="G979" s="4" t="str">
        <f>"496.39"</f>
        <v>496.39</v>
      </c>
    </row>
    <row r="980" spans="1:7" ht="15.75" customHeight="1" x14ac:dyDescent="0.15">
      <c r="A980" s="1">
        <v>976</v>
      </c>
      <c r="B980" s="1">
        <v>10858</v>
      </c>
      <c r="C980" s="1" t="s">
        <v>1111</v>
      </c>
      <c r="D980" s="1" t="s">
        <v>5</v>
      </c>
      <c r="E980" s="5" t="s">
        <v>1892</v>
      </c>
      <c r="F980" s="4" t="str">
        <f>"486.99"</f>
        <v>486.99</v>
      </c>
      <c r="G980" s="4"/>
    </row>
    <row r="981" spans="1:7" ht="15.75" customHeight="1" x14ac:dyDescent="0.15">
      <c r="A981" s="1">
        <v>977</v>
      </c>
      <c r="B981" s="1">
        <v>10875</v>
      </c>
      <c r="C981" s="1" t="s">
        <v>1084</v>
      </c>
      <c r="D981" s="1" t="s">
        <v>5</v>
      </c>
      <c r="E981" s="5" t="s">
        <v>1892</v>
      </c>
      <c r="F981" s="4" t="str">
        <f>"488.07"</f>
        <v>488.07</v>
      </c>
      <c r="G981" s="4" t="str">
        <f>"551.11"</f>
        <v>551.11</v>
      </c>
    </row>
    <row r="982" spans="1:7" ht="15.75" customHeight="1" x14ac:dyDescent="0.15">
      <c r="A982" s="1">
        <v>978</v>
      </c>
      <c r="B982" s="1">
        <v>11253</v>
      </c>
      <c r="C982" s="1" t="s">
        <v>1113</v>
      </c>
      <c r="D982" s="1" t="s">
        <v>5</v>
      </c>
      <c r="E982" s="5" t="s">
        <v>1892</v>
      </c>
      <c r="F982" s="4" t="str">
        <f>"488.22"</f>
        <v>488.22</v>
      </c>
      <c r="G982" s="4"/>
    </row>
    <row r="983" spans="1:7" ht="15.75" customHeight="1" x14ac:dyDescent="0.15">
      <c r="A983" s="1">
        <v>979</v>
      </c>
      <c r="B983" s="1">
        <v>8354</v>
      </c>
      <c r="C983" s="1" t="s">
        <v>1150</v>
      </c>
      <c r="D983" s="1" t="s">
        <v>141</v>
      </c>
      <c r="E983" s="5" t="s">
        <v>1892</v>
      </c>
      <c r="F983" s="4" t="str">
        <f>"488.23"</f>
        <v>488.23</v>
      </c>
      <c r="G983" s="4" t="str">
        <f>"488.23"</f>
        <v>488.23</v>
      </c>
    </row>
    <row r="984" spans="1:7" ht="15.75" customHeight="1" x14ac:dyDescent="0.15">
      <c r="A984" s="1">
        <v>980</v>
      </c>
      <c r="B984" s="1">
        <v>10229</v>
      </c>
      <c r="C984" s="1" t="s">
        <v>1151</v>
      </c>
      <c r="D984" s="1" t="s">
        <v>58</v>
      </c>
      <c r="E984" s="5" t="s">
        <v>1892</v>
      </c>
      <c r="F984" s="4" t="str">
        <f>"488.74"</f>
        <v>488.74</v>
      </c>
      <c r="G984" s="4" t="str">
        <f>"488.74"</f>
        <v>488.74</v>
      </c>
    </row>
    <row r="985" spans="1:7" ht="15.75" customHeight="1" x14ac:dyDescent="0.15">
      <c r="A985" s="1">
        <v>981</v>
      </c>
      <c r="B985" s="1">
        <v>10174</v>
      </c>
      <c r="C985" s="1" t="s">
        <v>1073</v>
      </c>
      <c r="D985" s="1" t="s">
        <v>5</v>
      </c>
      <c r="E985" s="5" t="s">
        <v>1892</v>
      </c>
      <c r="F985" s="4" t="str">
        <f>"492.35"</f>
        <v>492.35</v>
      </c>
      <c r="G985" s="4" t="str">
        <f>"571.25"</f>
        <v>571.25</v>
      </c>
    </row>
    <row r="986" spans="1:7" ht="15.75" customHeight="1" x14ac:dyDescent="0.15">
      <c r="A986" s="1">
        <v>982</v>
      </c>
      <c r="B986" s="1">
        <v>10850</v>
      </c>
      <c r="C986" s="1" t="s">
        <v>1112</v>
      </c>
      <c r="D986" s="1" t="s">
        <v>5</v>
      </c>
      <c r="E986" s="5" t="s">
        <v>1892</v>
      </c>
      <c r="F986" s="4" t="str">
        <f>"492.64"</f>
        <v>492.64</v>
      </c>
      <c r="G986" s="4" t="str">
        <f>"537.33"</f>
        <v>537.33</v>
      </c>
    </row>
    <row r="987" spans="1:7" ht="15.75" customHeight="1" x14ac:dyDescent="0.15">
      <c r="A987" s="1">
        <v>983</v>
      </c>
      <c r="B987" s="1">
        <v>2185</v>
      </c>
      <c r="C987" s="1" t="s">
        <v>1153</v>
      </c>
      <c r="D987" s="1" t="s">
        <v>82</v>
      </c>
      <c r="E987" s="5" t="s">
        <v>1892</v>
      </c>
      <c r="F987" s="4" t="str">
        <f>"493.24"</f>
        <v>493.24</v>
      </c>
      <c r="G987" s="4" t="str">
        <f>"493.24"</f>
        <v>493.24</v>
      </c>
    </row>
    <row r="988" spans="1:7" ht="15.75" customHeight="1" x14ac:dyDescent="0.15">
      <c r="A988" s="1">
        <v>984</v>
      </c>
      <c r="B988" s="1">
        <v>10836</v>
      </c>
      <c r="C988" s="1" t="s">
        <v>1117</v>
      </c>
      <c r="D988" s="1" t="s">
        <v>5</v>
      </c>
      <c r="E988" s="5" t="s">
        <v>1892</v>
      </c>
      <c r="F988" s="4" t="str">
        <f>"493.53"</f>
        <v>493.53</v>
      </c>
      <c r="G988" s="4"/>
    </row>
    <row r="989" spans="1:7" ht="15.75" customHeight="1" x14ac:dyDescent="0.15">
      <c r="A989" s="1">
        <v>985</v>
      </c>
      <c r="B989" s="1">
        <v>11069</v>
      </c>
      <c r="C989" s="1" t="s">
        <v>1155</v>
      </c>
      <c r="D989" s="1" t="s">
        <v>43</v>
      </c>
      <c r="E989" s="5" t="s">
        <v>1892</v>
      </c>
      <c r="F989" s="4" t="str">
        <f>"493.77"</f>
        <v>493.77</v>
      </c>
      <c r="G989" s="4" t="str">
        <f>"493.77"</f>
        <v>493.77</v>
      </c>
    </row>
    <row r="990" spans="1:7" ht="15.75" customHeight="1" x14ac:dyDescent="0.15">
      <c r="A990" s="1">
        <v>986</v>
      </c>
      <c r="B990" s="1">
        <v>10438</v>
      </c>
      <c r="C990" s="1" t="s">
        <v>1156</v>
      </c>
      <c r="D990" s="1" t="s">
        <v>19</v>
      </c>
      <c r="E990" s="5" t="s">
        <v>1892</v>
      </c>
      <c r="F990" s="4" t="str">
        <f>"493.79"</f>
        <v>493.79</v>
      </c>
      <c r="G990" s="4" t="str">
        <f>"493.79"</f>
        <v>493.79</v>
      </c>
    </row>
    <row r="991" spans="1:7" ht="15.75" customHeight="1" x14ac:dyDescent="0.15">
      <c r="A991" s="1">
        <v>987</v>
      </c>
      <c r="B991" s="1">
        <v>10886</v>
      </c>
      <c r="C991" s="1" t="s">
        <v>1053</v>
      </c>
      <c r="D991" s="1" t="s">
        <v>5</v>
      </c>
      <c r="E991" s="5" t="s">
        <v>1892</v>
      </c>
      <c r="F991" s="4" t="str">
        <f>"495.85"</f>
        <v>495.85</v>
      </c>
      <c r="G991" s="4" t="str">
        <f>"600.06"</f>
        <v>600.06</v>
      </c>
    </row>
    <row r="992" spans="1:7" ht="15.75" customHeight="1" x14ac:dyDescent="0.15">
      <c r="A992" s="1">
        <v>988</v>
      </c>
      <c r="B992" s="1">
        <v>11091</v>
      </c>
      <c r="C992" s="1" t="s">
        <v>1157</v>
      </c>
      <c r="D992" s="1" t="s">
        <v>6</v>
      </c>
      <c r="E992" s="5" t="s">
        <v>1892</v>
      </c>
      <c r="F992" s="4" t="str">
        <f>"496.09"</f>
        <v>496.09</v>
      </c>
      <c r="G992" s="4" t="str">
        <f>"496.09"</f>
        <v>496.09</v>
      </c>
    </row>
    <row r="993" spans="1:7" ht="15.75" customHeight="1" x14ac:dyDescent="0.15">
      <c r="A993" s="1">
        <v>989</v>
      </c>
      <c r="B993" s="1">
        <v>10800</v>
      </c>
      <c r="C993" s="1" t="s">
        <v>1161</v>
      </c>
      <c r="D993" s="1" t="s">
        <v>19</v>
      </c>
      <c r="E993" s="5" t="s">
        <v>1892</v>
      </c>
      <c r="F993" s="4" t="str">
        <f>"501.10"</f>
        <v>501.10</v>
      </c>
      <c r="G993" s="4" t="str">
        <f>"501.10"</f>
        <v>501.10</v>
      </c>
    </row>
    <row r="994" spans="1:7" ht="15.75" customHeight="1" x14ac:dyDescent="0.15">
      <c r="A994" s="1">
        <v>990</v>
      </c>
      <c r="B994" s="1">
        <v>11252</v>
      </c>
      <c r="C994" s="1" t="s">
        <v>1130</v>
      </c>
      <c r="D994" s="1" t="s">
        <v>5</v>
      </c>
      <c r="E994" s="5" t="s">
        <v>1892</v>
      </c>
      <c r="F994" s="4" t="str">
        <f>"502.67"</f>
        <v>502.67</v>
      </c>
      <c r="G994" s="4"/>
    </row>
    <row r="995" spans="1:7" ht="15.75" customHeight="1" x14ac:dyDescent="0.15">
      <c r="A995" s="1">
        <v>991</v>
      </c>
      <c r="B995" s="1">
        <v>10626</v>
      </c>
      <c r="C995" s="1" t="s">
        <v>1068</v>
      </c>
      <c r="D995" s="1" t="s">
        <v>5</v>
      </c>
      <c r="E995" s="5" t="s">
        <v>1892</v>
      </c>
      <c r="F995" s="4" t="str">
        <f>"503.61"</f>
        <v>503.61</v>
      </c>
      <c r="G995" s="4" t="str">
        <f>"599.49"</f>
        <v>599.49</v>
      </c>
    </row>
    <row r="996" spans="1:7" ht="15.75" customHeight="1" x14ac:dyDescent="0.15">
      <c r="A996" s="1">
        <v>992</v>
      </c>
      <c r="B996" s="1">
        <v>10118</v>
      </c>
      <c r="C996" s="1" t="s">
        <v>1163</v>
      </c>
      <c r="D996" s="1" t="s">
        <v>5</v>
      </c>
      <c r="E996" s="5" t="s">
        <v>1892</v>
      </c>
      <c r="F996" s="4" t="str">
        <f>"503.96"</f>
        <v>503.96</v>
      </c>
      <c r="G996" s="4" t="str">
        <f>"503.96"</f>
        <v>503.96</v>
      </c>
    </row>
    <row r="997" spans="1:7" ht="15.75" customHeight="1" x14ac:dyDescent="0.15">
      <c r="A997" s="1">
        <v>993</v>
      </c>
      <c r="B997" s="1">
        <v>10941</v>
      </c>
      <c r="C997" s="1" t="s">
        <v>1107</v>
      </c>
      <c r="D997" s="1" t="s">
        <v>5</v>
      </c>
      <c r="E997" s="5" t="s">
        <v>1892</v>
      </c>
      <c r="F997" s="4" t="str">
        <f>"505.59"</f>
        <v>505.59</v>
      </c>
      <c r="G997" s="4" t="str">
        <f>"568.41"</f>
        <v>568.41</v>
      </c>
    </row>
    <row r="998" spans="1:7" ht="15.75" customHeight="1" x14ac:dyDescent="0.15">
      <c r="A998" s="1">
        <v>994</v>
      </c>
      <c r="B998" s="1">
        <v>10831</v>
      </c>
      <c r="C998" s="1" t="s">
        <v>1164</v>
      </c>
      <c r="D998" s="1" t="s">
        <v>19</v>
      </c>
      <c r="E998" s="5" t="s">
        <v>1892</v>
      </c>
      <c r="F998" s="4" t="str">
        <f>"507.50"</f>
        <v>507.50</v>
      </c>
      <c r="G998" s="4" t="str">
        <f>"507.50"</f>
        <v>507.50</v>
      </c>
    </row>
    <row r="999" spans="1:7" ht="15.75" customHeight="1" x14ac:dyDescent="0.15">
      <c r="A999" s="1">
        <v>995</v>
      </c>
      <c r="B999" s="1">
        <v>10437</v>
      </c>
      <c r="C999" s="1" t="s">
        <v>1165</v>
      </c>
      <c r="D999" s="1" t="s">
        <v>19</v>
      </c>
      <c r="E999" s="5" t="s">
        <v>1892</v>
      </c>
      <c r="F999" s="4" t="str">
        <f>"508.87"</f>
        <v>508.87</v>
      </c>
      <c r="G999" s="4" t="str">
        <f>"508.87"</f>
        <v>508.87</v>
      </c>
    </row>
    <row r="1000" spans="1:7" ht="15.75" customHeight="1" x14ac:dyDescent="0.15">
      <c r="A1000" s="1">
        <v>996</v>
      </c>
      <c r="B1000" s="1">
        <v>10120</v>
      </c>
      <c r="C1000" s="1" t="s">
        <v>1236</v>
      </c>
      <c r="D1000" s="1" t="s">
        <v>5</v>
      </c>
      <c r="E1000" s="5" t="s">
        <v>1892</v>
      </c>
      <c r="F1000" s="4" t="str">
        <f>"512.35"</f>
        <v>512.35</v>
      </c>
      <c r="G1000" s="4" t="str">
        <f>"512.35"</f>
        <v>512.35</v>
      </c>
    </row>
    <row r="1001" spans="1:7" ht="15.75" customHeight="1" x14ac:dyDescent="0.15">
      <c r="A1001" s="1">
        <v>997</v>
      </c>
      <c r="B1001" s="1">
        <v>7620</v>
      </c>
      <c r="C1001" s="1" t="s">
        <v>1166</v>
      </c>
      <c r="D1001" s="1" t="s">
        <v>36</v>
      </c>
      <c r="E1001" s="5" t="s">
        <v>1892</v>
      </c>
      <c r="F1001" s="4" t="str">
        <f>"513.19"</f>
        <v>513.19</v>
      </c>
      <c r="G1001" s="4" t="str">
        <f>"513.19"</f>
        <v>513.19</v>
      </c>
    </row>
    <row r="1002" spans="1:7" ht="15.75" customHeight="1" x14ac:dyDescent="0.15">
      <c r="A1002" s="1">
        <v>998</v>
      </c>
      <c r="B1002" s="1">
        <v>10635</v>
      </c>
      <c r="C1002" s="1" t="s">
        <v>1169</v>
      </c>
      <c r="D1002" s="1" t="s">
        <v>5</v>
      </c>
      <c r="E1002" s="5" t="s">
        <v>1892</v>
      </c>
      <c r="F1002" s="4" t="str">
        <f>"517.35"</f>
        <v>517.35</v>
      </c>
      <c r="G1002" s="4" t="str">
        <f>"517.35"</f>
        <v>517.35</v>
      </c>
    </row>
    <row r="1003" spans="1:7" ht="15.75" customHeight="1" x14ac:dyDescent="0.15">
      <c r="A1003" s="1">
        <v>999</v>
      </c>
      <c r="B1003" s="1">
        <v>10892</v>
      </c>
      <c r="C1003" s="1" t="s">
        <v>1172</v>
      </c>
      <c r="D1003" s="1" t="s">
        <v>5</v>
      </c>
      <c r="E1003" s="5" t="s">
        <v>1892</v>
      </c>
      <c r="F1003" s="4" t="str">
        <f>"519.19"</f>
        <v>519.19</v>
      </c>
      <c r="G1003" s="4" t="str">
        <f>"519.19"</f>
        <v>519.19</v>
      </c>
    </row>
    <row r="1004" spans="1:7" ht="15.75" customHeight="1" x14ac:dyDescent="0.15">
      <c r="A1004" s="1">
        <v>1000</v>
      </c>
      <c r="B1004" s="1">
        <v>10949</v>
      </c>
      <c r="C1004" s="1" t="s">
        <v>1173</v>
      </c>
      <c r="D1004" s="1" t="s">
        <v>19</v>
      </c>
      <c r="E1004" s="5" t="s">
        <v>1892</v>
      </c>
      <c r="F1004" s="4" t="str">
        <f>"519.66"</f>
        <v>519.66</v>
      </c>
      <c r="G1004" s="4" t="str">
        <f>"519.66"</f>
        <v>519.66</v>
      </c>
    </row>
    <row r="1005" spans="1:7" ht="15.75" customHeight="1" x14ac:dyDescent="0.15">
      <c r="A1005" s="1">
        <v>1001</v>
      </c>
      <c r="B1005" s="1">
        <v>10845</v>
      </c>
      <c r="C1005" s="1" t="s">
        <v>1176</v>
      </c>
      <c r="D1005" s="1" t="s">
        <v>5</v>
      </c>
      <c r="E1005" s="5" t="s">
        <v>1892</v>
      </c>
      <c r="F1005" s="4" t="str">
        <f>"522.33"</f>
        <v>522.33</v>
      </c>
      <c r="G1005" s="4" t="str">
        <f>"522.33"</f>
        <v>522.33</v>
      </c>
    </row>
    <row r="1006" spans="1:7" ht="15.75" customHeight="1" x14ac:dyDescent="0.15">
      <c r="A1006" s="1">
        <v>1002</v>
      </c>
      <c r="B1006" s="1">
        <v>10391</v>
      </c>
      <c r="C1006" s="1" t="s">
        <v>1178</v>
      </c>
      <c r="D1006" s="1" t="s">
        <v>19</v>
      </c>
      <c r="E1006" s="5" t="s">
        <v>1892</v>
      </c>
      <c r="F1006" s="4" t="str">
        <f>"527.88"</f>
        <v>527.88</v>
      </c>
      <c r="G1006" s="4" t="str">
        <f>"527.88"</f>
        <v>527.88</v>
      </c>
    </row>
    <row r="1007" spans="1:7" ht="15.75" customHeight="1" x14ac:dyDescent="0.15">
      <c r="A1007" s="1">
        <v>1003</v>
      </c>
      <c r="B1007" s="1">
        <v>2289</v>
      </c>
      <c r="C1007" s="1" t="s">
        <v>1179</v>
      </c>
      <c r="D1007" s="1" t="s">
        <v>5</v>
      </c>
      <c r="E1007" s="5" t="s">
        <v>1892</v>
      </c>
      <c r="F1007" s="4" t="str">
        <f>"528.99"</f>
        <v>528.99</v>
      </c>
      <c r="G1007" s="4" t="str">
        <f>"528.99"</f>
        <v>528.99</v>
      </c>
    </row>
    <row r="1008" spans="1:7" ht="15.75" customHeight="1" x14ac:dyDescent="0.15">
      <c r="A1008" s="1">
        <v>1004</v>
      </c>
      <c r="B1008" s="1">
        <v>10490</v>
      </c>
      <c r="C1008" s="1" t="s">
        <v>1180</v>
      </c>
      <c r="D1008" s="1" t="s">
        <v>19</v>
      </c>
      <c r="E1008" s="5" t="s">
        <v>1892</v>
      </c>
      <c r="F1008" s="4" t="str">
        <f>"530.36"</f>
        <v>530.36</v>
      </c>
      <c r="G1008" s="4" t="str">
        <f>"530.36"</f>
        <v>530.36</v>
      </c>
    </row>
    <row r="1009" spans="1:7" ht="15.75" customHeight="1" x14ac:dyDescent="0.15">
      <c r="A1009" s="1">
        <v>1005</v>
      </c>
      <c r="B1009" s="1">
        <v>10971</v>
      </c>
      <c r="C1009" s="1" t="s">
        <v>1181</v>
      </c>
      <c r="D1009" s="1" t="s">
        <v>8</v>
      </c>
      <c r="E1009" s="5" t="s">
        <v>1892</v>
      </c>
      <c r="F1009" s="4" t="str">
        <f>"530.63"</f>
        <v>530.63</v>
      </c>
      <c r="G1009" s="4" t="str">
        <f>"530.63"</f>
        <v>530.63</v>
      </c>
    </row>
    <row r="1010" spans="1:7" ht="15.75" customHeight="1" x14ac:dyDescent="0.15">
      <c r="A1010" s="1">
        <v>1006</v>
      </c>
      <c r="B1010" s="1">
        <v>10884</v>
      </c>
      <c r="C1010" s="1" t="s">
        <v>1116</v>
      </c>
      <c r="D1010" s="1" t="s">
        <v>5</v>
      </c>
      <c r="E1010" s="5" t="s">
        <v>1892</v>
      </c>
      <c r="F1010" s="4" t="str">
        <f>"531.82"</f>
        <v>531.82</v>
      </c>
      <c r="G1010" s="4" t="str">
        <f>"611.61"</f>
        <v>611.61</v>
      </c>
    </row>
    <row r="1011" spans="1:7" ht="15.75" customHeight="1" x14ac:dyDescent="0.15">
      <c r="A1011" s="1">
        <v>1007</v>
      </c>
      <c r="B1011" s="1">
        <v>10235</v>
      </c>
      <c r="C1011" s="1" t="s">
        <v>1127</v>
      </c>
      <c r="D1011" s="1" t="s">
        <v>5</v>
      </c>
      <c r="E1011" s="5" t="s">
        <v>1892</v>
      </c>
      <c r="F1011" s="4" t="str">
        <f>"532.51"</f>
        <v>532.51</v>
      </c>
      <c r="G1011" s="4" t="str">
        <f>"603.03"</f>
        <v>603.03</v>
      </c>
    </row>
    <row r="1012" spans="1:7" ht="15.75" customHeight="1" x14ac:dyDescent="0.15">
      <c r="A1012" s="1">
        <v>1008</v>
      </c>
      <c r="B1012" s="1">
        <v>10967</v>
      </c>
      <c r="C1012" s="1" t="s">
        <v>1182</v>
      </c>
      <c r="D1012" s="1" t="s">
        <v>8</v>
      </c>
      <c r="E1012" s="5" t="s">
        <v>1892</v>
      </c>
      <c r="F1012" s="4" t="str">
        <f>"533.29"</f>
        <v>533.29</v>
      </c>
      <c r="G1012" s="4" t="str">
        <f>"533.29"</f>
        <v>533.29</v>
      </c>
    </row>
    <row r="1013" spans="1:7" ht="15.75" customHeight="1" x14ac:dyDescent="0.15">
      <c r="A1013" s="1">
        <v>1009</v>
      </c>
      <c r="B1013" s="1">
        <v>10882</v>
      </c>
      <c r="C1013" s="1" t="s">
        <v>1154</v>
      </c>
      <c r="D1013" s="1" t="s">
        <v>5</v>
      </c>
      <c r="E1013" s="5" t="s">
        <v>1892</v>
      </c>
      <c r="F1013" s="4" t="str">
        <f>"533.35"</f>
        <v>533.35</v>
      </c>
      <c r="G1013" s="4"/>
    </row>
    <row r="1014" spans="1:7" ht="15.75" customHeight="1" x14ac:dyDescent="0.15">
      <c r="A1014" s="1">
        <v>1010</v>
      </c>
      <c r="B1014" s="1">
        <v>10535</v>
      </c>
      <c r="C1014" s="1" t="s">
        <v>1184</v>
      </c>
      <c r="D1014" s="1" t="s">
        <v>5</v>
      </c>
      <c r="E1014" s="5" t="s">
        <v>1892</v>
      </c>
      <c r="F1014" s="4" t="str">
        <f>"534.23"</f>
        <v>534.23</v>
      </c>
      <c r="G1014" s="4" t="str">
        <f>"534.23"</f>
        <v>534.23</v>
      </c>
    </row>
    <row r="1015" spans="1:7" ht="15.75" customHeight="1" x14ac:dyDescent="0.15">
      <c r="A1015" s="1">
        <v>1011</v>
      </c>
      <c r="B1015" s="1">
        <v>10765</v>
      </c>
      <c r="C1015" s="1" t="s">
        <v>1185</v>
      </c>
      <c r="D1015" s="1" t="s">
        <v>19</v>
      </c>
      <c r="E1015" s="5" t="s">
        <v>1892</v>
      </c>
      <c r="F1015" s="4" t="str">
        <f>"534.52"</f>
        <v>534.52</v>
      </c>
      <c r="G1015" s="4" t="str">
        <f>"534.52"</f>
        <v>534.52</v>
      </c>
    </row>
    <row r="1016" spans="1:7" ht="15.75" customHeight="1" x14ac:dyDescent="0.15">
      <c r="A1016" s="1">
        <v>1012</v>
      </c>
      <c r="B1016" s="1">
        <v>10717</v>
      </c>
      <c r="C1016" s="1" t="s">
        <v>1186</v>
      </c>
      <c r="D1016" s="1" t="s">
        <v>19</v>
      </c>
      <c r="E1016" s="5" t="s">
        <v>1892</v>
      </c>
      <c r="F1016" s="4" t="str">
        <f>"534.93"</f>
        <v>534.93</v>
      </c>
      <c r="G1016" s="4" t="str">
        <f>"534.93"</f>
        <v>534.93</v>
      </c>
    </row>
    <row r="1017" spans="1:7" ht="15.75" customHeight="1" x14ac:dyDescent="0.15">
      <c r="A1017" s="1">
        <v>1013</v>
      </c>
      <c r="B1017" s="1">
        <v>10770</v>
      </c>
      <c r="C1017" s="1" t="s">
        <v>1187</v>
      </c>
      <c r="D1017" s="1" t="s">
        <v>19</v>
      </c>
      <c r="E1017" s="5" t="s">
        <v>1892</v>
      </c>
      <c r="F1017" s="4" t="str">
        <f>"535.00"</f>
        <v>535.00</v>
      </c>
      <c r="G1017" s="4" t="str">
        <f>"535.00"</f>
        <v>535.00</v>
      </c>
    </row>
    <row r="1018" spans="1:7" ht="15.75" customHeight="1" x14ac:dyDescent="0.15">
      <c r="A1018" s="1">
        <v>1014</v>
      </c>
      <c r="B1018" s="1">
        <v>10392</v>
      </c>
      <c r="C1018" s="1" t="s">
        <v>1188</v>
      </c>
      <c r="D1018" s="1" t="s">
        <v>19</v>
      </c>
      <c r="E1018" s="5" t="s">
        <v>1892</v>
      </c>
      <c r="F1018" s="4" t="str">
        <f>"535.84"</f>
        <v>535.84</v>
      </c>
      <c r="G1018" s="4" t="str">
        <f>"535.84"</f>
        <v>535.84</v>
      </c>
    </row>
    <row r="1019" spans="1:7" ht="15.75" customHeight="1" x14ac:dyDescent="0.15">
      <c r="A1019" s="1">
        <v>1015</v>
      </c>
      <c r="B1019" s="1">
        <v>10778</v>
      </c>
      <c r="C1019" s="1" t="s">
        <v>1190</v>
      </c>
      <c r="D1019" s="1" t="s">
        <v>19</v>
      </c>
      <c r="E1019" s="5" t="s">
        <v>1892</v>
      </c>
      <c r="F1019" s="4" t="str">
        <f>"536.58"</f>
        <v>536.58</v>
      </c>
      <c r="G1019" s="4" t="str">
        <f>"536.58"</f>
        <v>536.58</v>
      </c>
    </row>
    <row r="1020" spans="1:7" ht="15.75" customHeight="1" x14ac:dyDescent="0.15">
      <c r="A1020" s="1">
        <v>1016</v>
      </c>
      <c r="B1020" s="1">
        <v>10381</v>
      </c>
      <c r="C1020" s="1" t="s">
        <v>1191</v>
      </c>
      <c r="D1020" s="1" t="s">
        <v>5</v>
      </c>
      <c r="E1020" s="5" t="s">
        <v>1892</v>
      </c>
      <c r="F1020" s="4" t="str">
        <f>"537.03"</f>
        <v>537.03</v>
      </c>
      <c r="G1020" s="4" t="str">
        <f>"537.03"</f>
        <v>537.03</v>
      </c>
    </row>
    <row r="1021" spans="1:7" ht="15.75" customHeight="1" x14ac:dyDescent="0.15">
      <c r="A1021" s="1">
        <v>1017</v>
      </c>
      <c r="B1021" s="1">
        <v>8307</v>
      </c>
      <c r="C1021" s="1" t="s">
        <v>1193</v>
      </c>
      <c r="D1021" s="1" t="s">
        <v>81</v>
      </c>
      <c r="E1021" s="5" t="s">
        <v>1892</v>
      </c>
      <c r="F1021" s="4" t="str">
        <f>"538.68"</f>
        <v>538.68</v>
      </c>
      <c r="G1021" s="4" t="str">
        <f>"538.68"</f>
        <v>538.68</v>
      </c>
    </row>
    <row r="1022" spans="1:7" ht="15.75" customHeight="1" x14ac:dyDescent="0.15">
      <c r="A1022" s="1">
        <v>1018</v>
      </c>
      <c r="B1022" s="1">
        <v>10891</v>
      </c>
      <c r="C1022" s="1" t="s">
        <v>1106</v>
      </c>
      <c r="D1022" s="1" t="s">
        <v>5</v>
      </c>
      <c r="E1022" s="5" t="s">
        <v>1892</v>
      </c>
      <c r="F1022" s="4" t="str">
        <f>"541.22"</f>
        <v>541.22</v>
      </c>
      <c r="G1022" s="4" t="str">
        <f>"640.08"</f>
        <v>640.08</v>
      </c>
    </row>
    <row r="1023" spans="1:7" ht="15.75" customHeight="1" x14ac:dyDescent="0.15">
      <c r="A1023" s="1">
        <v>1019</v>
      </c>
      <c r="B1023" s="1">
        <v>11260</v>
      </c>
      <c r="C1023" s="1" t="s">
        <v>1162</v>
      </c>
      <c r="D1023" s="1" t="s">
        <v>5</v>
      </c>
      <c r="E1023" s="5" t="s">
        <v>1892</v>
      </c>
      <c r="F1023" s="4" t="str">
        <f>"541.39"</f>
        <v>541.39</v>
      </c>
      <c r="G1023" s="4"/>
    </row>
    <row r="1024" spans="1:7" ht="15.75" customHeight="1" x14ac:dyDescent="0.15">
      <c r="A1024" s="1">
        <v>1020</v>
      </c>
      <c r="B1024" s="1">
        <v>10183</v>
      </c>
      <c r="C1024" s="1" t="s">
        <v>1144</v>
      </c>
      <c r="D1024" s="1" t="s">
        <v>5</v>
      </c>
      <c r="E1024" s="5" t="s">
        <v>1892</v>
      </c>
      <c r="F1024" s="4" t="str">
        <f>"541.41"</f>
        <v>541.41</v>
      </c>
      <c r="G1024" s="4" t="str">
        <f>"608.97"</f>
        <v>608.97</v>
      </c>
    </row>
    <row r="1025" spans="1:7" ht="15.75" customHeight="1" x14ac:dyDescent="0.15">
      <c r="A1025" s="1">
        <v>1021</v>
      </c>
      <c r="B1025" s="1">
        <v>3922</v>
      </c>
      <c r="C1025" s="1" t="s">
        <v>1167</v>
      </c>
      <c r="D1025" s="1" t="s">
        <v>144</v>
      </c>
      <c r="E1025" s="5" t="s">
        <v>1892</v>
      </c>
      <c r="F1025" s="4" t="str">
        <f>"543.35"</f>
        <v>543.35</v>
      </c>
      <c r="G1025" s="4" t="str">
        <f>"572.24"</f>
        <v>572.24</v>
      </c>
    </row>
    <row r="1026" spans="1:7" ht="15.75" customHeight="1" x14ac:dyDescent="0.15">
      <c r="A1026" s="1">
        <v>1022</v>
      </c>
      <c r="B1026" s="1">
        <v>11055</v>
      </c>
      <c r="C1026" s="1" t="s">
        <v>1195</v>
      </c>
      <c r="D1026" s="1" t="s">
        <v>58</v>
      </c>
      <c r="E1026" s="5" t="s">
        <v>1892</v>
      </c>
      <c r="F1026" s="4" t="str">
        <f>"548.45"</f>
        <v>548.45</v>
      </c>
      <c r="G1026" s="4" t="str">
        <f>"548.45"</f>
        <v>548.45</v>
      </c>
    </row>
    <row r="1027" spans="1:7" ht="15.75" customHeight="1" x14ac:dyDescent="0.15">
      <c r="A1027" s="1">
        <v>1023</v>
      </c>
      <c r="B1027" s="1">
        <v>10865</v>
      </c>
      <c r="C1027" s="1" t="s">
        <v>1183</v>
      </c>
      <c r="D1027" s="1" t="s">
        <v>5</v>
      </c>
      <c r="E1027" s="5" t="s">
        <v>1892</v>
      </c>
      <c r="F1027" s="4" t="str">
        <f>"548.76"</f>
        <v>548.76</v>
      </c>
      <c r="G1027" s="4" t="str">
        <f>"563.81"</f>
        <v>563.81</v>
      </c>
    </row>
    <row r="1028" spans="1:7" ht="15.75" customHeight="1" x14ac:dyDescent="0.15">
      <c r="A1028" s="1">
        <v>1024</v>
      </c>
      <c r="B1028" s="1">
        <v>10805</v>
      </c>
      <c r="C1028" s="1" t="s">
        <v>1198</v>
      </c>
      <c r="D1028" s="1" t="s">
        <v>19</v>
      </c>
      <c r="E1028" s="5" t="s">
        <v>1892</v>
      </c>
      <c r="F1028" s="4" t="str">
        <f>"550.47"</f>
        <v>550.47</v>
      </c>
      <c r="G1028" s="4" t="str">
        <f>"550.47"</f>
        <v>550.47</v>
      </c>
    </row>
    <row r="1029" spans="1:7" ht="15.75" customHeight="1" x14ac:dyDescent="0.15">
      <c r="A1029" s="1">
        <v>1025</v>
      </c>
      <c r="B1029" s="1">
        <v>10522</v>
      </c>
      <c r="C1029" s="1" t="s">
        <v>1199</v>
      </c>
      <c r="D1029" s="1" t="s">
        <v>58</v>
      </c>
      <c r="E1029" s="5" t="s">
        <v>1892</v>
      </c>
      <c r="F1029" s="4" t="str">
        <f>"550.61"</f>
        <v>550.61</v>
      </c>
      <c r="G1029" s="4" t="str">
        <f>"550.61"</f>
        <v>550.61</v>
      </c>
    </row>
    <row r="1030" spans="1:7" ht="15.75" customHeight="1" x14ac:dyDescent="0.15">
      <c r="A1030" s="1">
        <v>1026</v>
      </c>
      <c r="B1030" s="1">
        <v>10289</v>
      </c>
      <c r="C1030" s="1" t="s">
        <v>1201</v>
      </c>
      <c r="D1030" s="1" t="s">
        <v>8</v>
      </c>
      <c r="E1030" s="5" t="s">
        <v>1892</v>
      </c>
      <c r="F1030" s="4" t="str">
        <f>"551.94"</f>
        <v>551.94</v>
      </c>
      <c r="G1030" s="4" t="str">
        <f>"551.94"</f>
        <v>551.94</v>
      </c>
    </row>
    <row r="1031" spans="1:7" ht="15.75" customHeight="1" x14ac:dyDescent="0.15">
      <c r="A1031" s="1">
        <v>1027</v>
      </c>
      <c r="B1031" s="1">
        <v>10723</v>
      </c>
      <c r="C1031" s="1" t="s">
        <v>1202</v>
      </c>
      <c r="D1031" s="1" t="s">
        <v>19</v>
      </c>
      <c r="E1031" s="5" t="s">
        <v>1892</v>
      </c>
      <c r="F1031" s="4" t="str">
        <f>"552.06"</f>
        <v>552.06</v>
      </c>
      <c r="G1031" s="4" t="str">
        <f>"552.06"</f>
        <v>552.06</v>
      </c>
    </row>
    <row r="1032" spans="1:7" ht="15.75" customHeight="1" x14ac:dyDescent="0.15">
      <c r="A1032" s="1">
        <v>1028</v>
      </c>
      <c r="B1032" s="1">
        <v>10718</v>
      </c>
      <c r="C1032" s="1" t="s">
        <v>1204</v>
      </c>
      <c r="D1032" s="1" t="s">
        <v>19</v>
      </c>
      <c r="E1032" s="5" t="s">
        <v>1892</v>
      </c>
      <c r="F1032" s="4" t="str">
        <f>"553.67"</f>
        <v>553.67</v>
      </c>
      <c r="G1032" s="4" t="str">
        <f>"553.67"</f>
        <v>553.67</v>
      </c>
    </row>
    <row r="1033" spans="1:7" ht="15.75" customHeight="1" x14ac:dyDescent="0.15">
      <c r="A1033" s="1">
        <v>1029</v>
      </c>
      <c r="B1033" s="1">
        <v>1393</v>
      </c>
      <c r="C1033" s="1" t="s">
        <v>1205</v>
      </c>
      <c r="D1033" s="1" t="s">
        <v>1206</v>
      </c>
      <c r="E1033" s="5" t="s">
        <v>1892</v>
      </c>
      <c r="F1033" s="4" t="str">
        <f>"556.67"</f>
        <v>556.67</v>
      </c>
      <c r="G1033" s="4" t="str">
        <f>"556.67"</f>
        <v>556.67</v>
      </c>
    </row>
    <row r="1034" spans="1:7" ht="15.75" customHeight="1" x14ac:dyDescent="0.15">
      <c r="A1034" s="1">
        <v>1030</v>
      </c>
      <c r="B1034" s="1">
        <v>11239</v>
      </c>
      <c r="C1034" s="1" t="s">
        <v>1170</v>
      </c>
      <c r="D1034" s="1" t="s">
        <v>5</v>
      </c>
      <c r="E1034" s="5" t="s">
        <v>1892</v>
      </c>
      <c r="F1034" s="4" t="str">
        <f>"557.62"</f>
        <v>557.62</v>
      </c>
      <c r="G1034" s="4"/>
    </row>
    <row r="1035" spans="1:7" ht="15.75" customHeight="1" x14ac:dyDescent="0.15">
      <c r="A1035" s="1">
        <v>1031</v>
      </c>
      <c r="B1035" s="1">
        <v>11264</v>
      </c>
      <c r="C1035" s="1" t="s">
        <v>1171</v>
      </c>
      <c r="D1035" s="1" t="s">
        <v>5</v>
      </c>
      <c r="E1035" s="5" t="s">
        <v>1892</v>
      </c>
      <c r="F1035" s="4" t="str">
        <f>"558.71"</f>
        <v>558.71</v>
      </c>
      <c r="G1035" s="4"/>
    </row>
    <row r="1036" spans="1:7" ht="15.75" customHeight="1" x14ac:dyDescent="0.15">
      <c r="A1036" s="1">
        <v>1032</v>
      </c>
      <c r="B1036" s="1">
        <v>10394</v>
      </c>
      <c r="C1036" s="1" t="s">
        <v>1207</v>
      </c>
      <c r="D1036" s="1" t="s">
        <v>19</v>
      </c>
      <c r="E1036" s="5" t="s">
        <v>1892</v>
      </c>
      <c r="F1036" s="4" t="str">
        <f>"559.14"</f>
        <v>559.14</v>
      </c>
      <c r="G1036" s="4" t="str">
        <f>"559.14"</f>
        <v>559.14</v>
      </c>
    </row>
    <row r="1037" spans="1:7" ht="15.75" customHeight="1" x14ac:dyDescent="0.15">
      <c r="A1037" s="1">
        <v>1033</v>
      </c>
      <c r="B1037" s="1">
        <v>10915</v>
      </c>
      <c r="C1037" s="1" t="s">
        <v>1175</v>
      </c>
      <c r="D1037" s="1" t="s">
        <v>5</v>
      </c>
      <c r="E1037" s="5" t="s">
        <v>1892</v>
      </c>
      <c r="F1037" s="4" t="str">
        <f>"561.30"</f>
        <v>561.30</v>
      </c>
      <c r="G1037" s="4"/>
    </row>
    <row r="1038" spans="1:7" ht="15.75" customHeight="1" x14ac:dyDescent="0.15">
      <c r="A1038" s="1">
        <v>1034</v>
      </c>
      <c r="B1038" s="1">
        <v>10914</v>
      </c>
      <c r="C1038" s="1" t="s">
        <v>1189</v>
      </c>
      <c r="D1038" s="1" t="s">
        <v>5</v>
      </c>
      <c r="E1038" s="5" t="s">
        <v>1892</v>
      </c>
      <c r="F1038" s="4" t="str">
        <f>"563.79"</f>
        <v>563.79</v>
      </c>
      <c r="G1038" s="4" t="str">
        <f>"590.99"</f>
        <v>590.99</v>
      </c>
    </row>
    <row r="1039" spans="1:7" ht="15.75" customHeight="1" x14ac:dyDescent="0.15">
      <c r="A1039" s="1">
        <v>1035</v>
      </c>
      <c r="B1039" s="1">
        <v>10889</v>
      </c>
      <c r="C1039" s="1" t="s">
        <v>1177</v>
      </c>
      <c r="D1039" s="1" t="s">
        <v>5</v>
      </c>
      <c r="E1039" s="5" t="s">
        <v>1892</v>
      </c>
      <c r="F1039" s="4" t="str">
        <f>"566.21"</f>
        <v>566.21</v>
      </c>
      <c r="G1039" s="4"/>
    </row>
    <row r="1040" spans="1:7" ht="15.75" customHeight="1" x14ac:dyDescent="0.15">
      <c r="A1040" s="1">
        <v>1036</v>
      </c>
      <c r="B1040" s="1">
        <v>10460</v>
      </c>
      <c r="C1040" s="1" t="s">
        <v>1211</v>
      </c>
      <c r="D1040" s="1" t="s">
        <v>19</v>
      </c>
      <c r="E1040" s="5" t="s">
        <v>1892</v>
      </c>
      <c r="F1040" s="4" t="str">
        <f>"568.29"</f>
        <v>568.29</v>
      </c>
      <c r="G1040" s="4" t="str">
        <f>"568.29"</f>
        <v>568.29</v>
      </c>
    </row>
    <row r="1041" spans="1:7" ht="15.75" customHeight="1" x14ac:dyDescent="0.15">
      <c r="A1041" s="1">
        <v>1037</v>
      </c>
      <c r="B1041" s="1">
        <v>10401</v>
      </c>
      <c r="C1041" s="1" t="s">
        <v>1212</v>
      </c>
      <c r="D1041" s="1" t="s">
        <v>19</v>
      </c>
      <c r="E1041" s="5" t="s">
        <v>1892</v>
      </c>
      <c r="F1041" s="4" t="str">
        <f>"571.04"</f>
        <v>571.04</v>
      </c>
      <c r="G1041" s="4" t="str">
        <f>"571.04"</f>
        <v>571.04</v>
      </c>
    </row>
    <row r="1042" spans="1:7" ht="15.75" customHeight="1" x14ac:dyDescent="0.15">
      <c r="A1042" s="1">
        <v>1038</v>
      </c>
      <c r="B1042" s="1">
        <v>10705</v>
      </c>
      <c r="C1042" s="1" t="s">
        <v>1213</v>
      </c>
      <c r="D1042" s="1" t="s">
        <v>8</v>
      </c>
      <c r="E1042" s="5" t="s">
        <v>1892</v>
      </c>
      <c r="F1042" s="4" t="str">
        <f>"571.16"</f>
        <v>571.16</v>
      </c>
      <c r="G1042" s="4" t="str">
        <f>"571.16"</f>
        <v>571.16</v>
      </c>
    </row>
    <row r="1043" spans="1:7" ht="15.75" customHeight="1" x14ac:dyDescent="0.15">
      <c r="A1043" s="1">
        <v>1039</v>
      </c>
      <c r="B1043" s="1">
        <v>10189</v>
      </c>
      <c r="C1043" s="1" t="s">
        <v>1196</v>
      </c>
      <c r="D1043" s="1" t="s">
        <v>5</v>
      </c>
      <c r="E1043" s="5" t="s">
        <v>1892</v>
      </c>
      <c r="F1043" s="4" t="str">
        <f>"574.64"</f>
        <v>574.64</v>
      </c>
      <c r="G1043" s="4" t="str">
        <f>"600.29"</f>
        <v>600.29</v>
      </c>
    </row>
    <row r="1044" spans="1:7" ht="15.75" customHeight="1" x14ac:dyDescent="0.15">
      <c r="A1044" s="1">
        <v>1040</v>
      </c>
      <c r="B1044" s="1">
        <v>10439</v>
      </c>
      <c r="C1044" s="1" t="s">
        <v>1215</v>
      </c>
      <c r="D1044" s="1" t="s">
        <v>19</v>
      </c>
      <c r="E1044" s="5" t="s">
        <v>1892</v>
      </c>
      <c r="F1044" s="4" t="str">
        <f>"577.89"</f>
        <v>577.89</v>
      </c>
      <c r="G1044" s="4" t="str">
        <f>"577.89"</f>
        <v>577.89</v>
      </c>
    </row>
    <row r="1045" spans="1:7" ht="15.75" customHeight="1" x14ac:dyDescent="0.15">
      <c r="A1045" s="1">
        <v>1041</v>
      </c>
      <c r="B1045" s="1">
        <v>10728</v>
      </c>
      <c r="C1045" s="1" t="s">
        <v>1218</v>
      </c>
      <c r="D1045" s="1" t="s">
        <v>19</v>
      </c>
      <c r="E1045" s="5" t="s">
        <v>1892</v>
      </c>
      <c r="F1045" s="4" t="str">
        <f>"579.35"</f>
        <v>579.35</v>
      </c>
      <c r="G1045" s="4" t="str">
        <f>"579.35"</f>
        <v>579.35</v>
      </c>
    </row>
    <row r="1046" spans="1:7" ht="15.75" customHeight="1" x14ac:dyDescent="0.15">
      <c r="A1046" s="1">
        <v>1042</v>
      </c>
      <c r="B1046" s="1">
        <v>10361</v>
      </c>
      <c r="C1046" s="1" t="s">
        <v>1219</v>
      </c>
      <c r="D1046" s="1" t="s">
        <v>6</v>
      </c>
      <c r="E1046" s="5" t="s">
        <v>1892</v>
      </c>
      <c r="F1046" s="4" t="str">
        <f>"579.67"</f>
        <v>579.67</v>
      </c>
      <c r="G1046" s="4" t="str">
        <f>"579.67"</f>
        <v>579.67</v>
      </c>
    </row>
    <row r="1047" spans="1:7" ht="15.75" customHeight="1" x14ac:dyDescent="0.15">
      <c r="A1047" s="1">
        <v>1043</v>
      </c>
      <c r="B1047" s="1">
        <v>10121</v>
      </c>
      <c r="C1047" s="1" t="s">
        <v>1220</v>
      </c>
      <c r="D1047" s="1" t="s">
        <v>5</v>
      </c>
      <c r="E1047" s="5" t="s">
        <v>1892</v>
      </c>
      <c r="F1047" s="4" t="str">
        <f>"581.09"</f>
        <v>581.09</v>
      </c>
      <c r="G1047" s="4" t="str">
        <f>"581.09"</f>
        <v>581.09</v>
      </c>
    </row>
    <row r="1048" spans="1:7" ht="15.75" customHeight="1" x14ac:dyDescent="0.15">
      <c r="A1048" s="1">
        <v>1044</v>
      </c>
      <c r="B1048" s="1">
        <v>10396</v>
      </c>
      <c r="C1048" s="1" t="s">
        <v>1221</v>
      </c>
      <c r="D1048" s="1" t="s">
        <v>19</v>
      </c>
      <c r="E1048" s="5" t="s">
        <v>1892</v>
      </c>
      <c r="F1048" s="4" t="str">
        <f>"581.67"</f>
        <v>581.67</v>
      </c>
      <c r="G1048" s="4" t="str">
        <f>"581.67"</f>
        <v>581.67</v>
      </c>
    </row>
    <row r="1049" spans="1:7" ht="15.75" customHeight="1" x14ac:dyDescent="0.15">
      <c r="A1049" s="1">
        <v>1045</v>
      </c>
      <c r="B1049" s="1">
        <v>10888</v>
      </c>
      <c r="C1049" s="1" t="s">
        <v>1125</v>
      </c>
      <c r="D1049" s="1" t="s">
        <v>5</v>
      </c>
      <c r="E1049" s="5" t="s">
        <v>1892</v>
      </c>
      <c r="F1049" s="4" t="str">
        <f>"585.79"</f>
        <v>585.79</v>
      </c>
      <c r="G1049" s="4" t="str">
        <f>"712.31"</f>
        <v>712.31</v>
      </c>
    </row>
    <row r="1050" spans="1:7" ht="15.75" customHeight="1" x14ac:dyDescent="0.15">
      <c r="A1050" s="1">
        <v>1046</v>
      </c>
      <c r="B1050" s="1">
        <v>10417</v>
      </c>
      <c r="C1050" s="1" t="s">
        <v>1223</v>
      </c>
      <c r="D1050" s="1" t="s">
        <v>19</v>
      </c>
      <c r="E1050" s="5" t="s">
        <v>1892</v>
      </c>
      <c r="F1050" s="4" t="str">
        <f>"588.41"</f>
        <v>588.41</v>
      </c>
      <c r="G1050" s="4" t="str">
        <f>"588.41"</f>
        <v>588.41</v>
      </c>
    </row>
    <row r="1051" spans="1:7" ht="15.75" customHeight="1" x14ac:dyDescent="0.15">
      <c r="A1051" s="1">
        <v>1047</v>
      </c>
      <c r="B1051" s="1">
        <v>11290</v>
      </c>
      <c r="C1051" s="1" t="s">
        <v>1200</v>
      </c>
      <c r="D1051" s="1" t="s">
        <v>5</v>
      </c>
      <c r="E1051" s="5" t="s">
        <v>1892</v>
      </c>
      <c r="F1051" s="4" t="str">
        <f>"591.30"</f>
        <v>591.30</v>
      </c>
      <c r="G1051" s="4"/>
    </row>
    <row r="1052" spans="1:7" ht="15.75" customHeight="1" x14ac:dyDescent="0.15">
      <c r="A1052" s="1">
        <v>1048</v>
      </c>
      <c r="B1052" s="1">
        <v>10868</v>
      </c>
      <c r="C1052" s="1" t="s">
        <v>1209</v>
      </c>
      <c r="D1052" s="1" t="s">
        <v>5</v>
      </c>
      <c r="E1052" s="5" t="s">
        <v>1892</v>
      </c>
      <c r="F1052" s="4" t="str">
        <f>"597.23"</f>
        <v>597.23</v>
      </c>
      <c r="G1052" s="4" t="str">
        <f>"631.57"</f>
        <v>631.57</v>
      </c>
    </row>
    <row r="1053" spans="1:7" ht="15.75" customHeight="1" x14ac:dyDescent="0.15">
      <c r="A1053" s="1">
        <v>1049</v>
      </c>
      <c r="B1053" s="1">
        <v>10398</v>
      </c>
      <c r="C1053" s="1" t="s">
        <v>1225</v>
      </c>
      <c r="D1053" s="1" t="s">
        <v>19</v>
      </c>
      <c r="E1053" s="5" t="s">
        <v>1892</v>
      </c>
      <c r="F1053" s="4" t="str">
        <f>"598.00"</f>
        <v>598.00</v>
      </c>
      <c r="G1053" s="4" t="str">
        <f>"598.00"</f>
        <v>598.00</v>
      </c>
    </row>
    <row r="1054" spans="1:7" ht="15.75" customHeight="1" x14ac:dyDescent="0.15">
      <c r="A1054" s="1">
        <v>1050</v>
      </c>
      <c r="B1054" s="1">
        <v>5511</v>
      </c>
      <c r="C1054" s="1" t="s">
        <v>1226</v>
      </c>
      <c r="D1054" s="1" t="s">
        <v>57</v>
      </c>
      <c r="E1054" s="5" t="s">
        <v>1892</v>
      </c>
      <c r="F1054" s="4" t="str">
        <f>"598.37"</f>
        <v>598.37</v>
      </c>
      <c r="G1054" s="4" t="str">
        <f>"598.37"</f>
        <v>598.37</v>
      </c>
    </row>
    <row r="1055" spans="1:7" ht="15.75" customHeight="1" x14ac:dyDescent="0.15">
      <c r="A1055" s="1">
        <v>1051</v>
      </c>
      <c r="B1055" s="1">
        <v>10184</v>
      </c>
      <c r="C1055" s="1" t="s">
        <v>1192</v>
      </c>
      <c r="D1055" s="1" t="s">
        <v>5</v>
      </c>
      <c r="E1055" s="5" t="s">
        <v>1892</v>
      </c>
      <c r="F1055" s="4" t="str">
        <f>"598.92"</f>
        <v>598.92</v>
      </c>
      <c r="G1055" s="4" t="str">
        <f>"660.17"</f>
        <v>660.17</v>
      </c>
    </row>
    <row r="1056" spans="1:7" ht="15.75" customHeight="1" x14ac:dyDescent="0.15">
      <c r="A1056" s="1">
        <v>1052</v>
      </c>
      <c r="B1056" s="1">
        <v>10899</v>
      </c>
      <c r="C1056" s="1" t="s">
        <v>1228</v>
      </c>
      <c r="D1056" s="1" t="s">
        <v>5</v>
      </c>
      <c r="E1056" s="5" t="s">
        <v>1892</v>
      </c>
      <c r="F1056" s="4" t="str">
        <f>"600.54"</f>
        <v>600.54</v>
      </c>
      <c r="G1056" s="4" t="str">
        <f>"600.54"</f>
        <v>600.54</v>
      </c>
    </row>
    <row r="1057" spans="1:7" ht="15.75" customHeight="1" x14ac:dyDescent="0.15">
      <c r="A1057" s="1">
        <v>1053</v>
      </c>
      <c r="B1057" s="1">
        <v>10397</v>
      </c>
      <c r="C1057" s="1" t="s">
        <v>1229</v>
      </c>
      <c r="D1057" s="1" t="s">
        <v>19</v>
      </c>
      <c r="E1057" s="5" t="s">
        <v>1892</v>
      </c>
      <c r="F1057" s="4" t="str">
        <f>"601.48"</f>
        <v>601.48</v>
      </c>
      <c r="G1057" s="4" t="str">
        <f>"601.48"</f>
        <v>601.48</v>
      </c>
    </row>
    <row r="1058" spans="1:7" ht="15.75" customHeight="1" x14ac:dyDescent="0.15">
      <c r="A1058" s="1">
        <v>1054</v>
      </c>
      <c r="B1058" s="1">
        <v>10185</v>
      </c>
      <c r="C1058" s="1" t="s">
        <v>1168</v>
      </c>
      <c r="D1058" s="1" t="s">
        <v>5</v>
      </c>
      <c r="E1058" s="5" t="s">
        <v>1892</v>
      </c>
      <c r="F1058" s="4" t="str">
        <f>"601.72"</f>
        <v>601.72</v>
      </c>
      <c r="G1058" s="4" t="str">
        <f>"687.59"</f>
        <v>687.59</v>
      </c>
    </row>
    <row r="1059" spans="1:7" ht="15.75" customHeight="1" x14ac:dyDescent="0.15">
      <c r="A1059" s="1">
        <v>1055</v>
      </c>
      <c r="B1059" s="1">
        <v>11030</v>
      </c>
      <c r="C1059" s="1" t="s">
        <v>1224</v>
      </c>
      <c r="D1059" s="1" t="s">
        <v>5</v>
      </c>
      <c r="E1059" s="5" t="s">
        <v>1892</v>
      </c>
      <c r="F1059" s="4" t="str">
        <f>"602.35"</f>
        <v>602.35</v>
      </c>
      <c r="G1059" s="4" t="str">
        <f>"607.85"</f>
        <v>607.85</v>
      </c>
    </row>
    <row r="1060" spans="1:7" ht="15.75" customHeight="1" x14ac:dyDescent="0.15">
      <c r="A1060" s="1">
        <v>1056</v>
      </c>
      <c r="B1060" s="1">
        <v>11300</v>
      </c>
      <c r="C1060" s="1" t="s">
        <v>1208</v>
      </c>
      <c r="D1060" s="1" t="s">
        <v>5</v>
      </c>
      <c r="E1060" s="5" t="s">
        <v>1892</v>
      </c>
      <c r="F1060" s="4" t="str">
        <f>"602.76"</f>
        <v>602.76</v>
      </c>
      <c r="G1060" s="4"/>
    </row>
    <row r="1061" spans="1:7" ht="15.75" customHeight="1" x14ac:dyDescent="0.15">
      <c r="A1061" s="1">
        <v>1057</v>
      </c>
      <c r="B1061" s="1">
        <v>10849</v>
      </c>
      <c r="C1061" s="1" t="s">
        <v>1152</v>
      </c>
      <c r="D1061" s="1" t="s">
        <v>5</v>
      </c>
      <c r="E1061" s="5" t="s">
        <v>1892</v>
      </c>
      <c r="F1061" s="4" t="str">
        <f>"607.02"</f>
        <v>607.02</v>
      </c>
      <c r="G1061" s="4" t="str">
        <f>"724.10"</f>
        <v>724.10</v>
      </c>
    </row>
    <row r="1062" spans="1:7" ht="15.75" customHeight="1" x14ac:dyDescent="0.15">
      <c r="A1062" s="1">
        <v>1058</v>
      </c>
      <c r="B1062" s="1">
        <v>11237</v>
      </c>
      <c r="C1062" s="1" t="s">
        <v>1210</v>
      </c>
      <c r="D1062" s="1" t="s">
        <v>5</v>
      </c>
      <c r="E1062" s="5" t="s">
        <v>1892</v>
      </c>
      <c r="F1062" s="4" t="str">
        <f>"607.66"</f>
        <v>607.66</v>
      </c>
      <c r="G1062" s="4"/>
    </row>
    <row r="1063" spans="1:7" ht="15.75" customHeight="1" x14ac:dyDescent="0.15">
      <c r="A1063" s="1">
        <v>1059</v>
      </c>
      <c r="B1063" s="1">
        <v>10293</v>
      </c>
      <c r="C1063" s="1" t="s">
        <v>1230</v>
      </c>
      <c r="D1063" s="1" t="s">
        <v>58</v>
      </c>
      <c r="E1063" s="5" t="s">
        <v>1892</v>
      </c>
      <c r="F1063" s="4" t="str">
        <f>"608.79"</f>
        <v>608.79</v>
      </c>
      <c r="G1063" s="4" t="str">
        <f>"608.79"</f>
        <v>608.79</v>
      </c>
    </row>
    <row r="1064" spans="1:7" ht="15.75" customHeight="1" x14ac:dyDescent="0.15">
      <c r="A1064" s="1">
        <v>1060</v>
      </c>
      <c r="B1064" s="1">
        <v>10991</v>
      </c>
      <c r="C1064" s="1" t="s">
        <v>1214</v>
      </c>
      <c r="D1064" s="1" t="s">
        <v>93</v>
      </c>
      <c r="E1064" s="5" t="s">
        <v>1892</v>
      </c>
      <c r="F1064" s="4" t="str">
        <f>"614.24"</f>
        <v>614.24</v>
      </c>
      <c r="G1064" s="4"/>
    </row>
    <row r="1065" spans="1:7" ht="15.75" customHeight="1" x14ac:dyDescent="0.15">
      <c r="A1065" s="1">
        <v>1061</v>
      </c>
      <c r="B1065" s="1">
        <v>10856</v>
      </c>
      <c r="C1065" s="1" t="s">
        <v>1115</v>
      </c>
      <c r="D1065" s="1" t="s">
        <v>5</v>
      </c>
      <c r="E1065" s="5" t="s">
        <v>1892</v>
      </c>
      <c r="F1065" s="4" t="str">
        <f>"615.41"</f>
        <v>615.41</v>
      </c>
      <c r="G1065" s="4" t="str">
        <f>"780.00"</f>
        <v>780.00</v>
      </c>
    </row>
    <row r="1066" spans="1:7" ht="15.75" customHeight="1" x14ac:dyDescent="0.15">
      <c r="A1066" s="1">
        <v>1062</v>
      </c>
      <c r="B1066" s="1">
        <v>10838</v>
      </c>
      <c r="C1066" s="1" t="s">
        <v>1216</v>
      </c>
      <c r="D1066" s="1" t="s">
        <v>5</v>
      </c>
      <c r="E1066" s="5" t="s">
        <v>1892</v>
      </c>
      <c r="F1066" s="4" t="str">
        <f>"618.30"</f>
        <v>618.30</v>
      </c>
      <c r="G1066" s="4"/>
    </row>
    <row r="1067" spans="1:7" ht="15.75" customHeight="1" x14ac:dyDescent="0.15">
      <c r="A1067" s="1">
        <v>1063</v>
      </c>
      <c r="B1067" s="1">
        <v>11297</v>
      </c>
      <c r="C1067" s="1" t="s">
        <v>1217</v>
      </c>
      <c r="D1067" s="1" t="s">
        <v>5</v>
      </c>
      <c r="E1067" s="5" t="s">
        <v>1892</v>
      </c>
      <c r="F1067" s="4" t="str">
        <f>"618.44"</f>
        <v>618.44</v>
      </c>
      <c r="G1067" s="4"/>
    </row>
    <row r="1068" spans="1:7" ht="15.75" customHeight="1" x14ac:dyDescent="0.15">
      <c r="A1068" s="1">
        <v>1064</v>
      </c>
      <c r="B1068" s="1">
        <v>6582</v>
      </c>
      <c r="C1068" s="1" t="s">
        <v>1233</v>
      </c>
      <c r="D1068" s="1" t="s">
        <v>36</v>
      </c>
      <c r="E1068" s="5" t="s">
        <v>1892</v>
      </c>
      <c r="F1068" s="4" t="str">
        <f>"620.24"</f>
        <v>620.24</v>
      </c>
      <c r="G1068" s="4" t="str">
        <f>"620.24"</f>
        <v>620.24</v>
      </c>
    </row>
    <row r="1069" spans="1:7" ht="15.75" customHeight="1" x14ac:dyDescent="0.15">
      <c r="A1069" s="1">
        <v>1065</v>
      </c>
      <c r="B1069" s="1">
        <v>10736</v>
      </c>
      <c r="C1069" s="1" t="s">
        <v>1234</v>
      </c>
      <c r="D1069" s="1" t="s">
        <v>19</v>
      </c>
      <c r="E1069" s="5" t="s">
        <v>1892</v>
      </c>
      <c r="F1069" s="4" t="str">
        <f>"621.06"</f>
        <v>621.06</v>
      </c>
      <c r="G1069" s="4" t="str">
        <f>"621.06"</f>
        <v>621.06</v>
      </c>
    </row>
    <row r="1070" spans="1:7" ht="15.75" customHeight="1" x14ac:dyDescent="0.15">
      <c r="A1070" s="1">
        <v>1066</v>
      </c>
      <c r="B1070" s="1">
        <v>10774</v>
      </c>
      <c r="C1070" s="1" t="s">
        <v>1235</v>
      </c>
      <c r="D1070" s="1" t="s">
        <v>19</v>
      </c>
      <c r="E1070" s="5" t="s">
        <v>1892</v>
      </c>
      <c r="F1070" s="4" t="str">
        <f>"621.32"</f>
        <v>621.32</v>
      </c>
      <c r="G1070" s="4" t="str">
        <f>"621.32"</f>
        <v>621.32</v>
      </c>
    </row>
    <row r="1071" spans="1:7" ht="15.75" customHeight="1" x14ac:dyDescent="0.15">
      <c r="A1071" s="1">
        <v>1067</v>
      </c>
      <c r="B1071" s="1">
        <v>10157</v>
      </c>
      <c r="C1071" s="1" t="s">
        <v>1237</v>
      </c>
      <c r="D1071" s="1" t="s">
        <v>5</v>
      </c>
      <c r="E1071" s="5" t="s">
        <v>1892</v>
      </c>
      <c r="F1071" s="4" t="str">
        <f>"624.22"</f>
        <v>624.22</v>
      </c>
      <c r="G1071" s="4" t="str">
        <f>"624.22"</f>
        <v>624.22</v>
      </c>
    </row>
    <row r="1072" spans="1:7" ht="15.75" customHeight="1" x14ac:dyDescent="0.15">
      <c r="A1072" s="1">
        <v>1068</v>
      </c>
      <c r="B1072" s="1">
        <v>10725</v>
      </c>
      <c r="C1072" s="1" t="s">
        <v>1238</v>
      </c>
      <c r="D1072" s="1" t="s">
        <v>19</v>
      </c>
      <c r="E1072" s="5" t="s">
        <v>1892</v>
      </c>
      <c r="F1072" s="4" t="str">
        <f>"628.55"</f>
        <v>628.55</v>
      </c>
      <c r="G1072" s="4" t="str">
        <f>"628.55"</f>
        <v>628.55</v>
      </c>
    </row>
    <row r="1073" spans="1:7" ht="15.75" customHeight="1" x14ac:dyDescent="0.15">
      <c r="A1073" s="1">
        <v>1069</v>
      </c>
      <c r="B1073" s="1">
        <v>10470</v>
      </c>
      <c r="C1073" s="1" t="s">
        <v>1239</v>
      </c>
      <c r="D1073" s="1" t="s">
        <v>19</v>
      </c>
      <c r="E1073" s="5" t="s">
        <v>1892</v>
      </c>
      <c r="F1073" s="4" t="str">
        <f>"629.09"</f>
        <v>629.09</v>
      </c>
      <c r="G1073" s="4" t="str">
        <f>"629.09"</f>
        <v>629.09</v>
      </c>
    </row>
    <row r="1074" spans="1:7" ht="15.75" customHeight="1" x14ac:dyDescent="0.15">
      <c r="A1074" s="1">
        <v>1070</v>
      </c>
      <c r="B1074" s="1">
        <v>10360</v>
      </c>
      <c r="C1074" s="1" t="s">
        <v>1240</v>
      </c>
      <c r="D1074" s="1" t="s">
        <v>6</v>
      </c>
      <c r="E1074" s="5" t="s">
        <v>1892</v>
      </c>
      <c r="F1074" s="4" t="str">
        <f>"634.67"</f>
        <v>634.67</v>
      </c>
      <c r="G1074" s="4" t="str">
        <f>"634.67"</f>
        <v>634.67</v>
      </c>
    </row>
    <row r="1075" spans="1:7" ht="15.75" customHeight="1" x14ac:dyDescent="0.15">
      <c r="A1075" s="1">
        <v>1071</v>
      </c>
      <c r="B1075" s="1">
        <v>10731</v>
      </c>
      <c r="C1075" s="1" t="s">
        <v>1242</v>
      </c>
      <c r="D1075" s="1" t="s">
        <v>19</v>
      </c>
      <c r="E1075" s="5" t="s">
        <v>1892</v>
      </c>
      <c r="F1075" s="4" t="str">
        <f>"638.43"</f>
        <v>638.43</v>
      </c>
      <c r="G1075" s="4" t="str">
        <f>"638.43"</f>
        <v>638.43</v>
      </c>
    </row>
    <row r="1076" spans="1:7" ht="15.75" customHeight="1" x14ac:dyDescent="0.15">
      <c r="A1076" s="1">
        <v>1072</v>
      </c>
      <c r="B1076" s="1">
        <v>10791</v>
      </c>
      <c r="C1076" s="1" t="s">
        <v>1160</v>
      </c>
      <c r="D1076" s="1" t="s">
        <v>5</v>
      </c>
      <c r="E1076" s="5" t="s">
        <v>1892</v>
      </c>
      <c r="F1076" s="4" t="str">
        <f>"639.85"</f>
        <v>639.85</v>
      </c>
      <c r="G1076" s="4" t="str">
        <f>"779.93"</f>
        <v>779.93</v>
      </c>
    </row>
    <row r="1077" spans="1:7" ht="15.75" customHeight="1" x14ac:dyDescent="0.15">
      <c r="A1077" s="1">
        <v>1073</v>
      </c>
      <c r="B1077" s="1">
        <v>11296</v>
      </c>
      <c r="C1077" s="1" t="s">
        <v>1227</v>
      </c>
      <c r="D1077" s="1" t="s">
        <v>5</v>
      </c>
      <c r="E1077" s="5" t="s">
        <v>1892</v>
      </c>
      <c r="F1077" s="4" t="str">
        <f>"640.53"</f>
        <v>640.53</v>
      </c>
      <c r="G1077" s="4"/>
    </row>
    <row r="1078" spans="1:7" ht="15.75" customHeight="1" x14ac:dyDescent="0.15">
      <c r="A1078" s="1">
        <v>1074</v>
      </c>
      <c r="B1078" s="1">
        <v>10469</v>
      </c>
      <c r="C1078" s="1" t="s">
        <v>1243</v>
      </c>
      <c r="D1078" s="1" t="s">
        <v>19</v>
      </c>
      <c r="E1078" s="5" t="s">
        <v>1892</v>
      </c>
      <c r="F1078" s="4" t="str">
        <f>"643.26"</f>
        <v>643.26</v>
      </c>
      <c r="G1078" s="4" t="str">
        <f>"643.26"</f>
        <v>643.26</v>
      </c>
    </row>
    <row r="1079" spans="1:7" ht="15.75" customHeight="1" x14ac:dyDescent="0.15">
      <c r="A1079" s="1">
        <v>1075</v>
      </c>
      <c r="B1079" s="1">
        <v>10894</v>
      </c>
      <c r="C1079" s="1" t="s">
        <v>1231</v>
      </c>
      <c r="D1079" s="1" t="s">
        <v>5</v>
      </c>
      <c r="E1079" s="5" t="s">
        <v>1892</v>
      </c>
      <c r="F1079" s="4" t="str">
        <f>"658.94"</f>
        <v>658.94</v>
      </c>
      <c r="G1079" s="4"/>
    </row>
    <row r="1080" spans="1:7" ht="15.75" customHeight="1" x14ac:dyDescent="0.15">
      <c r="A1080" s="1">
        <v>1076</v>
      </c>
      <c r="B1080" s="1">
        <v>10842</v>
      </c>
      <c r="C1080" s="1" t="s">
        <v>1251</v>
      </c>
      <c r="D1080" s="1" t="s">
        <v>5</v>
      </c>
      <c r="E1080" s="5" t="s">
        <v>1892</v>
      </c>
      <c r="F1080" s="4" t="str">
        <f>"660.47"</f>
        <v>660.47</v>
      </c>
      <c r="G1080" s="4" t="str">
        <f>"660.47"</f>
        <v>660.47</v>
      </c>
    </row>
    <row r="1081" spans="1:7" ht="15.75" customHeight="1" x14ac:dyDescent="0.15">
      <c r="A1081" s="1">
        <v>1077</v>
      </c>
      <c r="B1081" s="1">
        <v>10906</v>
      </c>
      <c r="C1081" s="1" t="s">
        <v>1246</v>
      </c>
      <c r="D1081" s="1" t="s">
        <v>5</v>
      </c>
      <c r="E1081" s="5" t="s">
        <v>1892</v>
      </c>
      <c r="F1081" s="4" t="str">
        <f>"661.00"</f>
        <v>661.00</v>
      </c>
      <c r="G1081" s="4" t="str">
        <f>"661.00"</f>
        <v>661.00</v>
      </c>
    </row>
    <row r="1082" spans="1:7" ht="15.75" customHeight="1" x14ac:dyDescent="0.15">
      <c r="A1082" s="1">
        <v>1078</v>
      </c>
      <c r="B1082" s="1">
        <v>10446</v>
      </c>
      <c r="C1082" s="1" t="s">
        <v>1247</v>
      </c>
      <c r="D1082" s="1" t="s">
        <v>19</v>
      </c>
      <c r="E1082" s="5" t="s">
        <v>1892</v>
      </c>
      <c r="F1082" s="4" t="str">
        <f>"661.54"</f>
        <v>661.54</v>
      </c>
      <c r="G1082" s="4" t="str">
        <f>"661.54"</f>
        <v>661.54</v>
      </c>
    </row>
    <row r="1083" spans="1:7" ht="15.75" customHeight="1" x14ac:dyDescent="0.15">
      <c r="A1083" s="1">
        <v>1079</v>
      </c>
      <c r="B1083" s="1">
        <v>10395</v>
      </c>
      <c r="C1083" s="1" t="s">
        <v>1248</v>
      </c>
      <c r="D1083" s="1" t="s">
        <v>19</v>
      </c>
      <c r="E1083" s="5" t="s">
        <v>1892</v>
      </c>
      <c r="F1083" s="4" t="str">
        <f>"661.94"</f>
        <v>661.94</v>
      </c>
      <c r="G1083" s="4" t="str">
        <f>"661.94"</f>
        <v>661.94</v>
      </c>
    </row>
    <row r="1084" spans="1:7" ht="15.75" customHeight="1" x14ac:dyDescent="0.15">
      <c r="A1084" s="1">
        <v>1080</v>
      </c>
      <c r="B1084" s="1">
        <v>11058</v>
      </c>
      <c r="C1084" s="1" t="s">
        <v>1250</v>
      </c>
      <c r="D1084" s="1" t="s">
        <v>58</v>
      </c>
      <c r="E1084" s="5" t="s">
        <v>1892</v>
      </c>
      <c r="F1084" s="4" t="str">
        <f>"669.92"</f>
        <v>669.92</v>
      </c>
      <c r="G1084" s="4" t="str">
        <f>"669.92"</f>
        <v>669.92</v>
      </c>
    </row>
    <row r="1085" spans="1:7" ht="15.75" customHeight="1" x14ac:dyDescent="0.15">
      <c r="A1085" s="1">
        <v>1081</v>
      </c>
      <c r="B1085" s="1">
        <v>11258</v>
      </c>
      <c r="C1085" s="1" t="s">
        <v>1241</v>
      </c>
      <c r="D1085" s="1" t="s">
        <v>5</v>
      </c>
      <c r="E1085" s="5" t="s">
        <v>1892</v>
      </c>
      <c r="F1085" s="4" t="str">
        <f>"676.39"</f>
        <v>676.39</v>
      </c>
      <c r="G1085" s="4"/>
    </row>
    <row r="1086" spans="1:7" ht="15.75" customHeight="1" x14ac:dyDescent="0.15">
      <c r="A1086" s="1">
        <v>1082</v>
      </c>
      <c r="B1086" s="1">
        <v>10388</v>
      </c>
      <c r="C1086" s="1" t="s">
        <v>1253</v>
      </c>
      <c r="D1086" s="1" t="s">
        <v>19</v>
      </c>
      <c r="E1086" s="5" t="s">
        <v>1892</v>
      </c>
      <c r="F1086" s="4" t="str">
        <f>"679.84"</f>
        <v>679.84</v>
      </c>
      <c r="G1086" s="4" t="str">
        <f>"679.84"</f>
        <v>679.84</v>
      </c>
    </row>
    <row r="1087" spans="1:7" ht="15.75" customHeight="1" x14ac:dyDescent="0.15">
      <c r="A1087" s="1">
        <v>1083</v>
      </c>
      <c r="B1087" s="1">
        <v>1429</v>
      </c>
      <c r="C1087" s="1" t="s">
        <v>1254</v>
      </c>
      <c r="D1087" s="1" t="s">
        <v>88</v>
      </c>
      <c r="E1087" s="5" t="s">
        <v>1892</v>
      </c>
      <c r="F1087" s="4" t="str">
        <f>"681.64"</f>
        <v>681.64</v>
      </c>
      <c r="G1087" s="4" t="str">
        <f>"681.64"</f>
        <v>681.64</v>
      </c>
    </row>
    <row r="1088" spans="1:7" ht="15.75" customHeight="1" x14ac:dyDescent="0.15">
      <c r="A1088" s="1">
        <v>1084</v>
      </c>
      <c r="B1088" s="1">
        <v>10947</v>
      </c>
      <c r="C1088" s="1" t="s">
        <v>1255</v>
      </c>
      <c r="D1088" s="1" t="s">
        <v>19</v>
      </c>
      <c r="E1088" s="5" t="s">
        <v>1892</v>
      </c>
      <c r="F1088" s="4" t="str">
        <f>"683.24"</f>
        <v>683.24</v>
      </c>
      <c r="G1088" s="4" t="str">
        <f>"683.24"</f>
        <v>683.24</v>
      </c>
    </row>
    <row r="1089" spans="1:7" ht="15.75" customHeight="1" x14ac:dyDescent="0.15">
      <c r="A1089" s="1">
        <v>1085</v>
      </c>
      <c r="B1089" s="1">
        <v>11235</v>
      </c>
      <c r="C1089" s="1" t="s">
        <v>1244</v>
      </c>
      <c r="D1089" s="1" t="s">
        <v>5</v>
      </c>
      <c r="E1089" s="5" t="s">
        <v>1892</v>
      </c>
      <c r="F1089" s="4" t="str">
        <f>"683.89"</f>
        <v>683.89</v>
      </c>
      <c r="G1089" s="4"/>
    </row>
    <row r="1090" spans="1:7" ht="15.75" customHeight="1" x14ac:dyDescent="0.15">
      <c r="A1090" s="1">
        <v>1086</v>
      </c>
      <c r="B1090" s="1">
        <v>10155</v>
      </c>
      <c r="C1090" s="1" t="s">
        <v>1256</v>
      </c>
      <c r="D1090" s="1" t="s">
        <v>5</v>
      </c>
      <c r="E1090" s="5" t="s">
        <v>1892</v>
      </c>
      <c r="F1090" s="4" t="str">
        <f>"684.13"</f>
        <v>684.13</v>
      </c>
      <c r="G1090" s="4" t="str">
        <f>"684.13"</f>
        <v>684.13</v>
      </c>
    </row>
    <row r="1091" spans="1:7" ht="15.75" customHeight="1" x14ac:dyDescent="0.15">
      <c r="A1091" s="1">
        <v>1087</v>
      </c>
      <c r="B1091" s="1">
        <v>10730</v>
      </c>
      <c r="C1091" s="1" t="s">
        <v>1257</v>
      </c>
      <c r="D1091" s="1" t="s">
        <v>19</v>
      </c>
      <c r="E1091" s="5" t="s">
        <v>1892</v>
      </c>
      <c r="F1091" s="4" t="str">
        <f>"685.36"</f>
        <v>685.36</v>
      </c>
      <c r="G1091" s="4" t="str">
        <f>"685.36"</f>
        <v>685.36</v>
      </c>
    </row>
    <row r="1092" spans="1:7" ht="15.75" customHeight="1" x14ac:dyDescent="0.15">
      <c r="A1092" s="1">
        <v>1088</v>
      </c>
      <c r="B1092" s="1">
        <v>10772</v>
      </c>
      <c r="C1092" s="1" t="s">
        <v>1258</v>
      </c>
      <c r="D1092" s="1" t="s">
        <v>19</v>
      </c>
      <c r="E1092" s="5" t="s">
        <v>1892</v>
      </c>
      <c r="F1092" s="4" t="str">
        <f>"687.27"</f>
        <v>687.27</v>
      </c>
      <c r="G1092" s="4" t="str">
        <f>"687.27"</f>
        <v>687.27</v>
      </c>
    </row>
    <row r="1093" spans="1:7" ht="15.75" customHeight="1" x14ac:dyDescent="0.15">
      <c r="A1093" s="1">
        <v>1089</v>
      </c>
      <c r="B1093" s="1">
        <v>10710</v>
      </c>
      <c r="C1093" s="1" t="s">
        <v>1259</v>
      </c>
      <c r="D1093" s="1" t="s">
        <v>5</v>
      </c>
      <c r="E1093" s="5" t="s">
        <v>1892</v>
      </c>
      <c r="F1093" s="4" t="str">
        <f>"688.26"</f>
        <v>688.26</v>
      </c>
      <c r="G1093" s="4" t="str">
        <f>"688.26"</f>
        <v>688.26</v>
      </c>
    </row>
    <row r="1094" spans="1:7" ht="15.75" customHeight="1" x14ac:dyDescent="0.15">
      <c r="A1094" s="1">
        <v>1090</v>
      </c>
      <c r="B1094" s="1">
        <v>10794</v>
      </c>
      <c r="C1094" s="1" t="s">
        <v>1260</v>
      </c>
      <c r="D1094" s="1" t="s">
        <v>19</v>
      </c>
      <c r="E1094" s="5" t="s">
        <v>1892</v>
      </c>
      <c r="F1094" s="4" t="str">
        <f>"689.88"</f>
        <v>689.88</v>
      </c>
      <c r="G1094" s="4" t="str">
        <f>"689.88"</f>
        <v>689.88</v>
      </c>
    </row>
    <row r="1095" spans="1:7" ht="15.75" customHeight="1" x14ac:dyDescent="0.15">
      <c r="A1095" s="1">
        <v>1091</v>
      </c>
      <c r="B1095" s="1">
        <v>11285</v>
      </c>
      <c r="C1095" s="1" t="s">
        <v>1245</v>
      </c>
      <c r="D1095" s="1" t="s">
        <v>5</v>
      </c>
      <c r="E1095" s="5" t="s">
        <v>1892</v>
      </c>
      <c r="F1095" s="4" t="str">
        <f>"691.93"</f>
        <v>691.93</v>
      </c>
      <c r="G1095" s="4"/>
    </row>
    <row r="1096" spans="1:7" ht="15.75" customHeight="1" x14ac:dyDescent="0.15">
      <c r="A1096" s="1">
        <v>1092</v>
      </c>
      <c r="B1096" s="1">
        <v>11056</v>
      </c>
      <c r="C1096" s="1" t="s">
        <v>1262</v>
      </c>
      <c r="D1096" s="1" t="s">
        <v>58</v>
      </c>
      <c r="E1096" s="5" t="s">
        <v>1892</v>
      </c>
      <c r="F1096" s="4" t="str">
        <f>"699.45"</f>
        <v>699.45</v>
      </c>
      <c r="G1096" s="4" t="str">
        <f>"699.45"</f>
        <v>699.45</v>
      </c>
    </row>
    <row r="1097" spans="1:7" ht="15.75" customHeight="1" x14ac:dyDescent="0.15">
      <c r="A1097" s="1">
        <v>1093</v>
      </c>
      <c r="B1097" s="1">
        <v>10124</v>
      </c>
      <c r="C1097" s="1" t="s">
        <v>1263</v>
      </c>
      <c r="D1097" s="1" t="s">
        <v>5</v>
      </c>
      <c r="E1097" s="5" t="s">
        <v>1892</v>
      </c>
      <c r="F1097" s="4" t="str">
        <f>"702.22"</f>
        <v>702.22</v>
      </c>
      <c r="G1097" s="4" t="str">
        <f>"702.22"</f>
        <v>702.22</v>
      </c>
    </row>
    <row r="1098" spans="1:7" ht="15.75" customHeight="1" x14ac:dyDescent="0.15">
      <c r="A1098" s="1">
        <v>1094</v>
      </c>
      <c r="B1098" s="1">
        <v>10898</v>
      </c>
      <c r="C1098" s="1" t="s">
        <v>1249</v>
      </c>
      <c r="D1098" s="1" t="s">
        <v>5</v>
      </c>
      <c r="E1098" s="5" t="s">
        <v>1892</v>
      </c>
      <c r="F1098" s="4" t="str">
        <f>"705.43"</f>
        <v>705.43</v>
      </c>
      <c r="G1098" s="4"/>
    </row>
    <row r="1099" spans="1:7" ht="15.75" customHeight="1" x14ac:dyDescent="0.15">
      <c r="A1099" s="1">
        <v>1095</v>
      </c>
      <c r="B1099" s="1">
        <v>10867</v>
      </c>
      <c r="C1099" s="1" t="s">
        <v>1264</v>
      </c>
      <c r="D1099" s="1" t="s">
        <v>5</v>
      </c>
      <c r="E1099" s="5" t="s">
        <v>1892</v>
      </c>
      <c r="F1099" s="4" t="str">
        <f>"707.05"</f>
        <v>707.05</v>
      </c>
      <c r="G1099" s="4" t="str">
        <f>"711.70"</f>
        <v>711.70</v>
      </c>
    </row>
    <row r="1100" spans="1:7" ht="15.75" customHeight="1" x14ac:dyDescent="0.15">
      <c r="A1100" s="1">
        <v>1096</v>
      </c>
      <c r="B1100" s="1">
        <v>10859</v>
      </c>
      <c r="C1100" s="1" t="s">
        <v>1197</v>
      </c>
      <c r="D1100" s="1" t="s">
        <v>5</v>
      </c>
      <c r="E1100" s="5" t="s">
        <v>1892</v>
      </c>
      <c r="F1100" s="4" t="str">
        <f>"709.90"</f>
        <v>709.90</v>
      </c>
      <c r="G1100" s="4" t="str">
        <f>"870.67"</f>
        <v>870.67</v>
      </c>
    </row>
    <row r="1101" spans="1:7" ht="15.75" customHeight="1" x14ac:dyDescent="0.15">
      <c r="A1101" s="1">
        <v>1097</v>
      </c>
      <c r="B1101" s="1">
        <v>10795</v>
      </c>
      <c r="C1101" s="1" t="s">
        <v>1265</v>
      </c>
      <c r="D1101" s="1" t="s">
        <v>19</v>
      </c>
      <c r="E1101" s="5" t="s">
        <v>1892</v>
      </c>
      <c r="F1101" s="4" t="str">
        <f>"715.02"</f>
        <v>715.02</v>
      </c>
      <c r="G1101" s="4" t="str">
        <f>"715.02"</f>
        <v>715.02</v>
      </c>
    </row>
    <row r="1102" spans="1:7" ht="15.75" customHeight="1" x14ac:dyDescent="0.15">
      <c r="A1102" s="1">
        <v>1098</v>
      </c>
      <c r="B1102" s="1">
        <v>11250</v>
      </c>
      <c r="C1102" s="1" t="s">
        <v>1252</v>
      </c>
      <c r="D1102" s="1" t="s">
        <v>5</v>
      </c>
      <c r="E1102" s="5" t="s">
        <v>1892</v>
      </c>
      <c r="F1102" s="4" t="str">
        <f>"715.11"</f>
        <v>715.11</v>
      </c>
      <c r="G1102" s="4"/>
    </row>
    <row r="1103" spans="1:7" ht="15.75" customHeight="1" x14ac:dyDescent="0.15">
      <c r="A1103" s="1">
        <v>1099</v>
      </c>
      <c r="B1103" s="1">
        <v>10475</v>
      </c>
      <c r="C1103" s="1" t="s">
        <v>1266</v>
      </c>
      <c r="D1103" s="1" t="s">
        <v>19</v>
      </c>
      <c r="E1103" s="5" t="s">
        <v>1892</v>
      </c>
      <c r="F1103" s="4" t="str">
        <f>"718.22"</f>
        <v>718.22</v>
      </c>
      <c r="G1103" s="4" t="str">
        <f>"718.22"</f>
        <v>718.22</v>
      </c>
    </row>
    <row r="1104" spans="1:7" ht="15.75" customHeight="1" x14ac:dyDescent="0.15">
      <c r="A1104" s="1">
        <v>1100</v>
      </c>
      <c r="B1104" s="1">
        <v>10737</v>
      </c>
      <c r="C1104" s="1" t="s">
        <v>1267</v>
      </c>
      <c r="D1104" s="1" t="s">
        <v>19</v>
      </c>
      <c r="E1104" s="5" t="s">
        <v>1892</v>
      </c>
      <c r="F1104" s="4" t="str">
        <f>"719.10"</f>
        <v>719.10</v>
      </c>
      <c r="G1104" s="4" t="str">
        <f>"719.10"</f>
        <v>719.10</v>
      </c>
    </row>
    <row r="1105" spans="1:7" ht="15.75" customHeight="1" x14ac:dyDescent="0.15">
      <c r="A1105" s="1">
        <v>1101</v>
      </c>
      <c r="B1105" s="1">
        <v>10733</v>
      </c>
      <c r="C1105" s="1" t="s">
        <v>1268</v>
      </c>
      <c r="D1105" s="1" t="s">
        <v>19</v>
      </c>
      <c r="E1105" s="5" t="s">
        <v>1892</v>
      </c>
      <c r="F1105" s="4" t="str">
        <f>"722.34"</f>
        <v>722.34</v>
      </c>
      <c r="G1105" s="4" t="str">
        <f>"722.34"</f>
        <v>722.34</v>
      </c>
    </row>
    <row r="1106" spans="1:7" ht="15.75" customHeight="1" x14ac:dyDescent="0.15">
      <c r="A1106" s="1">
        <v>1102</v>
      </c>
      <c r="B1106" s="1">
        <v>11236</v>
      </c>
      <c r="C1106" s="1" t="s">
        <v>1261</v>
      </c>
      <c r="D1106" s="1" t="s">
        <v>5</v>
      </c>
      <c r="E1106" s="5" t="s">
        <v>1892</v>
      </c>
      <c r="F1106" s="4" t="str">
        <f>"731.75"</f>
        <v>731.75</v>
      </c>
      <c r="G1106" s="4"/>
    </row>
    <row r="1107" spans="1:7" ht="15.75" customHeight="1" x14ac:dyDescent="0.15">
      <c r="A1107" s="1">
        <v>1103</v>
      </c>
      <c r="B1107" s="1">
        <v>10485</v>
      </c>
      <c r="C1107" s="1" t="s">
        <v>1269</v>
      </c>
      <c r="D1107" s="1" t="s">
        <v>19</v>
      </c>
      <c r="E1107" s="5" t="s">
        <v>1892</v>
      </c>
      <c r="F1107" s="4" t="str">
        <f>"736.69"</f>
        <v>736.69</v>
      </c>
      <c r="G1107" s="4" t="str">
        <f>"736.69"</f>
        <v>736.69</v>
      </c>
    </row>
    <row r="1108" spans="1:7" ht="15.75" customHeight="1" x14ac:dyDescent="0.15">
      <c r="A1108" s="1">
        <v>1104</v>
      </c>
      <c r="B1108" s="1">
        <v>11100</v>
      </c>
      <c r="C1108" s="1" t="s">
        <v>1270</v>
      </c>
      <c r="D1108" s="1" t="s">
        <v>8</v>
      </c>
      <c r="E1108" s="5" t="s">
        <v>1892</v>
      </c>
      <c r="F1108" s="4" t="str">
        <f>"737.07"</f>
        <v>737.07</v>
      </c>
      <c r="G1108" s="4" t="str">
        <f>"737.07"</f>
        <v>737.07</v>
      </c>
    </row>
    <row r="1109" spans="1:7" ht="15.75" customHeight="1" x14ac:dyDescent="0.15">
      <c r="A1109" s="1">
        <v>1105</v>
      </c>
      <c r="B1109" s="1">
        <v>10793</v>
      </c>
      <c r="C1109" s="1" t="s">
        <v>1272</v>
      </c>
      <c r="D1109" s="1" t="s">
        <v>19</v>
      </c>
      <c r="E1109" s="5" t="s">
        <v>1892</v>
      </c>
      <c r="F1109" s="4" t="str">
        <f>"738.79"</f>
        <v>738.79</v>
      </c>
      <c r="G1109" s="4" t="str">
        <f>"738.79"</f>
        <v>738.79</v>
      </c>
    </row>
    <row r="1110" spans="1:7" ht="15.75" customHeight="1" x14ac:dyDescent="0.15">
      <c r="A1110" s="1">
        <v>1106</v>
      </c>
      <c r="B1110" s="1">
        <v>10524</v>
      </c>
      <c r="C1110" s="1" t="s">
        <v>1274</v>
      </c>
      <c r="D1110" s="1" t="s">
        <v>58</v>
      </c>
      <c r="E1110" s="5" t="s">
        <v>1892</v>
      </c>
      <c r="F1110" s="4" t="str">
        <f>"741.15"</f>
        <v>741.15</v>
      </c>
      <c r="G1110" s="4" t="str">
        <f>"741.15"</f>
        <v>741.15</v>
      </c>
    </row>
    <row r="1111" spans="1:7" ht="15.75" customHeight="1" x14ac:dyDescent="0.15">
      <c r="A1111" s="1">
        <v>1107</v>
      </c>
      <c r="B1111" s="1">
        <v>10734</v>
      </c>
      <c r="C1111" s="1" t="s">
        <v>1275</v>
      </c>
      <c r="D1111" s="1" t="s">
        <v>19</v>
      </c>
      <c r="E1111" s="5" t="s">
        <v>1892</v>
      </c>
      <c r="F1111" s="4" t="str">
        <f>"747.93"</f>
        <v>747.93</v>
      </c>
      <c r="G1111" s="4" t="str">
        <f>"747.93"</f>
        <v>747.93</v>
      </c>
    </row>
    <row r="1112" spans="1:7" ht="15.75" customHeight="1" x14ac:dyDescent="0.15">
      <c r="A1112" s="1">
        <v>1108</v>
      </c>
      <c r="B1112" s="1">
        <v>11062</v>
      </c>
      <c r="C1112" s="1" t="s">
        <v>1276</v>
      </c>
      <c r="D1112" s="1" t="s">
        <v>58</v>
      </c>
      <c r="E1112" s="5" t="s">
        <v>1892</v>
      </c>
      <c r="F1112" s="4" t="str">
        <f>"750.18"</f>
        <v>750.18</v>
      </c>
      <c r="G1112" s="4" t="str">
        <f>"750.18"</f>
        <v>750.18</v>
      </c>
    </row>
    <row r="1113" spans="1:7" ht="15.75" customHeight="1" x14ac:dyDescent="0.15">
      <c r="A1113" s="1">
        <v>1109</v>
      </c>
      <c r="B1113" s="1">
        <v>10102</v>
      </c>
      <c r="C1113" s="1" t="s">
        <v>1277</v>
      </c>
      <c r="D1113" s="1" t="s">
        <v>17</v>
      </c>
      <c r="E1113" s="5" t="s">
        <v>1892</v>
      </c>
      <c r="F1113" s="4" t="str">
        <f>"751.74"</f>
        <v>751.74</v>
      </c>
      <c r="G1113" s="4" t="str">
        <f>"751.74"</f>
        <v>751.74</v>
      </c>
    </row>
    <row r="1114" spans="1:7" ht="15.75" customHeight="1" x14ac:dyDescent="0.15">
      <c r="A1114" s="1">
        <v>1110</v>
      </c>
      <c r="B1114" s="1">
        <v>10840</v>
      </c>
      <c r="C1114" s="1" t="s">
        <v>1271</v>
      </c>
      <c r="D1114" s="1" t="s">
        <v>5</v>
      </c>
      <c r="E1114" s="5" t="s">
        <v>1892</v>
      </c>
      <c r="F1114" s="4" t="str">
        <f>"751.90"</f>
        <v>751.90</v>
      </c>
      <c r="G1114" s="4" t="str">
        <f>"765.41"</f>
        <v>765.41</v>
      </c>
    </row>
    <row r="1115" spans="1:7" ht="15.75" customHeight="1" x14ac:dyDescent="0.15">
      <c r="A1115" s="1">
        <v>1111</v>
      </c>
      <c r="B1115" s="1">
        <v>3975</v>
      </c>
      <c r="C1115" s="1" t="s">
        <v>1279</v>
      </c>
      <c r="D1115" s="1" t="s">
        <v>1280</v>
      </c>
      <c r="E1115" s="5" t="s">
        <v>1892</v>
      </c>
      <c r="F1115" s="4" t="str">
        <f>"758.02"</f>
        <v>758.02</v>
      </c>
      <c r="G1115" s="4" t="str">
        <f>"758.02"</f>
        <v>758.02</v>
      </c>
    </row>
    <row r="1116" spans="1:7" ht="15.75" customHeight="1" x14ac:dyDescent="0.15">
      <c r="A1116" s="1">
        <v>1112</v>
      </c>
      <c r="B1116" s="1">
        <v>10472</v>
      </c>
      <c r="C1116" s="1" t="s">
        <v>1281</v>
      </c>
      <c r="D1116" s="1" t="s">
        <v>19</v>
      </c>
      <c r="E1116" s="5" t="s">
        <v>1892</v>
      </c>
      <c r="F1116" s="4" t="str">
        <f>"763.01"</f>
        <v>763.01</v>
      </c>
      <c r="G1116" s="4" t="str">
        <f>"763.01"</f>
        <v>763.01</v>
      </c>
    </row>
    <row r="1117" spans="1:7" ht="15.75" customHeight="1" x14ac:dyDescent="0.15">
      <c r="A1117" s="1">
        <v>1113</v>
      </c>
      <c r="B1117" s="1">
        <v>11086</v>
      </c>
      <c r="C1117" s="1" t="s">
        <v>1282</v>
      </c>
      <c r="D1117" s="1" t="s">
        <v>141</v>
      </c>
      <c r="E1117" s="5" t="s">
        <v>1892</v>
      </c>
      <c r="F1117" s="4" t="str">
        <f>"766.24"</f>
        <v>766.24</v>
      </c>
      <c r="G1117" s="4" t="str">
        <f>"766.24"</f>
        <v>766.24</v>
      </c>
    </row>
    <row r="1118" spans="1:7" ht="15.75" customHeight="1" x14ac:dyDescent="0.15">
      <c r="A1118" s="1">
        <v>1114</v>
      </c>
      <c r="B1118" s="1">
        <v>10477</v>
      </c>
      <c r="C1118" s="1" t="s">
        <v>1284</v>
      </c>
      <c r="D1118" s="1" t="s">
        <v>19</v>
      </c>
      <c r="E1118" s="5" t="s">
        <v>1892</v>
      </c>
      <c r="F1118" s="4" t="str">
        <f>"773.07"</f>
        <v>773.07</v>
      </c>
      <c r="G1118" s="4" t="str">
        <f>"773.07"</f>
        <v>773.07</v>
      </c>
    </row>
    <row r="1119" spans="1:7" ht="15.75" customHeight="1" x14ac:dyDescent="0.15">
      <c r="A1119" s="1">
        <v>1115</v>
      </c>
      <c r="B1119" s="1">
        <v>11242</v>
      </c>
      <c r="C1119" s="1" t="s">
        <v>1273</v>
      </c>
      <c r="D1119" s="1" t="s">
        <v>5</v>
      </c>
      <c r="E1119" s="5" t="s">
        <v>1892</v>
      </c>
      <c r="F1119" s="4" t="str">
        <f>"780.70"</f>
        <v>780.70</v>
      </c>
      <c r="G1119" s="4"/>
    </row>
    <row r="1120" spans="1:7" ht="15.75" customHeight="1" x14ac:dyDescent="0.15">
      <c r="A1120" s="1">
        <v>1116</v>
      </c>
      <c r="B1120" s="1">
        <v>5766</v>
      </c>
      <c r="C1120" s="1" t="s">
        <v>1285</v>
      </c>
      <c r="D1120" s="1" t="s">
        <v>93</v>
      </c>
      <c r="E1120" s="5" t="s">
        <v>1892</v>
      </c>
      <c r="F1120" s="4" t="str">
        <f>"782.07"</f>
        <v>782.07</v>
      </c>
      <c r="G1120" s="4" t="str">
        <f>"782.07"</f>
        <v>782.07</v>
      </c>
    </row>
    <row r="1121" spans="1:7" ht="15.75" customHeight="1" x14ac:dyDescent="0.15">
      <c r="A1121" s="1">
        <v>1117</v>
      </c>
      <c r="B1121" s="1">
        <v>10956</v>
      </c>
      <c r="C1121" s="1" t="s">
        <v>1286</v>
      </c>
      <c r="D1121" s="1" t="s">
        <v>19</v>
      </c>
      <c r="E1121" s="5" t="s">
        <v>1892</v>
      </c>
      <c r="F1121" s="4" t="str">
        <f>"782.96"</f>
        <v>782.96</v>
      </c>
      <c r="G1121" s="4" t="str">
        <f>"782.96"</f>
        <v>782.96</v>
      </c>
    </row>
    <row r="1122" spans="1:7" ht="15.75" customHeight="1" x14ac:dyDescent="0.15">
      <c r="A1122" s="1">
        <v>1118</v>
      </c>
      <c r="B1122" s="1">
        <v>10908</v>
      </c>
      <c r="C1122" s="1" t="s">
        <v>1222</v>
      </c>
      <c r="D1122" s="1" t="s">
        <v>5</v>
      </c>
      <c r="E1122" s="5" t="s">
        <v>1892</v>
      </c>
      <c r="F1122" s="4" t="str">
        <f>"784.79"</f>
        <v>784.79</v>
      </c>
      <c r="G1122" s="4" t="str">
        <f>"981.87"</f>
        <v>981.87</v>
      </c>
    </row>
    <row r="1123" spans="1:7" ht="15.75" customHeight="1" x14ac:dyDescent="0.15">
      <c r="A1123" s="1">
        <v>1119</v>
      </c>
      <c r="B1123" s="1">
        <v>10476</v>
      </c>
      <c r="C1123" s="1" t="s">
        <v>1287</v>
      </c>
      <c r="D1123" s="1" t="s">
        <v>19</v>
      </c>
      <c r="E1123" s="5" t="s">
        <v>1892</v>
      </c>
      <c r="F1123" s="4" t="str">
        <f>"790.44"</f>
        <v>790.44</v>
      </c>
      <c r="G1123" s="4" t="str">
        <f>"790.44"</f>
        <v>790.44</v>
      </c>
    </row>
    <row r="1124" spans="1:7" ht="15.75" customHeight="1" x14ac:dyDescent="0.15">
      <c r="A1124" s="1">
        <v>1120</v>
      </c>
      <c r="B1124" s="1">
        <v>11243</v>
      </c>
      <c r="C1124" s="1" t="s">
        <v>1278</v>
      </c>
      <c r="D1124" s="1" t="s">
        <v>5</v>
      </c>
      <c r="E1124" s="5" t="s">
        <v>1892</v>
      </c>
      <c r="F1124" s="4" t="str">
        <f>"797.75"</f>
        <v>797.75</v>
      </c>
      <c r="G1124" s="4"/>
    </row>
    <row r="1125" spans="1:7" ht="15.75" customHeight="1" x14ac:dyDescent="0.15">
      <c r="A1125" s="1">
        <v>1121</v>
      </c>
      <c r="B1125" s="1">
        <v>10732</v>
      </c>
      <c r="C1125" s="1" t="s">
        <v>1194</v>
      </c>
      <c r="D1125" s="1" t="s">
        <v>5</v>
      </c>
      <c r="E1125" s="5" t="s">
        <v>1892</v>
      </c>
      <c r="F1125" s="4" t="str">
        <f>"809.90"</f>
        <v>809.90</v>
      </c>
      <c r="G1125" s="4" t="str">
        <f>"1077.49"</f>
        <v>1077.49</v>
      </c>
    </row>
    <row r="1126" spans="1:7" ht="15.75" customHeight="1" x14ac:dyDescent="0.15">
      <c r="A1126" s="1">
        <v>1122</v>
      </c>
      <c r="B1126" s="1">
        <v>10688</v>
      </c>
      <c r="C1126" s="1" t="s">
        <v>1283</v>
      </c>
      <c r="D1126" s="1" t="s">
        <v>85</v>
      </c>
      <c r="E1126" s="5" t="s">
        <v>1892</v>
      </c>
      <c r="F1126" s="4" t="str">
        <f>"810.61"</f>
        <v>810.61</v>
      </c>
      <c r="G1126" s="4"/>
    </row>
    <row r="1127" spans="1:7" ht="15.75" customHeight="1" x14ac:dyDescent="0.15">
      <c r="A1127" s="1">
        <v>1123</v>
      </c>
      <c r="B1127" s="1">
        <v>11399</v>
      </c>
      <c r="C1127" s="1" t="s">
        <v>1288</v>
      </c>
      <c r="D1127" s="1" t="s">
        <v>5</v>
      </c>
      <c r="E1127" s="5" t="s">
        <v>1892</v>
      </c>
      <c r="F1127" s="4" t="str">
        <f>"837.02"</f>
        <v>837.02</v>
      </c>
      <c r="G1127" s="4"/>
    </row>
    <row r="1128" spans="1:7" ht="15.75" customHeight="1" x14ac:dyDescent="0.15">
      <c r="A1128" s="1">
        <v>1124</v>
      </c>
      <c r="B1128" s="1">
        <v>10887</v>
      </c>
      <c r="C1128" s="1" t="s">
        <v>1289</v>
      </c>
      <c r="D1128" s="1" t="s">
        <v>5</v>
      </c>
      <c r="E1128" s="5" t="s">
        <v>1892</v>
      </c>
      <c r="F1128" s="4" t="str">
        <f>"842.97"</f>
        <v>842.97</v>
      </c>
      <c r="G1128" s="4" t="str">
        <f>"842.97"</f>
        <v>842.97</v>
      </c>
    </row>
    <row r="1129" spans="1:7" ht="15.75" customHeight="1" x14ac:dyDescent="0.15">
      <c r="A1129" s="1">
        <v>1125</v>
      </c>
      <c r="B1129" s="1">
        <v>10393</v>
      </c>
      <c r="C1129" s="1" t="s">
        <v>1290</v>
      </c>
      <c r="D1129" s="1" t="s">
        <v>19</v>
      </c>
      <c r="E1129" s="5" t="s">
        <v>1892</v>
      </c>
      <c r="F1129" s="4" t="str">
        <f>"848.49"</f>
        <v>848.49</v>
      </c>
      <c r="G1129" s="4" t="str">
        <f>"848.49"</f>
        <v>848.49</v>
      </c>
    </row>
    <row r="1130" spans="1:7" ht="15.75" customHeight="1" x14ac:dyDescent="0.15">
      <c r="A1130" s="1">
        <v>1126</v>
      </c>
      <c r="B1130" s="1">
        <v>10780</v>
      </c>
      <c r="C1130" s="1" t="s">
        <v>1291</v>
      </c>
      <c r="D1130" s="1" t="s">
        <v>19</v>
      </c>
      <c r="E1130" s="5" t="s">
        <v>1892</v>
      </c>
      <c r="F1130" s="4" t="str">
        <f>"852.11"</f>
        <v>852.11</v>
      </c>
      <c r="G1130" s="4" t="str">
        <f>"852.11"</f>
        <v>852.11</v>
      </c>
    </row>
    <row r="1131" spans="1:7" ht="15.75" customHeight="1" x14ac:dyDescent="0.15">
      <c r="A1131" s="1">
        <v>1127</v>
      </c>
      <c r="B1131" s="1">
        <v>10471</v>
      </c>
      <c r="C1131" s="1" t="s">
        <v>1292</v>
      </c>
      <c r="D1131" s="1" t="s">
        <v>19</v>
      </c>
      <c r="E1131" s="5" t="s">
        <v>1892</v>
      </c>
      <c r="F1131" s="4" t="str">
        <f>"853.06"</f>
        <v>853.06</v>
      </c>
      <c r="G1131" s="4" t="str">
        <f>"853.06"</f>
        <v>853.06</v>
      </c>
    </row>
    <row r="1132" spans="1:7" ht="15.75" customHeight="1" x14ac:dyDescent="0.15">
      <c r="A1132" s="1">
        <v>1128</v>
      </c>
      <c r="B1132" s="1">
        <v>10468</v>
      </c>
      <c r="C1132" s="1" t="s">
        <v>1293</v>
      </c>
      <c r="D1132" s="1" t="s">
        <v>19</v>
      </c>
      <c r="E1132" s="5" t="s">
        <v>1892</v>
      </c>
      <c r="F1132" s="4" t="str">
        <f>"854.89"</f>
        <v>854.89</v>
      </c>
      <c r="G1132" s="4" t="str">
        <f>"854.89"</f>
        <v>854.89</v>
      </c>
    </row>
    <row r="1133" spans="1:7" ht="15.75" customHeight="1" x14ac:dyDescent="0.15">
      <c r="A1133" s="1">
        <v>1129</v>
      </c>
      <c r="B1133" s="1">
        <v>10763</v>
      </c>
      <c r="C1133" s="1" t="s">
        <v>1294</v>
      </c>
      <c r="D1133" s="1" t="s">
        <v>19</v>
      </c>
      <c r="E1133" s="5" t="s">
        <v>1892</v>
      </c>
      <c r="F1133" s="4" t="str">
        <f>"864.49"</f>
        <v>864.49</v>
      </c>
      <c r="G1133" s="4" t="str">
        <f>"864.49"</f>
        <v>864.49</v>
      </c>
    </row>
    <row r="1134" spans="1:7" ht="15.75" customHeight="1" x14ac:dyDescent="0.15">
      <c r="A1134" s="1">
        <v>1130</v>
      </c>
      <c r="B1134" s="1">
        <v>11059</v>
      </c>
      <c r="C1134" s="1" t="s">
        <v>1296</v>
      </c>
      <c r="D1134" s="1" t="s">
        <v>58</v>
      </c>
      <c r="E1134" s="5" t="s">
        <v>1892</v>
      </c>
      <c r="F1134" s="4" t="str">
        <f>"890.62"</f>
        <v>890.62</v>
      </c>
      <c r="G1134" s="4" t="str">
        <f>"890.62"</f>
        <v>890.62</v>
      </c>
    </row>
    <row r="1135" spans="1:7" ht="15.75" customHeight="1" x14ac:dyDescent="0.15">
      <c r="A1135" s="1">
        <v>1131</v>
      </c>
      <c r="B1135" s="1">
        <v>10788</v>
      </c>
      <c r="C1135" s="1" t="s">
        <v>1297</v>
      </c>
      <c r="D1135" s="1" t="s">
        <v>19</v>
      </c>
      <c r="E1135" s="5" t="s">
        <v>1892</v>
      </c>
      <c r="F1135" s="4" t="str">
        <f>"928.88"</f>
        <v>928.88</v>
      </c>
      <c r="G1135" s="4" t="str">
        <f>"928.88"</f>
        <v>928.88</v>
      </c>
    </row>
    <row r="1136" spans="1:7" ht="15.75" customHeight="1" x14ac:dyDescent="0.15">
      <c r="A1136" s="1">
        <v>1132</v>
      </c>
      <c r="B1136" s="1">
        <v>11251</v>
      </c>
      <c r="C1136" s="1" t="s">
        <v>1295</v>
      </c>
      <c r="D1136" s="1" t="s">
        <v>5</v>
      </c>
      <c r="E1136" s="5" t="s">
        <v>1892</v>
      </c>
      <c r="F1136" s="4" t="str">
        <f>"930.56"</f>
        <v>930.56</v>
      </c>
      <c r="G1136" s="4"/>
    </row>
    <row r="1137" spans="1:7" ht="15.75" customHeight="1" x14ac:dyDescent="0.15">
      <c r="A1137" s="1">
        <v>1133</v>
      </c>
      <c r="B1137" s="1">
        <v>10735</v>
      </c>
      <c r="C1137" s="1" t="s">
        <v>1298</v>
      </c>
      <c r="D1137" s="1" t="s">
        <v>19</v>
      </c>
      <c r="E1137" s="5" t="s">
        <v>1892</v>
      </c>
      <c r="F1137" s="4" t="str">
        <f>"978.95"</f>
        <v>978.95</v>
      </c>
      <c r="G1137" s="4" t="str">
        <f>"978.95"</f>
        <v>978.95</v>
      </c>
    </row>
    <row r="1138" spans="1:7" ht="15.75" customHeight="1" x14ac:dyDescent="0.15">
      <c r="A1138" s="1">
        <v>1134</v>
      </c>
      <c r="B1138" s="1">
        <v>10721</v>
      </c>
      <c r="C1138" s="1" t="s">
        <v>1299</v>
      </c>
      <c r="D1138" s="1" t="s">
        <v>19</v>
      </c>
      <c r="E1138" s="5" t="s">
        <v>1892</v>
      </c>
      <c r="F1138" s="4" t="str">
        <f>"1067.44"</f>
        <v>1067.44</v>
      </c>
      <c r="G1138" s="4" t="str">
        <f>"1067.44"</f>
        <v>1067.44</v>
      </c>
    </row>
    <row r="1139" spans="1:7" ht="15.75" customHeight="1" x14ac:dyDescent="0.15">
      <c r="A1139" s="1">
        <v>1135</v>
      </c>
      <c r="B1139" s="1">
        <v>10798</v>
      </c>
      <c r="C1139" s="1" t="s">
        <v>1300</v>
      </c>
      <c r="D1139" s="1" t="s">
        <v>19</v>
      </c>
      <c r="E1139" s="5" t="s">
        <v>1892</v>
      </c>
      <c r="F1139" s="4" t="str">
        <f>"1210.05"</f>
        <v>1210.05</v>
      </c>
      <c r="G1139" s="4" t="str">
        <f>"1210.05"</f>
        <v>1210.05</v>
      </c>
    </row>
    <row r="1140" spans="1:7" ht="15.75" customHeight="1" x14ac:dyDescent="0.15">
      <c r="A1140" s="1">
        <v>1136</v>
      </c>
      <c r="B1140" s="1">
        <v>10762</v>
      </c>
      <c r="C1140" s="1" t="s">
        <v>1301</v>
      </c>
      <c r="D1140" s="1" t="s">
        <v>19</v>
      </c>
      <c r="E1140" s="5" t="s">
        <v>1892</v>
      </c>
      <c r="F1140" s="4" t="str">
        <f>"1222.39"</f>
        <v>1222.39</v>
      </c>
      <c r="G1140" s="4" t="str">
        <f>"1222.39"</f>
        <v>1222.39</v>
      </c>
    </row>
    <row r="1141" spans="1:7" ht="15.75" customHeight="1" x14ac:dyDescent="0.15">
      <c r="A1141" s="1">
        <v>1137</v>
      </c>
      <c r="B1141" s="1">
        <v>10779</v>
      </c>
      <c r="C1141" s="1" t="s">
        <v>1302</v>
      </c>
      <c r="D1141" s="1" t="s">
        <v>19</v>
      </c>
      <c r="E1141" s="5" t="s">
        <v>1892</v>
      </c>
      <c r="F1141" s="4" t="str">
        <f>"1266.27"</f>
        <v>1266.27</v>
      </c>
      <c r="G1141" s="4" t="str">
        <f>"1266.27"</f>
        <v>1266.27</v>
      </c>
    </row>
    <row r="1142" spans="1:7" ht="15.75" customHeight="1" x14ac:dyDescent="0.15">
      <c r="A1142" s="1">
        <v>1138</v>
      </c>
      <c r="B1142" s="1">
        <v>10797</v>
      </c>
      <c r="C1142" s="1" t="s">
        <v>1303</v>
      </c>
      <c r="D1142" s="1" t="s">
        <v>19</v>
      </c>
      <c r="E1142" s="5" t="s">
        <v>1892</v>
      </c>
      <c r="F1142" s="4" t="str">
        <f>"1307.41"</f>
        <v>1307.41</v>
      </c>
      <c r="G1142" s="4" t="str">
        <f>"1307.41"</f>
        <v>1307.41</v>
      </c>
    </row>
    <row r="1143" spans="1:7" ht="15.75" customHeight="1" x14ac:dyDescent="0.15">
      <c r="A1143" s="1">
        <v>1139</v>
      </c>
      <c r="B1143" s="1">
        <v>10789</v>
      </c>
      <c r="C1143" s="1" t="s">
        <v>1304</v>
      </c>
      <c r="D1143" s="1" t="s">
        <v>19</v>
      </c>
      <c r="E1143" s="5" t="s">
        <v>1892</v>
      </c>
      <c r="F1143" s="4" t="str">
        <f>"1392.64"</f>
        <v>1392.64</v>
      </c>
      <c r="G1143" s="4" t="str">
        <f>"1392.64"</f>
        <v>1392.64</v>
      </c>
    </row>
    <row r="1144" spans="1:7" ht="15.75" customHeight="1" x14ac:dyDescent="0.15">
      <c r="A1144" s="1">
        <v>1140</v>
      </c>
      <c r="B1144" s="1">
        <v>10982</v>
      </c>
      <c r="C1144" s="1" t="s">
        <v>816</v>
      </c>
      <c r="D1144" s="1" t="s">
        <v>28</v>
      </c>
      <c r="E1144" s="5" t="s">
        <v>1892</v>
      </c>
      <c r="F1144" s="4"/>
      <c r="G1144" s="4"/>
    </row>
    <row r="1145" spans="1:7" ht="15.75" customHeight="1" x14ac:dyDescent="0.15">
      <c r="A1145" s="1">
        <v>1140</v>
      </c>
      <c r="B1145" s="1">
        <v>5431</v>
      </c>
      <c r="C1145" s="1" t="s">
        <v>1305</v>
      </c>
      <c r="D1145" s="1" t="s">
        <v>28</v>
      </c>
      <c r="E1145" s="5" t="s">
        <v>1892</v>
      </c>
      <c r="F1145" s="4"/>
      <c r="G1145" s="4"/>
    </row>
    <row r="1146" spans="1:7" ht="15.75" customHeight="1" x14ac:dyDescent="0.15">
      <c r="A1146" s="1">
        <v>1140</v>
      </c>
      <c r="B1146" s="1">
        <v>4321</v>
      </c>
      <c r="C1146" s="1" t="s">
        <v>1306</v>
      </c>
      <c r="D1146" s="1" t="s">
        <v>52</v>
      </c>
      <c r="E1146" s="5" t="s">
        <v>1892</v>
      </c>
      <c r="F1146" s="4"/>
      <c r="G1146" s="4"/>
    </row>
    <row r="1147" spans="1:7" ht="15.75" customHeight="1" x14ac:dyDescent="0.15">
      <c r="A1147" s="1">
        <v>1140</v>
      </c>
      <c r="B1147" s="1">
        <v>7672</v>
      </c>
      <c r="C1147" s="1" t="s">
        <v>1307</v>
      </c>
      <c r="D1147" s="1" t="s">
        <v>34</v>
      </c>
      <c r="E1147" s="5" t="s">
        <v>1892</v>
      </c>
      <c r="F1147" s="4"/>
      <c r="G1147" s="4"/>
    </row>
    <row r="1148" spans="1:7" ht="15.75" customHeight="1" x14ac:dyDescent="0.15">
      <c r="A1148" s="1">
        <v>1140</v>
      </c>
      <c r="B1148" s="1">
        <v>1949</v>
      </c>
      <c r="C1148" s="1" t="s">
        <v>1308</v>
      </c>
      <c r="D1148" s="1" t="s">
        <v>34</v>
      </c>
      <c r="E1148" s="5" t="s">
        <v>1892</v>
      </c>
      <c r="F1148" s="4"/>
      <c r="G1148" s="4"/>
    </row>
    <row r="1149" spans="1:7" ht="15.75" customHeight="1" x14ac:dyDescent="0.15">
      <c r="A1149" s="1">
        <v>1140</v>
      </c>
      <c r="B1149" s="1">
        <v>7408</v>
      </c>
      <c r="C1149" s="1" t="s">
        <v>1309</v>
      </c>
      <c r="D1149" s="1" t="s">
        <v>34</v>
      </c>
      <c r="E1149" s="5" t="s">
        <v>1892</v>
      </c>
      <c r="F1149" s="4"/>
      <c r="G1149" s="4"/>
    </row>
    <row r="1150" spans="1:7" ht="15.75" customHeight="1" x14ac:dyDescent="0.15">
      <c r="A1150" s="1">
        <v>1140</v>
      </c>
      <c r="B1150" s="1">
        <v>10983</v>
      </c>
      <c r="C1150" s="1" t="s">
        <v>1310</v>
      </c>
      <c r="D1150" s="1" t="s">
        <v>1311</v>
      </c>
      <c r="E1150" s="5" t="s">
        <v>1892</v>
      </c>
      <c r="F1150" s="4"/>
      <c r="G1150" s="4"/>
    </row>
    <row r="1151" spans="1:7" ht="15.75" customHeight="1" x14ac:dyDescent="0.15">
      <c r="A1151" s="1">
        <v>1140</v>
      </c>
      <c r="B1151" s="1">
        <v>10985</v>
      </c>
      <c r="C1151" s="1" t="s">
        <v>1312</v>
      </c>
      <c r="D1151" s="1" t="s">
        <v>1311</v>
      </c>
      <c r="E1151" s="5" t="s">
        <v>1892</v>
      </c>
      <c r="F1151" s="4"/>
      <c r="G1151" s="4"/>
    </row>
    <row r="1152" spans="1:7" ht="15.75" customHeight="1" x14ac:dyDescent="0.15">
      <c r="A1152" s="1">
        <v>1140</v>
      </c>
      <c r="B1152" s="1">
        <v>10986</v>
      </c>
      <c r="C1152" s="1" t="s">
        <v>1313</v>
      </c>
      <c r="D1152" s="1" t="s">
        <v>1311</v>
      </c>
      <c r="E1152" s="5" t="s">
        <v>1892</v>
      </c>
      <c r="F1152" s="4"/>
      <c r="G1152" s="4"/>
    </row>
    <row r="1153" spans="1:7" ht="15.75" customHeight="1" x14ac:dyDescent="0.15">
      <c r="A1153" s="1">
        <v>1140</v>
      </c>
      <c r="B1153" s="1">
        <v>10984</v>
      </c>
      <c r="C1153" s="1" t="s">
        <v>1314</v>
      </c>
      <c r="D1153" s="1" t="s">
        <v>1311</v>
      </c>
      <c r="E1153" s="5" t="s">
        <v>1892</v>
      </c>
      <c r="F1153" s="4"/>
      <c r="G1153" s="4"/>
    </row>
    <row r="1154" spans="1:7" ht="15.75" customHeight="1" x14ac:dyDescent="0.15">
      <c r="A1154" s="1">
        <v>1140</v>
      </c>
      <c r="B1154" s="1">
        <v>10321</v>
      </c>
      <c r="C1154" s="1" t="s">
        <v>1315</v>
      </c>
      <c r="D1154" s="1" t="s">
        <v>1311</v>
      </c>
      <c r="E1154" s="5" t="s">
        <v>1892</v>
      </c>
      <c r="F1154" s="4"/>
      <c r="G1154" s="4"/>
    </row>
    <row r="1155" spans="1:7" ht="15.75" customHeight="1" x14ac:dyDescent="0.15">
      <c r="A1155" s="1">
        <v>1140</v>
      </c>
      <c r="B1155" s="1">
        <v>11410</v>
      </c>
      <c r="C1155" s="1" t="s">
        <v>1316</v>
      </c>
      <c r="D1155" s="1" t="s">
        <v>89</v>
      </c>
      <c r="E1155" s="5" t="s">
        <v>1892</v>
      </c>
      <c r="F1155" s="4"/>
      <c r="G1155" s="4"/>
    </row>
    <row r="1156" spans="1:7" ht="15.75" customHeight="1" x14ac:dyDescent="0.15">
      <c r="A1156" s="1">
        <v>1140</v>
      </c>
      <c r="B1156" s="1">
        <v>2699</v>
      </c>
      <c r="C1156" s="1" t="s">
        <v>1317</v>
      </c>
      <c r="D1156" s="1" t="s">
        <v>89</v>
      </c>
      <c r="E1156" s="5" t="s">
        <v>1892</v>
      </c>
      <c r="F1156" s="4"/>
      <c r="G1156" s="4"/>
    </row>
    <row r="1157" spans="1:7" ht="15.75" customHeight="1" x14ac:dyDescent="0.15">
      <c r="A1157" s="1">
        <v>1140</v>
      </c>
      <c r="B1157" s="1">
        <v>573</v>
      </c>
      <c r="C1157" s="1" t="s">
        <v>1318</v>
      </c>
      <c r="D1157" s="1" t="s">
        <v>89</v>
      </c>
      <c r="E1157" s="5" t="s">
        <v>1892</v>
      </c>
      <c r="F1157" s="4"/>
      <c r="G1157" s="4"/>
    </row>
    <row r="1158" spans="1:7" ht="15.75" customHeight="1" x14ac:dyDescent="0.15">
      <c r="A1158" s="1">
        <v>1140</v>
      </c>
      <c r="B1158" s="1">
        <v>1305</v>
      </c>
      <c r="C1158" s="1" t="s">
        <v>1319</v>
      </c>
      <c r="D1158" s="1" t="s">
        <v>89</v>
      </c>
      <c r="E1158" s="5" t="s">
        <v>1892</v>
      </c>
      <c r="F1158" s="4"/>
      <c r="G1158" s="4"/>
    </row>
    <row r="1159" spans="1:7" ht="15.75" customHeight="1" x14ac:dyDescent="0.15">
      <c r="A1159" s="1">
        <v>1140</v>
      </c>
      <c r="B1159" s="1">
        <v>11273</v>
      </c>
      <c r="C1159" s="1" t="s">
        <v>1320</v>
      </c>
      <c r="D1159" s="1" t="s">
        <v>5</v>
      </c>
      <c r="E1159" s="5" t="s">
        <v>1892</v>
      </c>
      <c r="F1159" s="4"/>
      <c r="G1159" s="4"/>
    </row>
    <row r="1160" spans="1:7" ht="15.75" customHeight="1" x14ac:dyDescent="0.15">
      <c r="A1160" s="1">
        <v>1140</v>
      </c>
      <c r="B1160" s="1">
        <v>11305</v>
      </c>
      <c r="C1160" s="1" t="s">
        <v>1321</v>
      </c>
      <c r="D1160" s="1" t="s">
        <v>5</v>
      </c>
      <c r="E1160" s="5" t="s">
        <v>1892</v>
      </c>
      <c r="F1160" s="4"/>
      <c r="G1160" s="4"/>
    </row>
    <row r="1161" spans="1:7" ht="15.75" customHeight="1" x14ac:dyDescent="0.15">
      <c r="A1161" s="1">
        <v>1140</v>
      </c>
      <c r="B1161" s="1">
        <v>10922</v>
      </c>
      <c r="C1161" s="1" t="s">
        <v>1322</v>
      </c>
      <c r="D1161" s="1" t="s">
        <v>5</v>
      </c>
      <c r="E1161" s="5" t="s">
        <v>1892</v>
      </c>
      <c r="F1161" s="4"/>
      <c r="G1161" s="4"/>
    </row>
    <row r="1162" spans="1:7" ht="15.75" customHeight="1" x14ac:dyDescent="0.15">
      <c r="A1162" s="1">
        <v>1140</v>
      </c>
      <c r="B1162" s="1">
        <v>10633</v>
      </c>
      <c r="C1162" s="1" t="s">
        <v>1323</v>
      </c>
      <c r="D1162" s="1" t="s">
        <v>5</v>
      </c>
      <c r="E1162" s="5" t="s">
        <v>1892</v>
      </c>
      <c r="F1162" s="4"/>
      <c r="G1162" s="4"/>
    </row>
    <row r="1163" spans="1:7" ht="15.75" customHeight="1" x14ac:dyDescent="0.15">
      <c r="A1163" s="1">
        <v>1140</v>
      </c>
      <c r="B1163" s="1">
        <v>11311</v>
      </c>
      <c r="C1163" s="1" t="s">
        <v>1324</v>
      </c>
      <c r="D1163" s="1" t="s">
        <v>5</v>
      </c>
      <c r="E1163" s="5" t="s">
        <v>1892</v>
      </c>
      <c r="F1163" s="4"/>
      <c r="G1163" s="4"/>
    </row>
    <row r="1164" spans="1:7" ht="15.75" customHeight="1" x14ac:dyDescent="0.15">
      <c r="A1164" s="1">
        <v>1140</v>
      </c>
      <c r="B1164" s="1">
        <v>11286</v>
      </c>
      <c r="C1164" s="1" t="s">
        <v>1325</v>
      </c>
      <c r="D1164" s="1" t="s">
        <v>5</v>
      </c>
      <c r="E1164" s="5" t="s">
        <v>1892</v>
      </c>
      <c r="F1164" s="4"/>
      <c r="G1164" s="4"/>
    </row>
    <row r="1165" spans="1:7" ht="15.75" customHeight="1" x14ac:dyDescent="0.15">
      <c r="A1165" s="1">
        <v>1140</v>
      </c>
      <c r="B1165" s="1">
        <v>11316</v>
      </c>
      <c r="C1165" s="1" t="s">
        <v>1326</v>
      </c>
      <c r="D1165" s="1" t="s">
        <v>5</v>
      </c>
      <c r="E1165" s="5" t="s">
        <v>1892</v>
      </c>
      <c r="F1165" s="4"/>
      <c r="G1165" s="4"/>
    </row>
    <row r="1166" spans="1:7" ht="15.75" customHeight="1" x14ac:dyDescent="0.15">
      <c r="A1166" s="1">
        <v>1140</v>
      </c>
      <c r="B1166" s="1">
        <v>11317</v>
      </c>
      <c r="C1166" s="1" t="s">
        <v>1327</v>
      </c>
      <c r="D1166" s="1" t="s">
        <v>5</v>
      </c>
      <c r="E1166" s="5" t="s">
        <v>1892</v>
      </c>
      <c r="F1166" s="4"/>
      <c r="G1166" s="4"/>
    </row>
    <row r="1167" spans="1:7" ht="15.75" customHeight="1" x14ac:dyDescent="0.15">
      <c r="A1167" s="1">
        <v>1140</v>
      </c>
      <c r="B1167" s="1">
        <v>10932</v>
      </c>
      <c r="C1167" s="1" t="s">
        <v>1328</v>
      </c>
      <c r="D1167" s="1" t="s">
        <v>5</v>
      </c>
      <c r="E1167" s="5" t="s">
        <v>1892</v>
      </c>
      <c r="F1167" s="4"/>
      <c r="G1167" s="4"/>
    </row>
    <row r="1168" spans="1:7" ht="15.75" customHeight="1" x14ac:dyDescent="0.15">
      <c r="A1168" s="1">
        <v>1140</v>
      </c>
      <c r="B1168" s="1">
        <v>11298</v>
      </c>
      <c r="C1168" s="1" t="s">
        <v>1329</v>
      </c>
      <c r="D1168" s="1" t="s">
        <v>5</v>
      </c>
      <c r="E1168" s="5" t="s">
        <v>1892</v>
      </c>
      <c r="F1168" s="4"/>
      <c r="G1168" s="4"/>
    </row>
    <row r="1169" spans="1:7" ht="15.75" customHeight="1" x14ac:dyDescent="0.15">
      <c r="A1169" s="1">
        <v>1140</v>
      </c>
      <c r="B1169" s="1">
        <v>10923</v>
      </c>
      <c r="C1169" s="1" t="s">
        <v>1330</v>
      </c>
      <c r="D1169" s="1" t="s">
        <v>5</v>
      </c>
      <c r="E1169" s="5" t="s">
        <v>1892</v>
      </c>
      <c r="F1169" s="4"/>
      <c r="G1169" s="4"/>
    </row>
    <row r="1170" spans="1:7" ht="15.75" customHeight="1" x14ac:dyDescent="0.15">
      <c r="A1170" s="1">
        <v>1140</v>
      </c>
      <c r="B1170" s="1">
        <v>10935</v>
      </c>
      <c r="C1170" s="1" t="s">
        <v>1331</v>
      </c>
      <c r="D1170" s="1" t="s">
        <v>5</v>
      </c>
      <c r="E1170" s="5" t="s">
        <v>1892</v>
      </c>
      <c r="F1170" s="4"/>
      <c r="G1170" s="4"/>
    </row>
    <row r="1171" spans="1:7" ht="15.75" customHeight="1" x14ac:dyDescent="0.15">
      <c r="A1171" s="1">
        <v>1140</v>
      </c>
      <c r="B1171" s="1">
        <v>11287</v>
      </c>
      <c r="C1171" s="1" t="s">
        <v>1332</v>
      </c>
      <c r="D1171" s="1" t="s">
        <v>5</v>
      </c>
      <c r="E1171" s="5" t="s">
        <v>1892</v>
      </c>
      <c r="F1171" s="4"/>
      <c r="G1171" s="4"/>
    </row>
    <row r="1172" spans="1:7" ht="15.75" customHeight="1" x14ac:dyDescent="0.15">
      <c r="A1172" s="1">
        <v>1140</v>
      </c>
      <c r="B1172" s="1">
        <v>10630</v>
      </c>
      <c r="C1172" s="1" t="s">
        <v>1333</v>
      </c>
      <c r="D1172" s="1" t="s">
        <v>5</v>
      </c>
      <c r="E1172" s="5" t="s">
        <v>1892</v>
      </c>
      <c r="F1172" s="4"/>
      <c r="G1172" s="4"/>
    </row>
    <row r="1173" spans="1:7" ht="15.75" customHeight="1" x14ac:dyDescent="0.15">
      <c r="A1173" s="1">
        <v>1140</v>
      </c>
      <c r="B1173" s="1">
        <v>10942</v>
      </c>
      <c r="C1173" s="1" t="s">
        <v>1334</v>
      </c>
      <c r="D1173" s="1" t="s">
        <v>5</v>
      </c>
      <c r="E1173" s="5" t="s">
        <v>1892</v>
      </c>
      <c r="F1173" s="4"/>
      <c r="G1173" s="4"/>
    </row>
    <row r="1174" spans="1:7" ht="15.75" customHeight="1" x14ac:dyDescent="0.15">
      <c r="A1174" s="1">
        <v>1140</v>
      </c>
      <c r="B1174" s="1">
        <v>11302</v>
      </c>
      <c r="C1174" s="1" t="s">
        <v>1335</v>
      </c>
      <c r="D1174" s="1" t="s">
        <v>5</v>
      </c>
      <c r="E1174" s="5" t="s">
        <v>1892</v>
      </c>
      <c r="F1174" s="4"/>
      <c r="G1174" s="4"/>
    </row>
    <row r="1175" spans="1:7" ht="15.75" customHeight="1" x14ac:dyDescent="0.15">
      <c r="A1175" s="1">
        <v>1140</v>
      </c>
      <c r="B1175" s="1">
        <v>11310</v>
      </c>
      <c r="C1175" s="1" t="s">
        <v>1336</v>
      </c>
      <c r="D1175" s="1" t="s">
        <v>5</v>
      </c>
      <c r="E1175" s="5" t="s">
        <v>1892</v>
      </c>
      <c r="F1175" s="4"/>
      <c r="G1175" s="4"/>
    </row>
    <row r="1176" spans="1:7" ht="15.75" customHeight="1" x14ac:dyDescent="0.15">
      <c r="A1176" s="1">
        <v>1140</v>
      </c>
      <c r="B1176" s="1">
        <v>11295</v>
      </c>
      <c r="C1176" s="1" t="s">
        <v>1337</v>
      </c>
      <c r="D1176" s="1" t="s">
        <v>5</v>
      </c>
      <c r="E1176" s="5" t="s">
        <v>1892</v>
      </c>
      <c r="F1176" s="4"/>
      <c r="G1176" s="4"/>
    </row>
    <row r="1177" spans="1:7" ht="15.75" customHeight="1" x14ac:dyDescent="0.15">
      <c r="A1177" s="1">
        <v>1140</v>
      </c>
      <c r="B1177" s="1">
        <v>10820</v>
      </c>
      <c r="C1177" s="1" t="s">
        <v>1338</v>
      </c>
      <c r="D1177" s="1" t="s">
        <v>5</v>
      </c>
      <c r="E1177" s="5" t="s">
        <v>1892</v>
      </c>
      <c r="F1177" s="4"/>
      <c r="G1177" s="4"/>
    </row>
    <row r="1178" spans="1:7" ht="15.75" customHeight="1" x14ac:dyDescent="0.15">
      <c r="A1178" s="1">
        <v>1140</v>
      </c>
      <c r="B1178" s="1">
        <v>11274</v>
      </c>
      <c r="C1178" s="1" t="s">
        <v>1339</v>
      </c>
      <c r="D1178" s="1" t="s">
        <v>5</v>
      </c>
      <c r="E1178" s="5" t="s">
        <v>1892</v>
      </c>
      <c r="F1178" s="4"/>
      <c r="G1178" s="4"/>
    </row>
    <row r="1179" spans="1:7" ht="15.75" customHeight="1" x14ac:dyDescent="0.15">
      <c r="A1179" s="1">
        <v>1140</v>
      </c>
      <c r="B1179" s="1">
        <v>11312</v>
      </c>
      <c r="C1179" s="1" t="s">
        <v>1340</v>
      </c>
      <c r="D1179" s="1" t="s">
        <v>5</v>
      </c>
      <c r="E1179" s="5" t="s">
        <v>1892</v>
      </c>
      <c r="F1179" s="4"/>
      <c r="G1179" s="4"/>
    </row>
    <row r="1180" spans="1:7" ht="15.75" customHeight="1" x14ac:dyDescent="0.15">
      <c r="A1180" s="1">
        <v>1140</v>
      </c>
      <c r="B1180" s="1">
        <v>11244</v>
      </c>
      <c r="C1180" s="1" t="s">
        <v>1341</v>
      </c>
      <c r="D1180" s="1" t="s">
        <v>5</v>
      </c>
      <c r="E1180" s="5" t="s">
        <v>1892</v>
      </c>
      <c r="F1180" s="4"/>
      <c r="G1180" s="4"/>
    </row>
    <row r="1181" spans="1:7" ht="15.75" customHeight="1" x14ac:dyDescent="0.15">
      <c r="A1181" s="1">
        <v>1140</v>
      </c>
      <c r="B1181" s="1">
        <v>11275</v>
      </c>
      <c r="C1181" s="1" t="s">
        <v>1342</v>
      </c>
      <c r="D1181" s="1" t="s">
        <v>5</v>
      </c>
      <c r="E1181" s="5" t="s">
        <v>1892</v>
      </c>
      <c r="F1181" s="4"/>
      <c r="G1181" s="4"/>
    </row>
    <row r="1182" spans="1:7" ht="15.75" customHeight="1" x14ac:dyDescent="0.15">
      <c r="A1182" s="1">
        <v>1140</v>
      </c>
      <c r="B1182" s="1">
        <v>10720</v>
      </c>
      <c r="C1182" s="1" t="s">
        <v>1343</v>
      </c>
      <c r="D1182" s="1" t="s">
        <v>5</v>
      </c>
      <c r="E1182" s="5" t="s">
        <v>1892</v>
      </c>
      <c r="F1182" s="4"/>
      <c r="G1182" s="4"/>
    </row>
    <row r="1183" spans="1:7" ht="15.75" customHeight="1" x14ac:dyDescent="0.15">
      <c r="A1183" s="1">
        <v>1140</v>
      </c>
      <c r="B1183" s="1">
        <v>11269</v>
      </c>
      <c r="C1183" s="1" t="s">
        <v>1344</v>
      </c>
      <c r="D1183" s="1" t="s">
        <v>5</v>
      </c>
      <c r="E1183" s="5" t="s">
        <v>1892</v>
      </c>
      <c r="F1183" s="4"/>
      <c r="G1183" s="4"/>
    </row>
    <row r="1184" spans="1:7" ht="15.75" customHeight="1" x14ac:dyDescent="0.15">
      <c r="A1184" s="1">
        <v>1140</v>
      </c>
      <c r="B1184" s="1">
        <v>10902</v>
      </c>
      <c r="C1184" s="1" t="s">
        <v>1345</v>
      </c>
      <c r="D1184" s="1" t="s">
        <v>5</v>
      </c>
      <c r="E1184" s="5" t="s">
        <v>1892</v>
      </c>
      <c r="F1184" s="4"/>
      <c r="G1184" s="4"/>
    </row>
    <row r="1185" spans="1:7" ht="15.75" customHeight="1" x14ac:dyDescent="0.15">
      <c r="A1185" s="1">
        <v>1140</v>
      </c>
      <c r="B1185" s="1">
        <v>10931</v>
      </c>
      <c r="C1185" s="1" t="s">
        <v>1346</v>
      </c>
      <c r="D1185" s="1" t="s">
        <v>5</v>
      </c>
      <c r="E1185" s="5" t="s">
        <v>1892</v>
      </c>
      <c r="F1185" s="4"/>
      <c r="G1185" s="4"/>
    </row>
    <row r="1186" spans="1:7" ht="15.75" customHeight="1" x14ac:dyDescent="0.15">
      <c r="A1186" s="1">
        <v>1140</v>
      </c>
      <c r="B1186" s="1">
        <v>10928</v>
      </c>
      <c r="C1186" s="1" t="s">
        <v>1347</v>
      </c>
      <c r="D1186" s="1" t="s">
        <v>5</v>
      </c>
      <c r="E1186" s="5" t="s">
        <v>1892</v>
      </c>
      <c r="F1186" s="4"/>
      <c r="G1186" s="4"/>
    </row>
    <row r="1187" spans="1:7" ht="15.75" customHeight="1" x14ac:dyDescent="0.15">
      <c r="A1187" s="1">
        <v>1140</v>
      </c>
      <c r="B1187" s="1">
        <v>10632</v>
      </c>
      <c r="C1187" s="1" t="s">
        <v>1348</v>
      </c>
      <c r="D1187" s="1" t="s">
        <v>5</v>
      </c>
      <c r="E1187" s="5" t="s">
        <v>1892</v>
      </c>
      <c r="F1187" s="4"/>
      <c r="G1187" s="4"/>
    </row>
    <row r="1188" spans="1:7" ht="15.75" customHeight="1" x14ac:dyDescent="0.15">
      <c r="A1188" s="1">
        <v>1140</v>
      </c>
      <c r="B1188" s="1">
        <v>10924</v>
      </c>
      <c r="C1188" s="1" t="s">
        <v>1349</v>
      </c>
      <c r="D1188" s="1" t="s">
        <v>5</v>
      </c>
      <c r="E1188" s="5" t="s">
        <v>1892</v>
      </c>
      <c r="F1188" s="4"/>
      <c r="G1188" s="4"/>
    </row>
    <row r="1189" spans="1:7" ht="15.75" customHeight="1" x14ac:dyDescent="0.15">
      <c r="A1189" s="1">
        <v>1140</v>
      </c>
      <c r="B1189" s="1">
        <v>11303</v>
      </c>
      <c r="C1189" s="1" t="s">
        <v>1350</v>
      </c>
      <c r="D1189" s="1" t="s">
        <v>5</v>
      </c>
      <c r="E1189" s="5" t="s">
        <v>1892</v>
      </c>
      <c r="F1189" s="4"/>
      <c r="G1189" s="4"/>
    </row>
    <row r="1190" spans="1:7" ht="15.75" customHeight="1" x14ac:dyDescent="0.15">
      <c r="A1190" s="1">
        <v>1140</v>
      </c>
      <c r="B1190" s="1">
        <v>10911</v>
      </c>
      <c r="C1190" s="1" t="s">
        <v>1351</v>
      </c>
      <c r="D1190" s="1" t="s">
        <v>5</v>
      </c>
      <c r="E1190" s="5" t="s">
        <v>1892</v>
      </c>
      <c r="F1190" s="4"/>
      <c r="G1190" s="4"/>
    </row>
    <row r="1191" spans="1:7" ht="15.75" customHeight="1" x14ac:dyDescent="0.15">
      <c r="A1191" s="1">
        <v>1140</v>
      </c>
      <c r="B1191" s="1">
        <v>10934</v>
      </c>
      <c r="C1191" s="1" t="s">
        <v>1352</v>
      </c>
      <c r="D1191" s="1" t="s">
        <v>5</v>
      </c>
      <c r="E1191" s="5" t="s">
        <v>1892</v>
      </c>
      <c r="F1191" s="4"/>
      <c r="G1191" s="4"/>
    </row>
    <row r="1192" spans="1:7" ht="15.75" customHeight="1" x14ac:dyDescent="0.15">
      <c r="A1192" s="1">
        <v>1140</v>
      </c>
      <c r="B1192" s="1">
        <v>11313</v>
      </c>
      <c r="C1192" s="1" t="s">
        <v>1353</v>
      </c>
      <c r="D1192" s="1" t="s">
        <v>5</v>
      </c>
      <c r="E1192" s="5" t="s">
        <v>1892</v>
      </c>
      <c r="F1192" s="4"/>
      <c r="G1192" s="4"/>
    </row>
    <row r="1193" spans="1:7" ht="15.75" customHeight="1" x14ac:dyDescent="0.15">
      <c r="A1193" s="1">
        <v>1140</v>
      </c>
      <c r="B1193" s="1">
        <v>10862</v>
      </c>
      <c r="C1193" s="1" t="s">
        <v>1354</v>
      </c>
      <c r="D1193" s="1" t="s">
        <v>5</v>
      </c>
      <c r="E1193" s="5" t="s">
        <v>1892</v>
      </c>
      <c r="F1193" s="4"/>
      <c r="G1193" s="4"/>
    </row>
    <row r="1194" spans="1:7" ht="15.75" customHeight="1" x14ac:dyDescent="0.15">
      <c r="A1194" s="1">
        <v>1140</v>
      </c>
      <c r="B1194" s="1">
        <v>11294</v>
      </c>
      <c r="C1194" s="1" t="s">
        <v>1355</v>
      </c>
      <c r="D1194" s="1" t="s">
        <v>5</v>
      </c>
      <c r="E1194" s="5" t="s">
        <v>1892</v>
      </c>
      <c r="F1194" s="4"/>
      <c r="G1194" s="4"/>
    </row>
    <row r="1195" spans="1:7" ht="15.75" customHeight="1" x14ac:dyDescent="0.15">
      <c r="A1195" s="1">
        <v>1140</v>
      </c>
      <c r="B1195" s="1">
        <v>11248</v>
      </c>
      <c r="C1195" s="1" t="s">
        <v>1356</v>
      </c>
      <c r="D1195" s="1" t="s">
        <v>5</v>
      </c>
      <c r="E1195" s="5" t="s">
        <v>1892</v>
      </c>
      <c r="F1195" s="4"/>
      <c r="G1195" s="4"/>
    </row>
    <row r="1196" spans="1:7" ht="15.75" customHeight="1" x14ac:dyDescent="0.15">
      <c r="A1196" s="1">
        <v>1140</v>
      </c>
      <c r="B1196" s="1">
        <v>10855</v>
      </c>
      <c r="C1196" s="1" t="s">
        <v>1357</v>
      </c>
      <c r="D1196" s="1" t="s">
        <v>5</v>
      </c>
      <c r="E1196" s="5" t="s">
        <v>1892</v>
      </c>
      <c r="F1196" s="4"/>
      <c r="G1196" s="4"/>
    </row>
    <row r="1197" spans="1:7" ht="15.75" customHeight="1" x14ac:dyDescent="0.15">
      <c r="A1197" s="1">
        <v>1140</v>
      </c>
      <c r="B1197" s="1">
        <v>8503</v>
      </c>
      <c r="C1197" s="1" t="s">
        <v>1358</v>
      </c>
      <c r="D1197" s="1" t="s">
        <v>5</v>
      </c>
      <c r="E1197" s="5" t="s">
        <v>1892</v>
      </c>
      <c r="F1197" s="4"/>
      <c r="G1197" s="4"/>
    </row>
    <row r="1198" spans="1:7" ht="15.75" customHeight="1" x14ac:dyDescent="0.15">
      <c r="A1198" s="1">
        <v>1140</v>
      </c>
      <c r="B1198" s="1">
        <v>10919</v>
      </c>
      <c r="C1198" s="1" t="s">
        <v>1359</v>
      </c>
      <c r="D1198" s="1" t="s">
        <v>5</v>
      </c>
      <c r="E1198" s="5" t="s">
        <v>1892</v>
      </c>
      <c r="F1198" s="4"/>
      <c r="G1198" s="4"/>
    </row>
    <row r="1199" spans="1:7" ht="15.75" customHeight="1" x14ac:dyDescent="0.15">
      <c r="A1199" s="1">
        <v>1140</v>
      </c>
      <c r="B1199" s="1">
        <v>10154</v>
      </c>
      <c r="C1199" s="1" t="s">
        <v>1360</v>
      </c>
      <c r="D1199" s="1" t="s">
        <v>5</v>
      </c>
      <c r="E1199" s="5" t="s">
        <v>1892</v>
      </c>
      <c r="F1199" s="4"/>
      <c r="G1199" s="4"/>
    </row>
    <row r="1200" spans="1:7" ht="15.75" customHeight="1" x14ac:dyDescent="0.15">
      <c r="A1200" s="1">
        <v>1140</v>
      </c>
      <c r="B1200" s="1">
        <v>11270</v>
      </c>
      <c r="C1200" s="1" t="s">
        <v>1361</v>
      </c>
      <c r="D1200" s="1" t="s">
        <v>5</v>
      </c>
      <c r="E1200" s="5" t="s">
        <v>1892</v>
      </c>
      <c r="F1200" s="4"/>
      <c r="G1200" s="4"/>
    </row>
    <row r="1201" spans="1:7" ht="15.75" customHeight="1" x14ac:dyDescent="0.15">
      <c r="A1201" s="1">
        <v>1140</v>
      </c>
      <c r="B1201" s="1">
        <v>11299</v>
      </c>
      <c r="C1201" s="1" t="s">
        <v>1362</v>
      </c>
      <c r="D1201" s="1" t="s">
        <v>5</v>
      </c>
      <c r="E1201" s="5" t="s">
        <v>1892</v>
      </c>
      <c r="F1201" s="4"/>
      <c r="G1201" s="4"/>
    </row>
    <row r="1202" spans="1:7" ht="15.75" customHeight="1" x14ac:dyDescent="0.15">
      <c r="A1202" s="1">
        <v>1140</v>
      </c>
      <c r="B1202" s="1">
        <v>11083</v>
      </c>
      <c r="C1202" s="1" t="s">
        <v>1363</v>
      </c>
      <c r="D1202" s="1" t="s">
        <v>5</v>
      </c>
      <c r="E1202" s="5" t="s">
        <v>1892</v>
      </c>
      <c r="F1202" s="4"/>
      <c r="G1202" s="4"/>
    </row>
    <row r="1203" spans="1:7" ht="15.75" customHeight="1" x14ac:dyDescent="0.15">
      <c r="A1203" s="1">
        <v>1140</v>
      </c>
      <c r="B1203" s="1">
        <v>11309</v>
      </c>
      <c r="C1203" s="1" t="s">
        <v>1364</v>
      </c>
      <c r="D1203" s="1" t="s">
        <v>5</v>
      </c>
      <c r="E1203" s="5" t="s">
        <v>1892</v>
      </c>
      <c r="F1203" s="4"/>
      <c r="G1203" s="4"/>
    </row>
    <row r="1204" spans="1:7" ht="15.75" customHeight="1" x14ac:dyDescent="0.15">
      <c r="A1204" s="1">
        <v>1140</v>
      </c>
      <c r="B1204" s="1">
        <v>10200</v>
      </c>
      <c r="C1204" s="1" t="s">
        <v>1365</v>
      </c>
      <c r="D1204" s="1" t="s">
        <v>5</v>
      </c>
      <c r="E1204" s="5" t="s">
        <v>1892</v>
      </c>
      <c r="F1204" s="4"/>
      <c r="G1204" s="4"/>
    </row>
    <row r="1205" spans="1:7" ht="15.75" customHeight="1" x14ac:dyDescent="0.15">
      <c r="A1205" s="1">
        <v>1140</v>
      </c>
      <c r="B1205" s="1">
        <v>10930</v>
      </c>
      <c r="C1205" s="1" t="s">
        <v>1366</v>
      </c>
      <c r="D1205" s="1" t="s">
        <v>5</v>
      </c>
      <c r="E1205" s="5" t="s">
        <v>1892</v>
      </c>
      <c r="F1205" s="4"/>
      <c r="G1205" s="4"/>
    </row>
    <row r="1206" spans="1:7" ht="15.75" customHeight="1" x14ac:dyDescent="0.15">
      <c r="A1206" s="1">
        <v>1140</v>
      </c>
      <c r="B1206" s="1">
        <v>11314</v>
      </c>
      <c r="C1206" s="1" t="s">
        <v>1367</v>
      </c>
      <c r="D1206" s="1" t="s">
        <v>5</v>
      </c>
      <c r="E1206" s="5" t="s">
        <v>1892</v>
      </c>
      <c r="F1206" s="4"/>
      <c r="G1206" s="4"/>
    </row>
    <row r="1207" spans="1:7" ht="15.75" customHeight="1" x14ac:dyDescent="0.15">
      <c r="A1207" s="1">
        <v>1140</v>
      </c>
      <c r="B1207" s="1">
        <v>10580</v>
      </c>
      <c r="C1207" s="1" t="s">
        <v>1368</v>
      </c>
      <c r="D1207" s="1" t="s">
        <v>5</v>
      </c>
      <c r="E1207" s="5" t="s">
        <v>1892</v>
      </c>
      <c r="F1207" s="4"/>
      <c r="G1207" s="4"/>
    </row>
    <row r="1208" spans="1:7" ht="15.75" customHeight="1" x14ac:dyDescent="0.15">
      <c r="A1208" s="1">
        <v>1140</v>
      </c>
      <c r="B1208" s="1">
        <v>11288</v>
      </c>
      <c r="C1208" s="1" t="s">
        <v>1369</v>
      </c>
      <c r="D1208" s="1" t="s">
        <v>5</v>
      </c>
      <c r="E1208" s="5" t="s">
        <v>1892</v>
      </c>
      <c r="F1208" s="4"/>
      <c r="G1208" s="4"/>
    </row>
    <row r="1209" spans="1:7" ht="15.75" customHeight="1" x14ac:dyDescent="0.15">
      <c r="A1209" s="1">
        <v>1140</v>
      </c>
      <c r="B1209" s="1">
        <v>11291</v>
      </c>
      <c r="C1209" s="1" t="s">
        <v>1370</v>
      </c>
      <c r="D1209" s="1" t="s">
        <v>5</v>
      </c>
      <c r="E1209" s="5" t="s">
        <v>1892</v>
      </c>
      <c r="F1209" s="4"/>
      <c r="G1209" s="4"/>
    </row>
    <row r="1210" spans="1:7" ht="15.75" customHeight="1" x14ac:dyDescent="0.15">
      <c r="A1210" s="1">
        <v>1140</v>
      </c>
      <c r="B1210" s="1">
        <v>11276</v>
      </c>
      <c r="C1210" s="1" t="s">
        <v>1371</v>
      </c>
      <c r="D1210" s="1" t="s">
        <v>5</v>
      </c>
      <c r="E1210" s="5" t="s">
        <v>1892</v>
      </c>
      <c r="F1210" s="4"/>
      <c r="G1210" s="4"/>
    </row>
    <row r="1211" spans="1:7" ht="15.75" customHeight="1" x14ac:dyDescent="0.15">
      <c r="A1211" s="1">
        <v>1140</v>
      </c>
      <c r="B1211" s="1">
        <v>10913</v>
      </c>
      <c r="C1211" s="1" t="s">
        <v>1372</v>
      </c>
      <c r="D1211" s="1" t="s">
        <v>5</v>
      </c>
      <c r="E1211" s="5" t="s">
        <v>1892</v>
      </c>
      <c r="F1211" s="4"/>
      <c r="G1211" s="4"/>
    </row>
    <row r="1212" spans="1:7" ht="15.75" customHeight="1" x14ac:dyDescent="0.15">
      <c r="A1212" s="1">
        <v>1140</v>
      </c>
      <c r="B1212" s="1">
        <v>10895</v>
      </c>
      <c r="C1212" s="1" t="s">
        <v>1373</v>
      </c>
      <c r="D1212" s="1" t="s">
        <v>5</v>
      </c>
      <c r="E1212" s="5" t="s">
        <v>1892</v>
      </c>
      <c r="F1212" s="4"/>
      <c r="G1212" s="4"/>
    </row>
    <row r="1213" spans="1:7" ht="15.75" customHeight="1" x14ac:dyDescent="0.15">
      <c r="A1213" s="1">
        <v>1140</v>
      </c>
      <c r="B1213" s="1">
        <v>11315</v>
      </c>
      <c r="C1213" s="1" t="s">
        <v>1374</v>
      </c>
      <c r="D1213" s="1" t="s">
        <v>5</v>
      </c>
      <c r="E1213" s="5" t="s">
        <v>1892</v>
      </c>
      <c r="F1213" s="4"/>
      <c r="G1213" s="4"/>
    </row>
    <row r="1214" spans="1:7" ht="15.75" customHeight="1" x14ac:dyDescent="0.15">
      <c r="A1214" s="1">
        <v>1140</v>
      </c>
      <c r="B1214" s="1">
        <v>11292</v>
      </c>
      <c r="C1214" s="1" t="s">
        <v>1375</v>
      </c>
      <c r="D1214" s="1" t="s">
        <v>5</v>
      </c>
      <c r="E1214" s="5" t="s">
        <v>1892</v>
      </c>
      <c r="F1214" s="4"/>
      <c r="G1214" s="4"/>
    </row>
    <row r="1215" spans="1:7" ht="15.75" customHeight="1" x14ac:dyDescent="0.15">
      <c r="A1215" s="1">
        <v>1140</v>
      </c>
      <c r="B1215" s="1">
        <v>10896</v>
      </c>
      <c r="C1215" s="1" t="s">
        <v>1376</v>
      </c>
      <c r="D1215" s="1" t="s">
        <v>5</v>
      </c>
      <c r="E1215" s="5" t="s">
        <v>1892</v>
      </c>
      <c r="F1215" s="4"/>
      <c r="G1215" s="4"/>
    </row>
    <row r="1216" spans="1:7" ht="15.75" customHeight="1" x14ac:dyDescent="0.15">
      <c r="A1216" s="1">
        <v>1140</v>
      </c>
      <c r="B1216" s="1">
        <v>10860</v>
      </c>
      <c r="C1216" s="1" t="s">
        <v>1377</v>
      </c>
      <c r="D1216" s="1" t="s">
        <v>5</v>
      </c>
      <c r="E1216" s="5" t="s">
        <v>1892</v>
      </c>
      <c r="F1216" s="4"/>
      <c r="G1216" s="4"/>
    </row>
    <row r="1217" spans="1:7" ht="15.75" customHeight="1" x14ac:dyDescent="0.15">
      <c r="A1217" s="1">
        <v>1140</v>
      </c>
      <c r="B1217" s="1">
        <v>10897</v>
      </c>
      <c r="C1217" s="1" t="s">
        <v>1378</v>
      </c>
      <c r="D1217" s="1" t="s">
        <v>5</v>
      </c>
      <c r="E1217" s="5" t="s">
        <v>1892</v>
      </c>
      <c r="F1217" s="4"/>
      <c r="G1217" s="4"/>
    </row>
    <row r="1218" spans="1:7" ht="15.75" customHeight="1" x14ac:dyDescent="0.15">
      <c r="A1218" s="1">
        <v>1140</v>
      </c>
      <c r="B1218" s="1">
        <v>10816</v>
      </c>
      <c r="C1218" s="1" t="s">
        <v>1379</v>
      </c>
      <c r="D1218" s="1" t="s">
        <v>5</v>
      </c>
      <c r="E1218" s="5" t="s">
        <v>1892</v>
      </c>
      <c r="F1218" s="4"/>
      <c r="G1218" s="4"/>
    </row>
    <row r="1219" spans="1:7" ht="15.75" customHeight="1" x14ac:dyDescent="0.15">
      <c r="A1219" s="1">
        <v>1140</v>
      </c>
      <c r="B1219" s="1">
        <v>10926</v>
      </c>
      <c r="C1219" s="1" t="s">
        <v>1380</v>
      </c>
      <c r="D1219" s="1" t="s">
        <v>5</v>
      </c>
      <c r="E1219" s="5" t="s">
        <v>1892</v>
      </c>
      <c r="F1219" s="4"/>
      <c r="G1219" s="4"/>
    </row>
    <row r="1220" spans="1:7" ht="15.75" customHeight="1" x14ac:dyDescent="0.15">
      <c r="A1220" s="1">
        <v>1140</v>
      </c>
      <c r="B1220" s="1">
        <v>10566</v>
      </c>
      <c r="C1220" s="1" t="s">
        <v>1381</v>
      </c>
      <c r="D1220" s="1" t="s">
        <v>5</v>
      </c>
      <c r="E1220" s="5" t="s">
        <v>1892</v>
      </c>
      <c r="F1220" s="4"/>
      <c r="G1220" s="4"/>
    </row>
    <row r="1221" spans="1:7" ht="15.75" customHeight="1" x14ac:dyDescent="0.15">
      <c r="A1221" s="1">
        <v>1140</v>
      </c>
      <c r="B1221" s="1">
        <v>10933</v>
      </c>
      <c r="C1221" s="1" t="s">
        <v>1382</v>
      </c>
      <c r="D1221" s="1" t="s">
        <v>5</v>
      </c>
      <c r="E1221" s="5" t="s">
        <v>1892</v>
      </c>
      <c r="F1221" s="4"/>
      <c r="G1221" s="4"/>
    </row>
    <row r="1222" spans="1:7" ht="15.75" customHeight="1" x14ac:dyDescent="0.15">
      <c r="A1222" s="1">
        <v>1140</v>
      </c>
      <c r="B1222" s="1">
        <v>10634</v>
      </c>
      <c r="C1222" s="1" t="s">
        <v>1383</v>
      </c>
      <c r="D1222" s="1" t="s">
        <v>5</v>
      </c>
      <c r="E1222" s="5" t="s">
        <v>1892</v>
      </c>
      <c r="F1222" s="4"/>
      <c r="G1222" s="4"/>
    </row>
    <row r="1223" spans="1:7" ht="15.75" customHeight="1" x14ac:dyDescent="0.15">
      <c r="A1223" s="1">
        <v>1140</v>
      </c>
      <c r="B1223" s="1">
        <v>11257</v>
      </c>
      <c r="C1223" s="1" t="s">
        <v>1384</v>
      </c>
      <c r="D1223" s="1" t="s">
        <v>5</v>
      </c>
      <c r="E1223" s="5" t="s">
        <v>1892</v>
      </c>
      <c r="F1223" s="4"/>
      <c r="G1223" s="4"/>
    </row>
    <row r="1224" spans="1:7" ht="15.75" customHeight="1" x14ac:dyDescent="0.15">
      <c r="A1224" s="1">
        <v>1140</v>
      </c>
      <c r="B1224" s="1">
        <v>11301</v>
      </c>
      <c r="C1224" s="1" t="s">
        <v>1385</v>
      </c>
      <c r="D1224" s="1" t="s">
        <v>5</v>
      </c>
      <c r="E1224" s="5" t="s">
        <v>1892</v>
      </c>
      <c r="F1224" s="4"/>
      <c r="G1224" s="4"/>
    </row>
    <row r="1225" spans="1:7" ht="15.75" customHeight="1" x14ac:dyDescent="0.15">
      <c r="A1225" s="1">
        <v>1140</v>
      </c>
      <c r="B1225" s="1">
        <v>10916</v>
      </c>
      <c r="C1225" s="1" t="s">
        <v>1386</v>
      </c>
      <c r="D1225" s="1" t="s">
        <v>5</v>
      </c>
      <c r="E1225" s="5" t="s">
        <v>1892</v>
      </c>
      <c r="F1225" s="4"/>
      <c r="G1225" s="4"/>
    </row>
    <row r="1226" spans="1:7" ht="15.75" customHeight="1" x14ac:dyDescent="0.15">
      <c r="A1226" s="1">
        <v>1140</v>
      </c>
      <c r="B1226" s="1">
        <v>10647</v>
      </c>
      <c r="C1226" s="1" t="s">
        <v>1387</v>
      </c>
      <c r="D1226" s="1" t="s">
        <v>5</v>
      </c>
      <c r="E1226" s="5" t="s">
        <v>1892</v>
      </c>
      <c r="F1226" s="4"/>
      <c r="G1226" s="4"/>
    </row>
    <row r="1227" spans="1:7" ht="15.75" customHeight="1" x14ac:dyDescent="0.15">
      <c r="A1227" s="1">
        <v>1140</v>
      </c>
      <c r="B1227" s="1">
        <v>10903</v>
      </c>
      <c r="C1227" s="1" t="s">
        <v>1388</v>
      </c>
      <c r="D1227" s="1" t="s">
        <v>5</v>
      </c>
      <c r="E1227" s="5" t="s">
        <v>1892</v>
      </c>
      <c r="F1227" s="4"/>
      <c r="G1227" s="4"/>
    </row>
    <row r="1228" spans="1:7" ht="15.75" customHeight="1" x14ac:dyDescent="0.15">
      <c r="A1228" s="1">
        <v>1140</v>
      </c>
      <c r="B1228" s="1">
        <v>2288</v>
      </c>
      <c r="C1228" s="1" t="s">
        <v>1389</v>
      </c>
      <c r="D1228" s="1" t="s">
        <v>5</v>
      </c>
      <c r="E1228" s="5" t="s">
        <v>1892</v>
      </c>
      <c r="F1228" s="4"/>
      <c r="G1228" s="4"/>
    </row>
    <row r="1229" spans="1:7" ht="15.75" customHeight="1" x14ac:dyDescent="0.15">
      <c r="A1229" s="1">
        <v>1140</v>
      </c>
      <c r="B1229" s="1">
        <v>11271</v>
      </c>
      <c r="C1229" s="1" t="s">
        <v>1390</v>
      </c>
      <c r="D1229" s="1" t="s">
        <v>5</v>
      </c>
      <c r="E1229" s="5" t="s">
        <v>1892</v>
      </c>
      <c r="F1229" s="4"/>
      <c r="G1229" s="4"/>
    </row>
    <row r="1230" spans="1:7" ht="15.75" customHeight="1" x14ac:dyDescent="0.15">
      <c r="A1230" s="1">
        <v>1140</v>
      </c>
      <c r="B1230" s="1">
        <v>10918</v>
      </c>
      <c r="C1230" s="1" t="s">
        <v>1391</v>
      </c>
      <c r="D1230" s="1" t="s">
        <v>5</v>
      </c>
      <c r="E1230" s="5" t="s">
        <v>1892</v>
      </c>
      <c r="F1230" s="4"/>
      <c r="G1230" s="4"/>
    </row>
    <row r="1231" spans="1:7" ht="15.75" customHeight="1" x14ac:dyDescent="0.15">
      <c r="A1231" s="1">
        <v>1140</v>
      </c>
      <c r="B1231" s="1">
        <v>10876</v>
      </c>
      <c r="C1231" s="1" t="s">
        <v>1392</v>
      </c>
      <c r="D1231" s="1" t="s">
        <v>5</v>
      </c>
      <c r="E1231" s="5" t="s">
        <v>1892</v>
      </c>
      <c r="F1231" s="4"/>
      <c r="G1231" s="4"/>
    </row>
    <row r="1232" spans="1:7" ht="15.75" customHeight="1" x14ac:dyDescent="0.15">
      <c r="A1232" s="1">
        <v>1140</v>
      </c>
      <c r="B1232" s="1">
        <v>11106</v>
      </c>
      <c r="C1232" s="1" t="s">
        <v>1393</v>
      </c>
      <c r="D1232" s="1" t="s">
        <v>5</v>
      </c>
      <c r="E1232" s="5" t="s">
        <v>1892</v>
      </c>
      <c r="F1232" s="4"/>
      <c r="G1232" s="4"/>
    </row>
    <row r="1233" spans="1:7" ht="15.75" customHeight="1" x14ac:dyDescent="0.15">
      <c r="A1233" s="1">
        <v>1140</v>
      </c>
      <c r="B1233" s="1">
        <v>11284</v>
      </c>
      <c r="C1233" s="1" t="s">
        <v>1394</v>
      </c>
      <c r="D1233" s="1" t="s">
        <v>5</v>
      </c>
      <c r="E1233" s="5" t="s">
        <v>1892</v>
      </c>
      <c r="F1233" s="4"/>
      <c r="G1233" s="4"/>
    </row>
    <row r="1234" spans="1:7" ht="15.75" customHeight="1" x14ac:dyDescent="0.15">
      <c r="A1234" s="1">
        <v>1140</v>
      </c>
      <c r="B1234" s="1">
        <v>10631</v>
      </c>
      <c r="C1234" s="1" t="s">
        <v>1395</v>
      </c>
      <c r="D1234" s="1" t="s">
        <v>5</v>
      </c>
      <c r="E1234" s="5" t="s">
        <v>1892</v>
      </c>
      <c r="F1234" s="4"/>
      <c r="G1234" s="4"/>
    </row>
    <row r="1235" spans="1:7" ht="15.75" customHeight="1" x14ac:dyDescent="0.15">
      <c r="A1235" s="1">
        <v>1140</v>
      </c>
      <c r="B1235" s="1">
        <v>11304</v>
      </c>
      <c r="C1235" s="1" t="s">
        <v>1396</v>
      </c>
      <c r="D1235" s="1" t="s">
        <v>5</v>
      </c>
      <c r="E1235" s="5" t="s">
        <v>1892</v>
      </c>
      <c r="F1235" s="4"/>
      <c r="G1235" s="4"/>
    </row>
    <row r="1236" spans="1:7" ht="15.75" customHeight="1" x14ac:dyDescent="0.15">
      <c r="A1236" s="1">
        <v>1140</v>
      </c>
      <c r="B1236" s="1">
        <v>10648</v>
      </c>
      <c r="C1236" s="1" t="s">
        <v>1397</v>
      </c>
      <c r="D1236" s="1" t="s">
        <v>5</v>
      </c>
      <c r="E1236" s="5" t="s">
        <v>1892</v>
      </c>
      <c r="F1236" s="4"/>
      <c r="G1236" s="4"/>
    </row>
    <row r="1237" spans="1:7" ht="15.75" customHeight="1" x14ac:dyDescent="0.15">
      <c r="A1237" s="1">
        <v>1140</v>
      </c>
      <c r="B1237" s="1">
        <v>11293</v>
      </c>
      <c r="C1237" s="1" t="s">
        <v>1398</v>
      </c>
      <c r="D1237" s="1" t="s">
        <v>5</v>
      </c>
      <c r="E1237" s="5" t="s">
        <v>1892</v>
      </c>
      <c r="F1237" s="4"/>
      <c r="G1237" s="4"/>
    </row>
    <row r="1238" spans="1:7" ht="15.75" customHeight="1" x14ac:dyDescent="0.15">
      <c r="A1238" s="1">
        <v>1140</v>
      </c>
      <c r="B1238" s="1">
        <v>11259</v>
      </c>
      <c r="C1238" s="1" t="s">
        <v>1399</v>
      </c>
      <c r="D1238" s="1" t="s">
        <v>5</v>
      </c>
      <c r="E1238" s="5" t="s">
        <v>1892</v>
      </c>
      <c r="F1238" s="4"/>
      <c r="G1238" s="4"/>
    </row>
    <row r="1239" spans="1:7" ht="15.75" customHeight="1" x14ac:dyDescent="0.15">
      <c r="A1239" s="1">
        <v>1140</v>
      </c>
      <c r="B1239" s="1">
        <v>10909</v>
      </c>
      <c r="C1239" s="1" t="s">
        <v>1400</v>
      </c>
      <c r="D1239" s="1" t="s">
        <v>5</v>
      </c>
      <c r="E1239" s="5" t="s">
        <v>1892</v>
      </c>
      <c r="F1239" s="4"/>
      <c r="G1239" s="4"/>
    </row>
    <row r="1240" spans="1:7" ht="15.75" customHeight="1" x14ac:dyDescent="0.15">
      <c r="A1240" s="1">
        <v>1140</v>
      </c>
      <c r="B1240" s="1">
        <v>11255</v>
      </c>
      <c r="C1240" s="1" t="s">
        <v>1401</v>
      </c>
      <c r="D1240" s="1" t="s">
        <v>5</v>
      </c>
      <c r="E1240" s="5" t="s">
        <v>1892</v>
      </c>
      <c r="F1240" s="4"/>
      <c r="G1240" s="4"/>
    </row>
    <row r="1241" spans="1:7" ht="15.75" customHeight="1" x14ac:dyDescent="0.15">
      <c r="A1241" s="1">
        <v>1140</v>
      </c>
      <c r="B1241" s="1">
        <v>10629</v>
      </c>
      <c r="C1241" s="1" t="s">
        <v>1402</v>
      </c>
      <c r="D1241" s="1" t="s">
        <v>5</v>
      </c>
      <c r="E1241" s="5" t="s">
        <v>1892</v>
      </c>
      <c r="F1241" s="4"/>
      <c r="G1241" s="4"/>
    </row>
    <row r="1242" spans="1:7" ht="15.75" customHeight="1" x14ac:dyDescent="0.15">
      <c r="A1242" s="1">
        <v>1140</v>
      </c>
      <c r="B1242" s="1">
        <v>11280</v>
      </c>
      <c r="C1242" s="1" t="s">
        <v>1403</v>
      </c>
      <c r="D1242" s="1" t="s">
        <v>5</v>
      </c>
      <c r="E1242" s="5" t="s">
        <v>1892</v>
      </c>
      <c r="F1242" s="4"/>
      <c r="G1242" s="4"/>
    </row>
    <row r="1243" spans="1:7" ht="15.75" customHeight="1" x14ac:dyDescent="0.15">
      <c r="A1243" s="1">
        <v>1140</v>
      </c>
      <c r="B1243" s="1">
        <v>11281</v>
      </c>
      <c r="C1243" s="1" t="s">
        <v>1404</v>
      </c>
      <c r="D1243" s="1" t="s">
        <v>5</v>
      </c>
      <c r="E1243" s="5" t="s">
        <v>1892</v>
      </c>
      <c r="F1243" s="4"/>
      <c r="G1243" s="4"/>
    </row>
    <row r="1244" spans="1:7" ht="15.75" customHeight="1" x14ac:dyDescent="0.15">
      <c r="A1244" s="1">
        <v>1140</v>
      </c>
      <c r="B1244" s="1">
        <v>11282</v>
      </c>
      <c r="C1244" s="1" t="s">
        <v>1405</v>
      </c>
      <c r="D1244" s="1" t="s">
        <v>5</v>
      </c>
      <c r="E1244" s="5" t="s">
        <v>1892</v>
      </c>
      <c r="F1244" s="4"/>
      <c r="G1244" s="4"/>
    </row>
    <row r="1245" spans="1:7" ht="15.75" customHeight="1" x14ac:dyDescent="0.15">
      <c r="A1245" s="1">
        <v>1140</v>
      </c>
      <c r="B1245" s="1">
        <v>11283</v>
      </c>
      <c r="C1245" s="1" t="s">
        <v>1406</v>
      </c>
      <c r="D1245" s="1" t="s">
        <v>5</v>
      </c>
      <c r="E1245" s="5" t="s">
        <v>1892</v>
      </c>
      <c r="F1245" s="4"/>
      <c r="G1245" s="4"/>
    </row>
    <row r="1246" spans="1:7" ht="15.75" customHeight="1" x14ac:dyDescent="0.15">
      <c r="A1246" s="1">
        <v>1140</v>
      </c>
      <c r="B1246" s="1">
        <v>5108</v>
      </c>
      <c r="C1246" s="1" t="s">
        <v>1407</v>
      </c>
      <c r="D1246" s="1" t="s">
        <v>7</v>
      </c>
      <c r="E1246" s="5" t="s">
        <v>1892</v>
      </c>
      <c r="F1246" s="4"/>
      <c r="G1246" s="4"/>
    </row>
    <row r="1247" spans="1:7" ht="15.75" customHeight="1" x14ac:dyDescent="0.15">
      <c r="A1247" s="1">
        <v>1140</v>
      </c>
      <c r="B1247" s="1">
        <v>5109</v>
      </c>
      <c r="C1247" s="1" t="s">
        <v>1408</v>
      </c>
      <c r="D1247" s="1" t="s">
        <v>7</v>
      </c>
      <c r="E1247" s="5" t="s">
        <v>1892</v>
      </c>
      <c r="F1247" s="4"/>
      <c r="G1247" s="4"/>
    </row>
    <row r="1248" spans="1:7" ht="15.75" customHeight="1" x14ac:dyDescent="0.15">
      <c r="A1248" s="1">
        <v>1140</v>
      </c>
      <c r="B1248" s="1">
        <v>7089</v>
      </c>
      <c r="C1248" s="1" t="s">
        <v>1409</v>
      </c>
      <c r="D1248" s="1" t="s">
        <v>74</v>
      </c>
      <c r="E1248" s="5" t="s">
        <v>1892</v>
      </c>
      <c r="F1248" s="4"/>
      <c r="G1248" s="4"/>
    </row>
    <row r="1249" spans="1:7" ht="15.75" customHeight="1" x14ac:dyDescent="0.15">
      <c r="A1249" s="1">
        <v>1140</v>
      </c>
      <c r="B1249" s="1">
        <v>3083</v>
      </c>
      <c r="C1249" s="1" t="s">
        <v>1410</v>
      </c>
      <c r="D1249" s="1" t="s">
        <v>74</v>
      </c>
      <c r="E1249" s="5" t="s">
        <v>1892</v>
      </c>
      <c r="F1249" s="4"/>
      <c r="G1249" s="4"/>
    </row>
    <row r="1250" spans="1:7" ht="15.75" customHeight="1" x14ac:dyDescent="0.15">
      <c r="A1250" s="1">
        <v>1140</v>
      </c>
      <c r="B1250" s="1">
        <v>1260</v>
      </c>
      <c r="C1250" s="1" t="s">
        <v>1411</v>
      </c>
      <c r="D1250" s="1" t="s">
        <v>74</v>
      </c>
      <c r="E1250" s="5" t="s">
        <v>1892</v>
      </c>
      <c r="F1250" s="4"/>
      <c r="G1250" s="4"/>
    </row>
    <row r="1251" spans="1:7" ht="15.75" customHeight="1" x14ac:dyDescent="0.15">
      <c r="A1251" s="1">
        <v>1140</v>
      </c>
      <c r="B1251" s="1">
        <v>11227</v>
      </c>
      <c r="C1251" s="1" t="s">
        <v>1412</v>
      </c>
      <c r="D1251" s="1" t="s">
        <v>74</v>
      </c>
      <c r="E1251" s="5" t="s">
        <v>1892</v>
      </c>
      <c r="F1251" s="4"/>
      <c r="G1251" s="4"/>
    </row>
    <row r="1252" spans="1:7" ht="15.75" customHeight="1" x14ac:dyDescent="0.15">
      <c r="A1252" s="1">
        <v>1140</v>
      </c>
      <c r="B1252" s="1">
        <v>11228</v>
      </c>
      <c r="C1252" s="1" t="s">
        <v>1413</v>
      </c>
      <c r="D1252" s="1" t="s">
        <v>74</v>
      </c>
      <c r="E1252" s="5" t="s">
        <v>1892</v>
      </c>
      <c r="F1252" s="4"/>
      <c r="G1252" s="4"/>
    </row>
    <row r="1253" spans="1:7" ht="15.75" customHeight="1" x14ac:dyDescent="0.15">
      <c r="A1253" s="1">
        <v>1140</v>
      </c>
      <c r="B1253" s="1">
        <v>3937</v>
      </c>
      <c r="C1253" s="1" t="s">
        <v>1414</v>
      </c>
      <c r="D1253" s="1" t="s">
        <v>74</v>
      </c>
      <c r="E1253" s="5" t="s">
        <v>1892</v>
      </c>
      <c r="F1253" s="4"/>
      <c r="G1253" s="4"/>
    </row>
    <row r="1254" spans="1:7" ht="15.75" customHeight="1" x14ac:dyDescent="0.15">
      <c r="A1254" s="1">
        <v>1140</v>
      </c>
      <c r="B1254" s="1">
        <v>11229</v>
      </c>
      <c r="C1254" s="1" t="s">
        <v>1415</v>
      </c>
      <c r="D1254" s="1" t="s">
        <v>74</v>
      </c>
      <c r="E1254" s="5" t="s">
        <v>1892</v>
      </c>
      <c r="F1254" s="4"/>
      <c r="G1254" s="4"/>
    </row>
    <row r="1255" spans="1:7" ht="15.75" customHeight="1" x14ac:dyDescent="0.15">
      <c r="A1255" s="1">
        <v>1140</v>
      </c>
      <c r="B1255" s="1">
        <v>11371</v>
      </c>
      <c r="C1255" s="1" t="s">
        <v>1416</v>
      </c>
      <c r="D1255" s="1" t="s">
        <v>41</v>
      </c>
      <c r="E1255" s="5" t="s">
        <v>1892</v>
      </c>
      <c r="F1255" s="4"/>
      <c r="G1255" s="4"/>
    </row>
    <row r="1256" spans="1:7" ht="15.75" customHeight="1" x14ac:dyDescent="0.15">
      <c r="A1256" s="1">
        <v>1140</v>
      </c>
      <c r="B1256" s="1">
        <v>2337</v>
      </c>
      <c r="C1256" s="1" t="s">
        <v>1417</v>
      </c>
      <c r="D1256" s="1" t="s">
        <v>41</v>
      </c>
      <c r="E1256" s="5" t="s">
        <v>1892</v>
      </c>
      <c r="F1256" s="4"/>
      <c r="G1256" s="4"/>
    </row>
    <row r="1257" spans="1:7" ht="15.75" customHeight="1" x14ac:dyDescent="0.15">
      <c r="A1257" s="1">
        <v>1140</v>
      </c>
      <c r="B1257" s="1">
        <v>5719</v>
      </c>
      <c r="C1257" s="1" t="s">
        <v>1418</v>
      </c>
      <c r="D1257" s="1" t="s">
        <v>41</v>
      </c>
      <c r="E1257" s="5" t="s">
        <v>1892</v>
      </c>
      <c r="F1257" s="4"/>
      <c r="G1257" s="4"/>
    </row>
    <row r="1258" spans="1:7" ht="15.75" customHeight="1" x14ac:dyDescent="0.15">
      <c r="A1258" s="1">
        <v>1140</v>
      </c>
      <c r="B1258" s="1">
        <v>3070</v>
      </c>
      <c r="C1258" s="1" t="s">
        <v>1419</v>
      </c>
      <c r="D1258" s="1" t="s">
        <v>41</v>
      </c>
      <c r="E1258" s="5" t="s">
        <v>1892</v>
      </c>
      <c r="F1258" s="4"/>
      <c r="G1258" s="4"/>
    </row>
    <row r="1259" spans="1:7" ht="15.75" customHeight="1" x14ac:dyDescent="0.15">
      <c r="A1259" s="1">
        <v>1140</v>
      </c>
      <c r="B1259" s="1">
        <v>1636</v>
      </c>
      <c r="C1259" s="1" t="s">
        <v>1420</v>
      </c>
      <c r="D1259" s="1" t="s">
        <v>41</v>
      </c>
      <c r="E1259" s="5" t="s">
        <v>1892</v>
      </c>
      <c r="F1259" s="4"/>
      <c r="G1259" s="4"/>
    </row>
    <row r="1260" spans="1:7" ht="15.75" customHeight="1" x14ac:dyDescent="0.15">
      <c r="A1260" s="1">
        <v>1140</v>
      </c>
      <c r="B1260" s="1">
        <v>3091</v>
      </c>
      <c r="C1260" s="1" t="s">
        <v>1421</v>
      </c>
      <c r="D1260" s="1" t="s">
        <v>41</v>
      </c>
      <c r="E1260" s="5" t="s">
        <v>1892</v>
      </c>
      <c r="F1260" s="4"/>
      <c r="G1260" s="4"/>
    </row>
    <row r="1261" spans="1:7" ht="15.75" customHeight="1" x14ac:dyDescent="0.15">
      <c r="A1261" s="1">
        <v>1140</v>
      </c>
      <c r="B1261" s="1">
        <v>4088</v>
      </c>
      <c r="C1261" s="1" t="s">
        <v>1422</v>
      </c>
      <c r="D1261" s="1" t="s">
        <v>41</v>
      </c>
      <c r="E1261" s="5" t="s">
        <v>1892</v>
      </c>
      <c r="F1261" s="4"/>
      <c r="G1261" s="4"/>
    </row>
    <row r="1262" spans="1:7" ht="15.75" customHeight="1" x14ac:dyDescent="0.15">
      <c r="A1262" s="1">
        <v>1140</v>
      </c>
      <c r="B1262" s="1">
        <v>11370</v>
      </c>
      <c r="C1262" s="1" t="s">
        <v>1423</v>
      </c>
      <c r="D1262" s="1" t="s">
        <v>41</v>
      </c>
      <c r="E1262" s="5" t="s">
        <v>1892</v>
      </c>
      <c r="F1262" s="4"/>
      <c r="G1262" s="4"/>
    </row>
    <row r="1263" spans="1:7" ht="15.75" customHeight="1" x14ac:dyDescent="0.15">
      <c r="A1263" s="1">
        <v>1140</v>
      </c>
      <c r="B1263" s="1">
        <v>1333</v>
      </c>
      <c r="C1263" s="1" t="s">
        <v>1424</v>
      </c>
      <c r="D1263" s="1" t="s">
        <v>41</v>
      </c>
      <c r="E1263" s="5" t="s">
        <v>1892</v>
      </c>
      <c r="F1263" s="4"/>
      <c r="G1263" s="4"/>
    </row>
    <row r="1264" spans="1:7" ht="15.75" customHeight="1" x14ac:dyDescent="0.15">
      <c r="A1264" s="1">
        <v>1140</v>
      </c>
      <c r="B1264" s="1">
        <v>1790</v>
      </c>
      <c r="C1264" s="1" t="s">
        <v>1425</v>
      </c>
      <c r="D1264" s="1" t="s">
        <v>41</v>
      </c>
      <c r="E1264" s="5" t="s">
        <v>1892</v>
      </c>
      <c r="F1264" s="4"/>
      <c r="G1264" s="4"/>
    </row>
    <row r="1265" spans="1:7" ht="15.75" customHeight="1" x14ac:dyDescent="0.15">
      <c r="A1265" s="1">
        <v>1140</v>
      </c>
      <c r="B1265" s="1">
        <v>6324</v>
      </c>
      <c r="C1265" s="1" t="s">
        <v>1426</v>
      </c>
      <c r="D1265" s="1" t="s">
        <v>41</v>
      </c>
      <c r="E1265" s="5" t="s">
        <v>1892</v>
      </c>
      <c r="F1265" s="4"/>
      <c r="G1265" s="4"/>
    </row>
    <row r="1266" spans="1:7" ht="15.75" customHeight="1" x14ac:dyDescent="0.15">
      <c r="A1266" s="1">
        <v>1140</v>
      </c>
      <c r="B1266" s="1">
        <v>2147</v>
      </c>
      <c r="C1266" s="1" t="s">
        <v>1427</v>
      </c>
      <c r="D1266" s="1" t="s">
        <v>41</v>
      </c>
      <c r="E1266" s="5" t="s">
        <v>1892</v>
      </c>
      <c r="F1266" s="4"/>
      <c r="G1266" s="4"/>
    </row>
    <row r="1267" spans="1:7" ht="15.75" customHeight="1" x14ac:dyDescent="0.15">
      <c r="A1267" s="1">
        <v>1140</v>
      </c>
      <c r="B1267" s="1">
        <v>5276</v>
      </c>
      <c r="C1267" s="1" t="s">
        <v>1428</v>
      </c>
      <c r="D1267" s="1" t="s">
        <v>88</v>
      </c>
      <c r="E1267" s="5" t="s">
        <v>1892</v>
      </c>
      <c r="F1267" s="4"/>
      <c r="G1267" s="4"/>
    </row>
    <row r="1268" spans="1:7" ht="15.75" customHeight="1" x14ac:dyDescent="0.15">
      <c r="A1268" s="1">
        <v>1140</v>
      </c>
      <c r="B1268" s="1">
        <v>10515</v>
      </c>
      <c r="C1268" s="1" t="s">
        <v>1429</v>
      </c>
      <c r="D1268" s="1" t="s">
        <v>32</v>
      </c>
      <c r="E1268" s="5" t="s">
        <v>1892</v>
      </c>
      <c r="F1268" s="4"/>
      <c r="G1268" s="4"/>
    </row>
    <row r="1269" spans="1:7" ht="15.75" customHeight="1" x14ac:dyDescent="0.15">
      <c r="A1269" s="1">
        <v>1140</v>
      </c>
      <c r="B1269" s="1">
        <v>1387</v>
      </c>
      <c r="C1269" s="1" t="s">
        <v>1430</v>
      </c>
      <c r="D1269" s="1" t="s">
        <v>32</v>
      </c>
      <c r="E1269" s="5" t="s">
        <v>1892</v>
      </c>
      <c r="F1269" s="4"/>
      <c r="G1269" s="4"/>
    </row>
    <row r="1270" spans="1:7" ht="15.75" customHeight="1" x14ac:dyDescent="0.15">
      <c r="A1270" s="1">
        <v>1140</v>
      </c>
      <c r="B1270" s="1">
        <v>7642</v>
      </c>
      <c r="C1270" s="1" t="s">
        <v>1431</v>
      </c>
      <c r="D1270" s="1" t="s">
        <v>32</v>
      </c>
      <c r="E1270" s="5" t="s">
        <v>1892</v>
      </c>
      <c r="F1270" s="4"/>
      <c r="G1270" s="4"/>
    </row>
    <row r="1271" spans="1:7" ht="15.75" customHeight="1" x14ac:dyDescent="0.15">
      <c r="A1271" s="1">
        <v>1140</v>
      </c>
      <c r="B1271" s="1">
        <v>2820</v>
      </c>
      <c r="C1271" s="1" t="s">
        <v>1432</v>
      </c>
      <c r="D1271" s="1" t="s">
        <v>488</v>
      </c>
      <c r="E1271" s="5" t="s">
        <v>1892</v>
      </c>
      <c r="F1271" s="4"/>
      <c r="G1271" s="4"/>
    </row>
    <row r="1272" spans="1:7" ht="15.75" customHeight="1" x14ac:dyDescent="0.15">
      <c r="A1272" s="1">
        <v>1140</v>
      </c>
      <c r="B1272" s="1">
        <v>251</v>
      </c>
      <c r="C1272" s="1" t="s">
        <v>1433</v>
      </c>
      <c r="D1272" s="1" t="s">
        <v>60</v>
      </c>
      <c r="E1272" s="5" t="s">
        <v>1892</v>
      </c>
      <c r="F1272" s="4"/>
      <c r="G1272" s="4"/>
    </row>
    <row r="1273" spans="1:7" ht="15.75" customHeight="1" x14ac:dyDescent="0.15">
      <c r="A1273" s="1">
        <v>1140</v>
      </c>
      <c r="B1273" s="1">
        <v>5637</v>
      </c>
      <c r="C1273" s="1" t="s">
        <v>1434</v>
      </c>
      <c r="D1273" s="1" t="s">
        <v>60</v>
      </c>
      <c r="E1273" s="5" t="s">
        <v>1892</v>
      </c>
      <c r="F1273" s="4"/>
      <c r="G1273" s="4"/>
    </row>
    <row r="1274" spans="1:7" ht="15.75" customHeight="1" x14ac:dyDescent="0.15">
      <c r="A1274" s="1">
        <v>1140</v>
      </c>
      <c r="B1274" s="1">
        <v>234</v>
      </c>
      <c r="C1274" s="1" t="s">
        <v>1435</v>
      </c>
      <c r="D1274" s="1" t="s">
        <v>60</v>
      </c>
      <c r="E1274" s="5" t="s">
        <v>1892</v>
      </c>
      <c r="F1274" s="4"/>
      <c r="G1274" s="4"/>
    </row>
    <row r="1275" spans="1:7" ht="15.75" customHeight="1" x14ac:dyDescent="0.15">
      <c r="A1275" s="1">
        <v>1140</v>
      </c>
      <c r="B1275" s="1">
        <v>7157</v>
      </c>
      <c r="C1275" s="1" t="s">
        <v>1436</v>
      </c>
      <c r="D1275" s="1" t="s">
        <v>60</v>
      </c>
      <c r="E1275" s="5" t="s">
        <v>1892</v>
      </c>
      <c r="F1275" s="4"/>
      <c r="G1275" s="4"/>
    </row>
    <row r="1276" spans="1:7" ht="15.75" customHeight="1" x14ac:dyDescent="0.15">
      <c r="A1276" s="1">
        <v>1140</v>
      </c>
      <c r="B1276" s="1">
        <v>8271</v>
      </c>
      <c r="C1276" s="1" t="s">
        <v>1437</v>
      </c>
      <c r="D1276" s="1" t="s">
        <v>60</v>
      </c>
      <c r="E1276" s="5" t="s">
        <v>1892</v>
      </c>
      <c r="F1276" s="4"/>
      <c r="G1276" s="4"/>
    </row>
    <row r="1277" spans="1:7" ht="15.75" customHeight="1" x14ac:dyDescent="0.15">
      <c r="A1277" s="1">
        <v>1140</v>
      </c>
      <c r="B1277" s="1">
        <v>1510</v>
      </c>
      <c r="C1277" s="1" t="s">
        <v>1438</v>
      </c>
      <c r="D1277" s="1" t="s">
        <v>60</v>
      </c>
      <c r="E1277" s="5" t="s">
        <v>1892</v>
      </c>
      <c r="F1277" s="4"/>
      <c r="G1277" s="4"/>
    </row>
    <row r="1278" spans="1:7" ht="15.75" customHeight="1" x14ac:dyDescent="0.15">
      <c r="A1278" s="1">
        <v>1140</v>
      </c>
      <c r="B1278" s="1">
        <v>247</v>
      </c>
      <c r="C1278" s="1" t="s">
        <v>1439</v>
      </c>
      <c r="D1278" s="1" t="s">
        <v>60</v>
      </c>
      <c r="E1278" s="5" t="s">
        <v>1892</v>
      </c>
      <c r="F1278" s="4"/>
      <c r="G1278" s="4"/>
    </row>
    <row r="1279" spans="1:7" ht="15.75" customHeight="1" x14ac:dyDescent="0.15">
      <c r="A1279" s="1">
        <v>1140</v>
      </c>
      <c r="B1279" s="1">
        <v>11379</v>
      </c>
      <c r="C1279" s="1" t="s">
        <v>1440</v>
      </c>
      <c r="D1279" s="1" t="s">
        <v>66</v>
      </c>
      <c r="E1279" s="5" t="s">
        <v>1892</v>
      </c>
      <c r="F1279" s="4"/>
      <c r="G1279" s="4"/>
    </row>
    <row r="1280" spans="1:7" ht="15.75" customHeight="1" x14ac:dyDescent="0.15">
      <c r="A1280" s="1">
        <v>1140</v>
      </c>
      <c r="B1280" s="1">
        <v>7323</v>
      </c>
      <c r="C1280" s="1" t="s">
        <v>1441</v>
      </c>
      <c r="D1280" s="1" t="s">
        <v>66</v>
      </c>
      <c r="E1280" s="5" t="s">
        <v>1892</v>
      </c>
      <c r="F1280" s="4"/>
      <c r="G1280" s="4"/>
    </row>
    <row r="1281" spans="1:7" ht="15.75" customHeight="1" x14ac:dyDescent="0.15">
      <c r="A1281" s="1">
        <v>1140</v>
      </c>
      <c r="B1281" s="1">
        <v>9209</v>
      </c>
      <c r="C1281" s="1" t="s">
        <v>1442</v>
      </c>
      <c r="D1281" s="1" t="s">
        <v>66</v>
      </c>
      <c r="E1281" s="5" t="s">
        <v>1892</v>
      </c>
      <c r="F1281" s="4"/>
      <c r="G1281" s="4"/>
    </row>
    <row r="1282" spans="1:7" ht="15.75" customHeight="1" x14ac:dyDescent="0.15">
      <c r="A1282" s="1">
        <v>1140</v>
      </c>
      <c r="B1282" s="1">
        <v>2286</v>
      </c>
      <c r="C1282" s="1" t="s">
        <v>1443</v>
      </c>
      <c r="D1282" s="1" t="s">
        <v>66</v>
      </c>
      <c r="E1282" s="5" t="s">
        <v>1892</v>
      </c>
      <c r="F1282" s="4"/>
      <c r="G1282" s="4"/>
    </row>
    <row r="1283" spans="1:7" ht="15.75" customHeight="1" x14ac:dyDescent="0.15">
      <c r="A1283" s="1">
        <v>1140</v>
      </c>
      <c r="B1283" s="1">
        <v>4226</v>
      </c>
      <c r="C1283" s="1" t="s">
        <v>1444</v>
      </c>
      <c r="D1283" s="1" t="s">
        <v>66</v>
      </c>
      <c r="E1283" s="5" t="s">
        <v>1892</v>
      </c>
      <c r="F1283" s="4"/>
      <c r="G1283" s="4"/>
    </row>
    <row r="1284" spans="1:7" ht="15.75" customHeight="1" x14ac:dyDescent="0.15">
      <c r="A1284" s="1">
        <v>1140</v>
      </c>
      <c r="B1284" s="1">
        <v>8377</v>
      </c>
      <c r="C1284" s="1" t="s">
        <v>1445</v>
      </c>
      <c r="D1284" s="1" t="s">
        <v>15</v>
      </c>
      <c r="E1284" s="5" t="s">
        <v>1892</v>
      </c>
      <c r="F1284" s="4"/>
      <c r="G1284" s="4"/>
    </row>
    <row r="1285" spans="1:7" ht="15.75" customHeight="1" x14ac:dyDescent="0.15">
      <c r="A1285" s="1">
        <v>1140</v>
      </c>
      <c r="B1285" s="1">
        <v>6858</v>
      </c>
      <c r="C1285" s="1" t="s">
        <v>1446</v>
      </c>
      <c r="D1285" s="1" t="s">
        <v>15</v>
      </c>
      <c r="E1285" s="5" t="s">
        <v>1892</v>
      </c>
      <c r="F1285" s="4"/>
      <c r="G1285" s="4"/>
    </row>
    <row r="1286" spans="1:7" ht="15.75" customHeight="1" x14ac:dyDescent="0.15">
      <c r="A1286" s="1">
        <v>1140</v>
      </c>
      <c r="B1286" s="1">
        <v>4365</v>
      </c>
      <c r="C1286" s="1" t="s">
        <v>1447</v>
      </c>
      <c r="D1286" s="1" t="s">
        <v>1448</v>
      </c>
      <c r="E1286" s="5" t="s">
        <v>1892</v>
      </c>
      <c r="F1286" s="4"/>
      <c r="G1286" s="4"/>
    </row>
    <row r="1287" spans="1:7" ht="15.75" customHeight="1" x14ac:dyDescent="0.15">
      <c r="A1287" s="1">
        <v>1140</v>
      </c>
      <c r="B1287" s="1">
        <v>7849</v>
      </c>
      <c r="C1287" s="1" t="s">
        <v>1449</v>
      </c>
      <c r="D1287" s="1" t="s">
        <v>71</v>
      </c>
      <c r="E1287" s="5" t="s">
        <v>1892</v>
      </c>
      <c r="F1287" s="4"/>
      <c r="G1287" s="4"/>
    </row>
    <row r="1288" spans="1:7" ht="15.75" customHeight="1" x14ac:dyDescent="0.15">
      <c r="A1288" s="1">
        <v>1140</v>
      </c>
      <c r="B1288" s="1">
        <v>4306</v>
      </c>
      <c r="C1288" s="1" t="s">
        <v>1450</v>
      </c>
      <c r="D1288" s="1" t="s">
        <v>21</v>
      </c>
      <c r="E1288" s="5" t="s">
        <v>1892</v>
      </c>
      <c r="F1288" s="4"/>
      <c r="G1288" s="4"/>
    </row>
    <row r="1289" spans="1:7" ht="15.75" customHeight="1" x14ac:dyDescent="0.15">
      <c r="A1289" s="1">
        <v>1140</v>
      </c>
      <c r="B1289" s="1">
        <v>3372</v>
      </c>
      <c r="C1289" s="1" t="s">
        <v>1451</v>
      </c>
      <c r="D1289" s="1" t="s">
        <v>91</v>
      </c>
      <c r="E1289" s="5" t="s">
        <v>1892</v>
      </c>
      <c r="F1289" s="4"/>
      <c r="G1289" s="4"/>
    </row>
    <row r="1290" spans="1:7" ht="15.75" customHeight="1" x14ac:dyDescent="0.15">
      <c r="A1290" s="1">
        <v>1140</v>
      </c>
      <c r="B1290" s="1">
        <v>2715</v>
      </c>
      <c r="C1290" s="1" t="s">
        <v>1452</v>
      </c>
      <c r="D1290" s="1" t="s">
        <v>91</v>
      </c>
      <c r="E1290" s="5" t="s">
        <v>1892</v>
      </c>
      <c r="F1290" s="4"/>
      <c r="G1290" s="4"/>
    </row>
    <row r="1291" spans="1:7" ht="15.75" customHeight="1" x14ac:dyDescent="0.15">
      <c r="A1291" s="1">
        <v>1140</v>
      </c>
      <c r="B1291" s="1">
        <v>7872</v>
      </c>
      <c r="C1291" s="1" t="s">
        <v>1453</v>
      </c>
      <c r="D1291" s="1" t="s">
        <v>1454</v>
      </c>
      <c r="E1291" s="5" t="s">
        <v>1892</v>
      </c>
      <c r="F1291" s="4"/>
      <c r="G1291" s="4"/>
    </row>
    <row r="1292" spans="1:7" ht="15.75" customHeight="1" x14ac:dyDescent="0.15">
      <c r="A1292" s="1">
        <v>1140</v>
      </c>
      <c r="B1292" s="1">
        <v>11401</v>
      </c>
      <c r="C1292" s="1" t="s">
        <v>1455</v>
      </c>
      <c r="D1292" s="1" t="s">
        <v>613</v>
      </c>
      <c r="E1292" s="5" t="s">
        <v>1892</v>
      </c>
      <c r="F1292" s="4"/>
      <c r="G1292" s="4"/>
    </row>
    <row r="1293" spans="1:7" ht="15.75" customHeight="1" x14ac:dyDescent="0.15">
      <c r="A1293" s="1">
        <v>1140</v>
      </c>
      <c r="B1293" s="1">
        <v>777</v>
      </c>
      <c r="C1293" s="1" t="s">
        <v>1456</v>
      </c>
      <c r="D1293" s="1" t="s">
        <v>1457</v>
      </c>
      <c r="E1293" s="5" t="s">
        <v>1892</v>
      </c>
      <c r="F1293" s="4"/>
      <c r="G1293" s="4"/>
    </row>
    <row r="1294" spans="1:7" ht="15.75" customHeight="1" x14ac:dyDescent="0.15">
      <c r="A1294" s="1">
        <v>1140</v>
      </c>
      <c r="B1294" s="1">
        <v>10373</v>
      </c>
      <c r="C1294" s="1" t="s">
        <v>1458</v>
      </c>
      <c r="D1294" s="1" t="s">
        <v>713</v>
      </c>
      <c r="E1294" s="5" t="s">
        <v>1892</v>
      </c>
      <c r="F1294" s="4"/>
      <c r="G1294" s="4"/>
    </row>
    <row r="1295" spans="1:7" ht="15.75" customHeight="1" x14ac:dyDescent="0.15">
      <c r="A1295" s="1">
        <v>1140</v>
      </c>
      <c r="B1295" s="1">
        <v>7698</v>
      </c>
      <c r="C1295" s="1" t="s">
        <v>1459</v>
      </c>
      <c r="D1295" s="1" t="s">
        <v>1460</v>
      </c>
      <c r="E1295" s="5" t="s">
        <v>1892</v>
      </c>
      <c r="F1295" s="4"/>
      <c r="G1295" s="4"/>
    </row>
    <row r="1296" spans="1:7" ht="15.75" customHeight="1" x14ac:dyDescent="0.15">
      <c r="A1296" s="1">
        <v>1140</v>
      </c>
      <c r="B1296" s="1">
        <v>10249</v>
      </c>
      <c r="C1296" s="1" t="s">
        <v>1461</v>
      </c>
      <c r="D1296" s="1" t="s">
        <v>169</v>
      </c>
      <c r="E1296" s="5" t="s">
        <v>1892</v>
      </c>
      <c r="F1296" s="4"/>
      <c r="G1296" s="4"/>
    </row>
    <row r="1297" spans="1:7" ht="15.75" customHeight="1" x14ac:dyDescent="0.15">
      <c r="A1297" s="1">
        <v>1140</v>
      </c>
      <c r="B1297" s="1">
        <v>9765</v>
      </c>
      <c r="C1297" s="1" t="s">
        <v>1462</v>
      </c>
      <c r="D1297" s="1" t="s">
        <v>93</v>
      </c>
      <c r="E1297" s="5" t="s">
        <v>1892</v>
      </c>
      <c r="F1297" s="4"/>
      <c r="G1297" s="4"/>
    </row>
    <row r="1298" spans="1:7" ht="15.75" customHeight="1" x14ac:dyDescent="0.15">
      <c r="A1298" s="1">
        <v>1140</v>
      </c>
      <c r="B1298" s="1">
        <v>271</v>
      </c>
      <c r="C1298" s="1" t="s">
        <v>1463</v>
      </c>
      <c r="D1298" s="1" t="s">
        <v>93</v>
      </c>
      <c r="E1298" s="5" t="s">
        <v>1892</v>
      </c>
      <c r="F1298" s="4"/>
      <c r="G1298" s="4"/>
    </row>
    <row r="1299" spans="1:7" ht="15.75" customHeight="1" x14ac:dyDescent="0.15">
      <c r="A1299" s="1">
        <v>1140</v>
      </c>
      <c r="B1299" s="1">
        <v>11376</v>
      </c>
      <c r="C1299" s="1" t="s">
        <v>1464</v>
      </c>
      <c r="D1299" s="1" t="s">
        <v>94</v>
      </c>
      <c r="E1299" s="5" t="s">
        <v>1892</v>
      </c>
      <c r="F1299" s="4"/>
      <c r="G1299" s="4"/>
    </row>
    <row r="1300" spans="1:7" ht="15.75" customHeight="1" x14ac:dyDescent="0.15">
      <c r="A1300" s="1">
        <v>1140</v>
      </c>
      <c r="B1300" s="1">
        <v>10268</v>
      </c>
      <c r="C1300" s="1" t="s">
        <v>1465</v>
      </c>
      <c r="D1300" s="1" t="s">
        <v>94</v>
      </c>
      <c r="E1300" s="5" t="s">
        <v>1892</v>
      </c>
      <c r="F1300" s="4"/>
      <c r="G1300" s="4"/>
    </row>
    <row r="1301" spans="1:7" ht="15.75" customHeight="1" x14ac:dyDescent="0.15">
      <c r="A1301" s="1">
        <v>1140</v>
      </c>
      <c r="B1301" s="1">
        <v>11377</v>
      </c>
      <c r="C1301" s="1" t="s">
        <v>1466</v>
      </c>
      <c r="D1301" s="1" t="s">
        <v>94</v>
      </c>
      <c r="E1301" s="5" t="s">
        <v>1892</v>
      </c>
      <c r="F1301" s="4"/>
      <c r="G1301" s="4"/>
    </row>
    <row r="1302" spans="1:7" ht="15.75" customHeight="1" x14ac:dyDescent="0.15">
      <c r="A1302" s="1">
        <v>1140</v>
      </c>
      <c r="B1302" s="1">
        <v>1180</v>
      </c>
      <c r="C1302" s="1" t="s">
        <v>1467</v>
      </c>
      <c r="D1302" s="1" t="s">
        <v>94</v>
      </c>
      <c r="E1302" s="5" t="s">
        <v>1892</v>
      </c>
      <c r="F1302" s="4"/>
      <c r="G1302" s="4"/>
    </row>
    <row r="1303" spans="1:7" ht="15.75" customHeight="1" x14ac:dyDescent="0.15">
      <c r="A1303" s="1">
        <v>1140</v>
      </c>
      <c r="B1303" s="1">
        <v>6926</v>
      </c>
      <c r="C1303" s="1" t="s">
        <v>1468</v>
      </c>
      <c r="D1303" s="1" t="s">
        <v>10</v>
      </c>
      <c r="E1303" s="5" t="s">
        <v>1892</v>
      </c>
      <c r="F1303" s="4"/>
      <c r="G1303" s="4"/>
    </row>
    <row r="1304" spans="1:7" ht="15.75" customHeight="1" x14ac:dyDescent="0.15">
      <c r="A1304" s="1">
        <v>1140</v>
      </c>
      <c r="B1304" s="1">
        <v>2637</v>
      </c>
      <c r="C1304" s="1" t="s">
        <v>1469</v>
      </c>
      <c r="D1304" s="1" t="s">
        <v>63</v>
      </c>
      <c r="E1304" s="5" t="s">
        <v>1892</v>
      </c>
      <c r="F1304" s="4"/>
      <c r="G1304" s="4"/>
    </row>
    <row r="1305" spans="1:7" ht="15.75" customHeight="1" x14ac:dyDescent="0.15">
      <c r="A1305" s="1">
        <v>1140</v>
      </c>
      <c r="B1305" s="1">
        <v>7671</v>
      </c>
      <c r="C1305" s="1" t="s">
        <v>1470</v>
      </c>
      <c r="D1305" s="1" t="s">
        <v>63</v>
      </c>
      <c r="E1305" s="5" t="s">
        <v>1892</v>
      </c>
      <c r="F1305" s="4"/>
      <c r="G1305" s="4"/>
    </row>
    <row r="1306" spans="1:7" ht="15.75" customHeight="1" x14ac:dyDescent="0.15">
      <c r="A1306" s="1">
        <v>1140</v>
      </c>
      <c r="B1306" s="1">
        <v>6771</v>
      </c>
      <c r="C1306" s="1" t="s">
        <v>1471</v>
      </c>
      <c r="D1306" s="1" t="s">
        <v>63</v>
      </c>
      <c r="E1306" s="5" t="s">
        <v>1892</v>
      </c>
      <c r="F1306" s="4"/>
      <c r="G1306" s="4"/>
    </row>
    <row r="1307" spans="1:7" ht="15.75" customHeight="1" x14ac:dyDescent="0.15">
      <c r="A1307" s="1">
        <v>1140</v>
      </c>
      <c r="B1307" s="1">
        <v>7598</v>
      </c>
      <c r="C1307" s="1" t="s">
        <v>1472</v>
      </c>
      <c r="D1307" s="1" t="s">
        <v>20</v>
      </c>
      <c r="E1307" s="5" t="s">
        <v>1892</v>
      </c>
      <c r="F1307" s="4"/>
      <c r="G1307" s="4"/>
    </row>
    <row r="1308" spans="1:7" ht="15.75" customHeight="1" x14ac:dyDescent="0.15">
      <c r="A1308" s="1">
        <v>1140</v>
      </c>
      <c r="B1308" s="1">
        <v>3272</v>
      </c>
      <c r="C1308" s="1" t="s">
        <v>1473</v>
      </c>
      <c r="D1308" s="1" t="s">
        <v>20</v>
      </c>
      <c r="E1308" s="5" t="s">
        <v>1892</v>
      </c>
      <c r="F1308" s="4"/>
      <c r="G1308" s="4"/>
    </row>
    <row r="1309" spans="1:7" ht="15.75" customHeight="1" x14ac:dyDescent="0.15">
      <c r="A1309" s="1">
        <v>1140</v>
      </c>
      <c r="B1309" s="1">
        <v>4079</v>
      </c>
      <c r="C1309" s="1" t="s">
        <v>1474</v>
      </c>
      <c r="D1309" s="1" t="s">
        <v>20</v>
      </c>
      <c r="E1309" s="5" t="s">
        <v>1892</v>
      </c>
      <c r="F1309" s="4"/>
      <c r="G1309" s="4"/>
    </row>
    <row r="1310" spans="1:7" ht="15.75" customHeight="1" x14ac:dyDescent="0.15">
      <c r="A1310" s="1">
        <v>1140</v>
      </c>
      <c r="B1310" s="1">
        <v>4194</v>
      </c>
      <c r="C1310" s="1" t="s">
        <v>1475</v>
      </c>
      <c r="D1310" s="1" t="s">
        <v>53</v>
      </c>
      <c r="E1310" s="5" t="s">
        <v>1892</v>
      </c>
      <c r="F1310" s="4"/>
      <c r="G1310" s="4"/>
    </row>
    <row r="1311" spans="1:7" ht="15.75" customHeight="1" x14ac:dyDescent="0.15">
      <c r="A1311" s="1">
        <v>1140</v>
      </c>
      <c r="B1311" s="1">
        <v>4297</v>
      </c>
      <c r="C1311" s="1" t="s">
        <v>1476</v>
      </c>
      <c r="D1311" s="1" t="s">
        <v>18</v>
      </c>
      <c r="E1311" s="5" t="s">
        <v>1892</v>
      </c>
      <c r="F1311" s="4"/>
      <c r="G1311" s="4"/>
    </row>
    <row r="1312" spans="1:7" ht="15.75" customHeight="1" x14ac:dyDescent="0.15">
      <c r="A1312" s="1">
        <v>1140</v>
      </c>
      <c r="B1312" s="1">
        <v>11231</v>
      </c>
      <c r="C1312" s="1" t="s">
        <v>1477</v>
      </c>
      <c r="D1312" s="1" t="s">
        <v>95</v>
      </c>
      <c r="E1312" s="5" t="s">
        <v>1892</v>
      </c>
      <c r="F1312" s="4"/>
      <c r="G1312" s="4"/>
    </row>
    <row r="1313" spans="1:7" ht="15.75" customHeight="1" x14ac:dyDescent="0.15">
      <c r="A1313" s="1">
        <v>1140</v>
      </c>
      <c r="B1313" s="1">
        <v>1918</v>
      </c>
      <c r="C1313" s="1" t="s">
        <v>1478</v>
      </c>
      <c r="D1313" s="1" t="s">
        <v>95</v>
      </c>
      <c r="E1313" s="5" t="s">
        <v>1892</v>
      </c>
      <c r="F1313" s="4"/>
      <c r="G1313" s="4"/>
    </row>
    <row r="1314" spans="1:7" ht="15.75" customHeight="1" x14ac:dyDescent="0.15">
      <c r="A1314" s="1">
        <v>1140</v>
      </c>
      <c r="B1314" s="1">
        <v>4539</v>
      </c>
      <c r="C1314" s="1" t="s">
        <v>1479</v>
      </c>
      <c r="D1314" s="1" t="s">
        <v>979</v>
      </c>
      <c r="E1314" s="5" t="s">
        <v>1892</v>
      </c>
      <c r="F1314" s="4"/>
      <c r="G1314" s="4"/>
    </row>
    <row r="1315" spans="1:7" ht="15.75" customHeight="1" x14ac:dyDescent="0.15">
      <c r="A1315" s="1">
        <v>1140</v>
      </c>
      <c r="B1315" s="1">
        <v>4538</v>
      </c>
      <c r="C1315" s="1" t="s">
        <v>1480</v>
      </c>
      <c r="D1315" s="1" t="s">
        <v>979</v>
      </c>
      <c r="E1315" s="5" t="s">
        <v>1892</v>
      </c>
      <c r="F1315" s="4"/>
      <c r="G1315" s="4"/>
    </row>
    <row r="1316" spans="1:7" ht="15.75" customHeight="1" x14ac:dyDescent="0.15">
      <c r="A1316" s="1">
        <v>1140</v>
      </c>
      <c r="B1316" s="1">
        <v>4553</v>
      </c>
      <c r="C1316" s="1" t="s">
        <v>1481</v>
      </c>
      <c r="D1316" s="1" t="s">
        <v>48</v>
      </c>
      <c r="E1316" s="5" t="s">
        <v>1892</v>
      </c>
      <c r="F1316" s="4"/>
      <c r="G1316" s="4"/>
    </row>
    <row r="1317" spans="1:7" ht="15.75" customHeight="1" x14ac:dyDescent="0.15">
      <c r="A1317" s="1">
        <v>1140</v>
      </c>
      <c r="B1317" s="1">
        <v>1427</v>
      </c>
      <c r="C1317" s="1" t="s">
        <v>1482</v>
      </c>
      <c r="D1317" s="1" t="s">
        <v>48</v>
      </c>
      <c r="E1317" s="5" t="s">
        <v>1892</v>
      </c>
      <c r="F1317" s="4"/>
      <c r="G1317" s="4"/>
    </row>
    <row r="1318" spans="1:7" ht="15.75" customHeight="1" x14ac:dyDescent="0.15">
      <c r="A1318" s="1">
        <v>1140</v>
      </c>
      <c r="B1318" s="1">
        <v>2030</v>
      </c>
      <c r="C1318" s="1" t="s">
        <v>1483</v>
      </c>
      <c r="D1318" s="1" t="s">
        <v>48</v>
      </c>
      <c r="E1318" s="5" t="s">
        <v>1892</v>
      </c>
      <c r="F1318" s="4"/>
      <c r="G1318" s="4"/>
    </row>
    <row r="1319" spans="1:7" ht="15.75" customHeight="1" x14ac:dyDescent="0.15">
      <c r="A1319" s="1">
        <v>1140</v>
      </c>
      <c r="B1319" s="1">
        <v>11226</v>
      </c>
      <c r="C1319" s="1" t="s">
        <v>1484</v>
      </c>
      <c r="D1319" s="1" t="s">
        <v>141</v>
      </c>
      <c r="E1319" s="5" t="s">
        <v>1892</v>
      </c>
      <c r="F1319" s="4"/>
      <c r="G1319" s="4"/>
    </row>
    <row r="1320" spans="1:7" ht="15.75" customHeight="1" x14ac:dyDescent="0.15">
      <c r="A1320" s="1">
        <v>1140</v>
      </c>
      <c r="B1320" s="1">
        <v>1380</v>
      </c>
      <c r="C1320" s="1" t="s">
        <v>1485</v>
      </c>
      <c r="D1320" s="1" t="s">
        <v>81</v>
      </c>
      <c r="E1320" s="5" t="s">
        <v>1892</v>
      </c>
      <c r="F1320" s="4"/>
      <c r="G1320" s="4"/>
    </row>
    <row r="1321" spans="1:7" ht="15.75" customHeight="1" x14ac:dyDescent="0.15">
      <c r="A1321" s="1">
        <v>1140</v>
      </c>
      <c r="B1321" s="1">
        <v>11342</v>
      </c>
      <c r="C1321" s="1" t="s">
        <v>1486</v>
      </c>
      <c r="D1321" s="1" t="s">
        <v>81</v>
      </c>
      <c r="E1321" s="5" t="s">
        <v>1892</v>
      </c>
      <c r="F1321" s="4"/>
      <c r="G1321" s="4"/>
    </row>
    <row r="1322" spans="1:7" ht="15.75" customHeight="1" x14ac:dyDescent="0.15">
      <c r="A1322" s="1">
        <v>1140</v>
      </c>
      <c r="B1322" s="1">
        <v>7186</v>
      </c>
      <c r="C1322" s="1" t="s">
        <v>1487</v>
      </c>
      <c r="D1322" s="1" t="s">
        <v>23</v>
      </c>
      <c r="E1322" s="5" t="s">
        <v>1892</v>
      </c>
      <c r="F1322" s="4"/>
      <c r="G1322" s="4"/>
    </row>
    <row r="1323" spans="1:7" ht="15.75" customHeight="1" x14ac:dyDescent="0.15">
      <c r="A1323" s="1">
        <v>1140</v>
      </c>
      <c r="B1323" s="1">
        <v>274</v>
      </c>
      <c r="C1323" s="1" t="s">
        <v>1488</v>
      </c>
      <c r="D1323" s="1" t="s">
        <v>23</v>
      </c>
      <c r="E1323" s="5" t="s">
        <v>1892</v>
      </c>
      <c r="F1323" s="4"/>
      <c r="G1323" s="4"/>
    </row>
    <row r="1324" spans="1:7" ht="15.75" customHeight="1" x14ac:dyDescent="0.15">
      <c r="A1324" s="1">
        <v>1140</v>
      </c>
      <c r="B1324" s="1">
        <v>11343</v>
      </c>
      <c r="C1324" s="1" t="s">
        <v>1489</v>
      </c>
      <c r="D1324" s="1" t="s">
        <v>23</v>
      </c>
      <c r="E1324" s="5" t="s">
        <v>1892</v>
      </c>
      <c r="F1324" s="4"/>
      <c r="G1324" s="4"/>
    </row>
    <row r="1325" spans="1:7" ht="15.75" customHeight="1" x14ac:dyDescent="0.15">
      <c r="A1325" s="1">
        <v>1140</v>
      </c>
      <c r="B1325" s="1">
        <v>4217</v>
      </c>
      <c r="C1325" s="1" t="s">
        <v>1490</v>
      </c>
      <c r="D1325" s="1" t="s">
        <v>96</v>
      </c>
      <c r="E1325" s="5" t="s">
        <v>1892</v>
      </c>
      <c r="F1325" s="4"/>
      <c r="G1325" s="4"/>
    </row>
    <row r="1326" spans="1:7" ht="15.75" customHeight="1" x14ac:dyDescent="0.15">
      <c r="A1326" s="1">
        <v>1140</v>
      </c>
      <c r="B1326" s="1">
        <v>10675</v>
      </c>
      <c r="C1326" s="1" t="s">
        <v>1491</v>
      </c>
      <c r="D1326" s="1" t="s">
        <v>67</v>
      </c>
      <c r="E1326" s="5" t="s">
        <v>1892</v>
      </c>
      <c r="F1326" s="4"/>
      <c r="G1326" s="4"/>
    </row>
    <row r="1327" spans="1:7" ht="15.75" customHeight="1" x14ac:dyDescent="0.15">
      <c r="A1327" s="1">
        <v>1140</v>
      </c>
      <c r="B1327" s="1">
        <v>3860</v>
      </c>
      <c r="C1327" s="1" t="s">
        <v>1492</v>
      </c>
      <c r="D1327" s="1" t="s">
        <v>64</v>
      </c>
      <c r="E1327" s="5" t="s">
        <v>1892</v>
      </c>
      <c r="F1327" s="4"/>
      <c r="G1327" s="4"/>
    </row>
    <row r="1328" spans="1:7" ht="15.75" customHeight="1" x14ac:dyDescent="0.15">
      <c r="A1328" s="1">
        <v>1140</v>
      </c>
      <c r="B1328" s="1">
        <v>4189</v>
      </c>
      <c r="C1328" s="1" t="s">
        <v>1493</v>
      </c>
      <c r="D1328" s="1" t="s">
        <v>64</v>
      </c>
      <c r="E1328" s="5" t="s">
        <v>1892</v>
      </c>
      <c r="F1328" s="4"/>
      <c r="G1328" s="4"/>
    </row>
    <row r="1329" spans="1:7" ht="15.75" customHeight="1" x14ac:dyDescent="0.15">
      <c r="A1329" s="1">
        <v>1140</v>
      </c>
      <c r="B1329" s="1">
        <v>1405</v>
      </c>
      <c r="C1329" s="1" t="s">
        <v>1494</v>
      </c>
      <c r="D1329" s="1" t="s">
        <v>64</v>
      </c>
      <c r="E1329" s="5" t="s">
        <v>1892</v>
      </c>
      <c r="F1329" s="4"/>
      <c r="G1329" s="4"/>
    </row>
    <row r="1330" spans="1:7" ht="15.75" customHeight="1" x14ac:dyDescent="0.15">
      <c r="A1330" s="1">
        <v>1140</v>
      </c>
      <c r="B1330" s="1">
        <v>1166</v>
      </c>
      <c r="C1330" s="1" t="s">
        <v>1495</v>
      </c>
      <c r="D1330" s="1" t="s">
        <v>64</v>
      </c>
      <c r="E1330" s="5" t="s">
        <v>1892</v>
      </c>
      <c r="F1330" s="4"/>
      <c r="G1330" s="4"/>
    </row>
    <row r="1331" spans="1:7" ht="15.75" customHeight="1" x14ac:dyDescent="0.15">
      <c r="A1331" s="1">
        <v>1140</v>
      </c>
      <c r="B1331" s="1">
        <v>11096</v>
      </c>
      <c r="C1331" s="1" t="s">
        <v>1496</v>
      </c>
      <c r="D1331" s="1" t="s">
        <v>24</v>
      </c>
      <c r="E1331" s="5" t="s">
        <v>1892</v>
      </c>
      <c r="F1331" s="4"/>
      <c r="G1331" s="4"/>
    </row>
    <row r="1332" spans="1:7" ht="15.75" customHeight="1" x14ac:dyDescent="0.15">
      <c r="A1332" s="1">
        <v>1140</v>
      </c>
      <c r="B1332" s="1">
        <v>4068</v>
      </c>
      <c r="C1332" s="1" t="s">
        <v>1497</v>
      </c>
      <c r="D1332" s="1" t="s">
        <v>24</v>
      </c>
      <c r="E1332" s="5" t="s">
        <v>1892</v>
      </c>
      <c r="F1332" s="4"/>
      <c r="G1332" s="4"/>
    </row>
    <row r="1333" spans="1:7" ht="15.75" customHeight="1" x14ac:dyDescent="0.15">
      <c r="A1333" s="1">
        <v>1140</v>
      </c>
      <c r="B1333" s="1">
        <v>673</v>
      </c>
      <c r="C1333" s="1" t="s">
        <v>1498</v>
      </c>
      <c r="D1333" s="1" t="s">
        <v>24</v>
      </c>
      <c r="E1333" s="5" t="s">
        <v>1892</v>
      </c>
      <c r="F1333" s="4"/>
      <c r="G1333" s="4"/>
    </row>
    <row r="1334" spans="1:7" ht="15.75" customHeight="1" x14ac:dyDescent="0.15">
      <c r="A1334" s="1">
        <v>1140</v>
      </c>
      <c r="B1334" s="1">
        <v>3959</v>
      </c>
      <c r="C1334" s="1" t="s">
        <v>1499</v>
      </c>
      <c r="D1334" s="1" t="s">
        <v>24</v>
      </c>
      <c r="E1334" s="5" t="s">
        <v>1892</v>
      </c>
      <c r="F1334" s="4"/>
      <c r="G1334" s="4"/>
    </row>
    <row r="1335" spans="1:7" ht="15.75" customHeight="1" x14ac:dyDescent="0.15">
      <c r="A1335" s="1">
        <v>1140</v>
      </c>
      <c r="B1335" s="1">
        <v>1596</v>
      </c>
      <c r="C1335" s="1" t="s">
        <v>1500</v>
      </c>
      <c r="D1335" s="1" t="s">
        <v>216</v>
      </c>
      <c r="E1335" s="5" t="s">
        <v>1892</v>
      </c>
      <c r="F1335" s="4"/>
      <c r="G1335" s="4"/>
    </row>
    <row r="1336" spans="1:7" ht="15.75" customHeight="1" x14ac:dyDescent="0.15">
      <c r="A1336" s="1">
        <v>1140</v>
      </c>
      <c r="B1336" s="1">
        <v>1598</v>
      </c>
      <c r="C1336" s="1" t="s">
        <v>1501</v>
      </c>
      <c r="D1336" s="1" t="s">
        <v>216</v>
      </c>
      <c r="E1336" s="5" t="s">
        <v>1892</v>
      </c>
      <c r="F1336" s="4"/>
      <c r="G1336" s="4"/>
    </row>
    <row r="1337" spans="1:7" ht="15.75" customHeight="1" x14ac:dyDescent="0.15">
      <c r="A1337" s="1">
        <v>1140</v>
      </c>
      <c r="B1337" s="1">
        <v>2572</v>
      </c>
      <c r="C1337" s="1" t="s">
        <v>1502</v>
      </c>
      <c r="D1337" s="1" t="s">
        <v>128</v>
      </c>
      <c r="E1337" s="5" t="s">
        <v>1892</v>
      </c>
      <c r="F1337" s="4"/>
      <c r="G1337" s="4"/>
    </row>
    <row r="1338" spans="1:7" ht="15.75" customHeight="1" x14ac:dyDescent="0.15">
      <c r="A1338" s="1">
        <v>1140</v>
      </c>
      <c r="B1338" s="1">
        <v>4949</v>
      </c>
      <c r="C1338" s="1" t="s">
        <v>1503</v>
      </c>
      <c r="D1338" s="1" t="s">
        <v>128</v>
      </c>
      <c r="E1338" s="5" t="s">
        <v>1892</v>
      </c>
      <c r="F1338" s="4"/>
      <c r="G1338" s="4"/>
    </row>
    <row r="1339" spans="1:7" ht="15.75" customHeight="1" x14ac:dyDescent="0.15">
      <c r="A1339" s="1">
        <v>1140</v>
      </c>
      <c r="B1339" s="1">
        <v>5396</v>
      </c>
      <c r="C1339" s="1" t="s">
        <v>1504</v>
      </c>
      <c r="D1339" s="1" t="s">
        <v>1505</v>
      </c>
      <c r="E1339" s="5" t="s">
        <v>1892</v>
      </c>
      <c r="F1339" s="4"/>
      <c r="G1339" s="4"/>
    </row>
    <row r="1340" spans="1:7" ht="15.75" customHeight="1" x14ac:dyDescent="0.15">
      <c r="A1340" s="1">
        <v>1140</v>
      </c>
      <c r="B1340" s="1">
        <v>218</v>
      </c>
      <c r="C1340" s="1" t="s">
        <v>1506</v>
      </c>
      <c r="D1340" s="1" t="s">
        <v>1280</v>
      </c>
      <c r="E1340" s="5" t="s">
        <v>1892</v>
      </c>
      <c r="F1340" s="4"/>
      <c r="G1340" s="4"/>
    </row>
    <row r="1341" spans="1:7" ht="15.75" customHeight="1" x14ac:dyDescent="0.15">
      <c r="A1341" s="1">
        <v>1140</v>
      </c>
      <c r="B1341" s="1">
        <v>10526</v>
      </c>
      <c r="C1341" s="1" t="s">
        <v>1507</v>
      </c>
      <c r="D1341" s="1" t="s">
        <v>62</v>
      </c>
      <c r="E1341" s="5" t="s">
        <v>1892</v>
      </c>
      <c r="F1341" s="4"/>
      <c r="G1341" s="4"/>
    </row>
    <row r="1342" spans="1:7" ht="15.75" customHeight="1" x14ac:dyDescent="0.15">
      <c r="A1342" s="1">
        <v>1140</v>
      </c>
      <c r="B1342" s="1">
        <v>10980</v>
      </c>
      <c r="C1342" s="1" t="s">
        <v>1508</v>
      </c>
      <c r="D1342" s="1" t="s">
        <v>62</v>
      </c>
      <c r="E1342" s="5" t="s">
        <v>1892</v>
      </c>
      <c r="F1342" s="4"/>
      <c r="G1342" s="4"/>
    </row>
    <row r="1343" spans="1:7" ht="15.75" customHeight="1" x14ac:dyDescent="0.15">
      <c r="A1343" s="1">
        <v>1140</v>
      </c>
      <c r="B1343" s="1">
        <v>11368</v>
      </c>
      <c r="C1343" s="1" t="s">
        <v>1509</v>
      </c>
      <c r="D1343" s="1" t="s">
        <v>62</v>
      </c>
      <c r="E1343" s="5" t="s">
        <v>1892</v>
      </c>
      <c r="F1343" s="4"/>
      <c r="G1343" s="4"/>
    </row>
    <row r="1344" spans="1:7" ht="15.75" customHeight="1" x14ac:dyDescent="0.15">
      <c r="A1344" s="1">
        <v>1140</v>
      </c>
      <c r="B1344" s="1">
        <v>8853</v>
      </c>
      <c r="C1344" s="1" t="s">
        <v>1510</v>
      </c>
      <c r="D1344" s="1" t="s">
        <v>468</v>
      </c>
      <c r="E1344" s="5" t="s">
        <v>1892</v>
      </c>
      <c r="F1344" s="4"/>
      <c r="G1344" s="4"/>
    </row>
    <row r="1345" spans="1:7" ht="15.75" customHeight="1" x14ac:dyDescent="0.15">
      <c r="A1345" s="1">
        <v>1140</v>
      </c>
      <c r="B1345" s="1">
        <v>7882</v>
      </c>
      <c r="C1345" s="1" t="s">
        <v>1511</v>
      </c>
      <c r="D1345" s="1" t="s">
        <v>468</v>
      </c>
      <c r="E1345" s="5" t="s">
        <v>1892</v>
      </c>
      <c r="F1345" s="4"/>
      <c r="G1345" s="4"/>
    </row>
    <row r="1346" spans="1:7" ht="15.75" customHeight="1" x14ac:dyDescent="0.15">
      <c r="A1346" s="1">
        <v>1140</v>
      </c>
      <c r="B1346" s="1">
        <v>7490</v>
      </c>
      <c r="C1346" s="1" t="s">
        <v>1512</v>
      </c>
      <c r="D1346" s="1" t="s">
        <v>468</v>
      </c>
      <c r="E1346" s="5" t="s">
        <v>1892</v>
      </c>
      <c r="F1346" s="4"/>
      <c r="G1346" s="4"/>
    </row>
    <row r="1347" spans="1:7" ht="15.75" customHeight="1" x14ac:dyDescent="0.15">
      <c r="A1347" s="1">
        <v>1140</v>
      </c>
      <c r="B1347" s="1">
        <v>3994</v>
      </c>
      <c r="C1347" s="1" t="s">
        <v>1513</v>
      </c>
      <c r="D1347" s="1" t="s">
        <v>468</v>
      </c>
      <c r="E1347" s="5" t="s">
        <v>1892</v>
      </c>
      <c r="F1347" s="4"/>
      <c r="G1347" s="4"/>
    </row>
    <row r="1348" spans="1:7" ht="15.75" customHeight="1" x14ac:dyDescent="0.15">
      <c r="A1348" s="1">
        <v>1140</v>
      </c>
      <c r="B1348" s="1">
        <v>5898</v>
      </c>
      <c r="C1348" s="1" t="s">
        <v>1514</v>
      </c>
      <c r="D1348" s="1" t="s">
        <v>468</v>
      </c>
      <c r="E1348" s="5" t="s">
        <v>1892</v>
      </c>
      <c r="F1348" s="4"/>
      <c r="G1348" s="4"/>
    </row>
    <row r="1349" spans="1:7" ht="15.75" customHeight="1" x14ac:dyDescent="0.15">
      <c r="A1349" s="1">
        <v>1140</v>
      </c>
      <c r="B1349" s="1">
        <v>3958</v>
      </c>
      <c r="C1349" s="1" t="s">
        <v>1515</v>
      </c>
      <c r="D1349" s="1" t="s">
        <v>218</v>
      </c>
      <c r="E1349" s="5" t="s">
        <v>1892</v>
      </c>
      <c r="F1349" s="4"/>
      <c r="G1349" s="4"/>
    </row>
    <row r="1350" spans="1:7" ht="15.75" customHeight="1" x14ac:dyDescent="0.15">
      <c r="A1350" s="1">
        <v>1140</v>
      </c>
      <c r="B1350" s="1">
        <v>4162</v>
      </c>
      <c r="C1350" s="1" t="s">
        <v>1516</v>
      </c>
      <c r="D1350" s="1" t="s">
        <v>218</v>
      </c>
      <c r="E1350" s="5" t="s">
        <v>1892</v>
      </c>
      <c r="F1350" s="4"/>
      <c r="G1350" s="4"/>
    </row>
    <row r="1351" spans="1:7" ht="15.75" customHeight="1" x14ac:dyDescent="0.15">
      <c r="A1351" s="1">
        <v>1140</v>
      </c>
      <c r="B1351" s="1">
        <v>11382</v>
      </c>
      <c r="C1351" s="1" t="s">
        <v>1517</v>
      </c>
      <c r="D1351" s="1" t="s">
        <v>33</v>
      </c>
      <c r="E1351" s="5" t="s">
        <v>1892</v>
      </c>
      <c r="F1351" s="4"/>
      <c r="G1351" s="4"/>
    </row>
    <row r="1352" spans="1:7" ht="15.75" customHeight="1" x14ac:dyDescent="0.15">
      <c r="A1352" s="1">
        <v>1140</v>
      </c>
      <c r="B1352" s="1">
        <v>6118</v>
      </c>
      <c r="C1352" s="1" t="s">
        <v>1518</v>
      </c>
      <c r="D1352" s="1" t="s">
        <v>33</v>
      </c>
      <c r="E1352" s="5" t="s">
        <v>1892</v>
      </c>
      <c r="F1352" s="4"/>
      <c r="G1352" s="4"/>
    </row>
    <row r="1353" spans="1:7" ht="15.75" customHeight="1" x14ac:dyDescent="0.15">
      <c r="A1353" s="1">
        <v>1140</v>
      </c>
      <c r="B1353" s="1">
        <v>11383</v>
      </c>
      <c r="C1353" s="1" t="s">
        <v>1519</v>
      </c>
      <c r="D1353" s="1" t="s">
        <v>33</v>
      </c>
      <c r="E1353" s="5" t="s">
        <v>1892</v>
      </c>
      <c r="F1353" s="4"/>
      <c r="G1353" s="4"/>
    </row>
    <row r="1354" spans="1:7" ht="15.75" customHeight="1" x14ac:dyDescent="0.15">
      <c r="A1354" s="1">
        <v>1140</v>
      </c>
      <c r="B1354" s="1">
        <v>8021</v>
      </c>
      <c r="C1354" s="1" t="s">
        <v>1520</v>
      </c>
      <c r="D1354" s="1" t="s">
        <v>574</v>
      </c>
      <c r="E1354" s="5" t="s">
        <v>1892</v>
      </c>
      <c r="F1354" s="4"/>
      <c r="G1354" s="4"/>
    </row>
    <row r="1355" spans="1:7" ht="15.75" customHeight="1" x14ac:dyDescent="0.15">
      <c r="A1355" s="1">
        <v>1140</v>
      </c>
      <c r="B1355" s="1">
        <v>9971</v>
      </c>
      <c r="C1355" s="1" t="s">
        <v>1521</v>
      </c>
      <c r="D1355" s="1" t="s">
        <v>1522</v>
      </c>
      <c r="E1355" s="5" t="s">
        <v>1892</v>
      </c>
      <c r="F1355" s="4"/>
      <c r="G1355" s="4"/>
    </row>
    <row r="1356" spans="1:7" ht="15.75" customHeight="1" x14ac:dyDescent="0.15">
      <c r="A1356" s="1">
        <v>1140</v>
      </c>
      <c r="B1356" s="1">
        <v>3456</v>
      </c>
      <c r="C1356" s="1" t="s">
        <v>1523</v>
      </c>
      <c r="D1356" s="1" t="s">
        <v>1524</v>
      </c>
      <c r="E1356" s="5" t="s">
        <v>1892</v>
      </c>
      <c r="F1356" s="4"/>
      <c r="G1356" s="4"/>
    </row>
    <row r="1357" spans="1:7" ht="15.75" customHeight="1" x14ac:dyDescent="0.15">
      <c r="A1357" s="1">
        <v>1140</v>
      </c>
      <c r="B1357" s="1">
        <v>11337</v>
      </c>
      <c r="C1357" s="1" t="s">
        <v>1525</v>
      </c>
      <c r="D1357" s="1" t="s">
        <v>835</v>
      </c>
      <c r="E1357" s="5" t="s">
        <v>1892</v>
      </c>
      <c r="F1357" s="4"/>
      <c r="G1357" s="4"/>
    </row>
    <row r="1358" spans="1:7" ht="15.75" customHeight="1" x14ac:dyDescent="0.15">
      <c r="A1358" s="1">
        <v>1140</v>
      </c>
      <c r="B1358" s="1">
        <v>3080</v>
      </c>
      <c r="C1358" s="1" t="s">
        <v>1526</v>
      </c>
      <c r="D1358" s="1" t="s">
        <v>47</v>
      </c>
      <c r="E1358" s="5" t="s">
        <v>1892</v>
      </c>
      <c r="F1358" s="4"/>
      <c r="G1358" s="4"/>
    </row>
    <row r="1359" spans="1:7" ht="15.75" customHeight="1" x14ac:dyDescent="0.15">
      <c r="A1359" s="1">
        <v>1140</v>
      </c>
      <c r="B1359" s="1">
        <v>3274</v>
      </c>
      <c r="C1359" s="1" t="s">
        <v>1527</v>
      </c>
      <c r="D1359" s="1" t="s">
        <v>388</v>
      </c>
      <c r="E1359" s="5" t="s">
        <v>1892</v>
      </c>
      <c r="F1359" s="4"/>
      <c r="G1359" s="4"/>
    </row>
    <row r="1360" spans="1:7" ht="15.75" customHeight="1" x14ac:dyDescent="0.15">
      <c r="A1360" s="1">
        <v>1140</v>
      </c>
      <c r="B1360" s="1">
        <v>5769</v>
      </c>
      <c r="C1360" s="1" t="s">
        <v>1528</v>
      </c>
      <c r="D1360" s="1" t="s">
        <v>388</v>
      </c>
      <c r="E1360" s="5" t="s">
        <v>1892</v>
      </c>
      <c r="F1360" s="4"/>
      <c r="G1360" s="4"/>
    </row>
    <row r="1361" spans="1:7" ht="15.75" customHeight="1" x14ac:dyDescent="0.15">
      <c r="A1361" s="1">
        <v>1140</v>
      </c>
      <c r="B1361" s="1">
        <v>2970</v>
      </c>
      <c r="C1361" s="1" t="s">
        <v>1529</v>
      </c>
      <c r="D1361" s="1" t="s">
        <v>388</v>
      </c>
      <c r="E1361" s="5" t="s">
        <v>1892</v>
      </c>
      <c r="F1361" s="4"/>
      <c r="G1361" s="4"/>
    </row>
    <row r="1362" spans="1:7" ht="15.75" customHeight="1" x14ac:dyDescent="0.15">
      <c r="A1362" s="1">
        <v>1140</v>
      </c>
      <c r="B1362" s="1">
        <v>3275</v>
      </c>
      <c r="C1362" s="1" t="s">
        <v>1530</v>
      </c>
      <c r="D1362" s="1" t="s">
        <v>388</v>
      </c>
      <c r="E1362" s="5" t="s">
        <v>1892</v>
      </c>
      <c r="F1362" s="4"/>
      <c r="G1362" s="4"/>
    </row>
    <row r="1363" spans="1:7" ht="15.75" customHeight="1" x14ac:dyDescent="0.15">
      <c r="A1363" s="1">
        <v>1140</v>
      </c>
      <c r="B1363" s="1">
        <v>7734</v>
      </c>
      <c r="C1363" s="1" t="s">
        <v>1531</v>
      </c>
      <c r="D1363" s="1" t="s">
        <v>45</v>
      </c>
      <c r="E1363" s="5" t="s">
        <v>1892</v>
      </c>
      <c r="F1363" s="4"/>
      <c r="G1363" s="4"/>
    </row>
    <row r="1364" spans="1:7" ht="15.75" customHeight="1" x14ac:dyDescent="0.15">
      <c r="A1364" s="1">
        <v>1140</v>
      </c>
      <c r="B1364" s="1">
        <v>1849</v>
      </c>
      <c r="C1364" s="1" t="s">
        <v>1532</v>
      </c>
      <c r="D1364" s="1" t="s">
        <v>45</v>
      </c>
      <c r="E1364" s="5" t="s">
        <v>1892</v>
      </c>
      <c r="F1364" s="4"/>
      <c r="G1364" s="4"/>
    </row>
    <row r="1365" spans="1:7" ht="15.75" customHeight="1" x14ac:dyDescent="0.15">
      <c r="A1365" s="1">
        <v>1140</v>
      </c>
      <c r="B1365" s="1">
        <v>7602</v>
      </c>
      <c r="C1365" s="1" t="s">
        <v>1533</v>
      </c>
      <c r="D1365" s="1" t="s">
        <v>45</v>
      </c>
      <c r="E1365" s="5" t="s">
        <v>1892</v>
      </c>
      <c r="F1365" s="4"/>
      <c r="G1365" s="4"/>
    </row>
    <row r="1366" spans="1:7" ht="15.75" customHeight="1" x14ac:dyDescent="0.15">
      <c r="A1366" s="1">
        <v>1140</v>
      </c>
      <c r="B1366" s="1">
        <v>3624</v>
      </c>
      <c r="C1366" s="1" t="s">
        <v>1534</v>
      </c>
      <c r="D1366" s="1" t="s">
        <v>45</v>
      </c>
      <c r="E1366" s="5" t="s">
        <v>1892</v>
      </c>
      <c r="F1366" s="4"/>
      <c r="G1366" s="4"/>
    </row>
    <row r="1367" spans="1:7" ht="15.75" customHeight="1" x14ac:dyDescent="0.15">
      <c r="A1367" s="1">
        <v>1140</v>
      </c>
      <c r="B1367" s="1">
        <v>2817</v>
      </c>
      <c r="C1367" s="1" t="s">
        <v>1535</v>
      </c>
      <c r="D1367" s="1" t="s">
        <v>45</v>
      </c>
      <c r="E1367" s="5" t="s">
        <v>1892</v>
      </c>
      <c r="F1367" s="4"/>
      <c r="G1367" s="4"/>
    </row>
    <row r="1368" spans="1:7" ht="15.75" customHeight="1" x14ac:dyDescent="0.15">
      <c r="A1368" s="1">
        <v>1140</v>
      </c>
      <c r="B1368" s="1">
        <v>6426</v>
      </c>
      <c r="C1368" s="1" t="s">
        <v>1536</v>
      </c>
      <c r="D1368" s="1" t="s">
        <v>45</v>
      </c>
      <c r="E1368" s="5" t="s">
        <v>1892</v>
      </c>
      <c r="F1368" s="4"/>
      <c r="G1368" s="4"/>
    </row>
    <row r="1369" spans="1:7" ht="15.75" customHeight="1" x14ac:dyDescent="0.15">
      <c r="A1369" s="1">
        <v>1140</v>
      </c>
      <c r="B1369" s="1">
        <v>6430</v>
      </c>
      <c r="C1369" s="1" t="s">
        <v>1537</v>
      </c>
      <c r="D1369" s="1" t="s">
        <v>45</v>
      </c>
      <c r="E1369" s="5" t="s">
        <v>1892</v>
      </c>
      <c r="F1369" s="4"/>
      <c r="G1369" s="4"/>
    </row>
    <row r="1370" spans="1:7" ht="15.75" customHeight="1" x14ac:dyDescent="0.15">
      <c r="A1370" s="1">
        <v>1140</v>
      </c>
      <c r="B1370" s="1">
        <v>792</v>
      </c>
      <c r="C1370" s="1" t="s">
        <v>1538</v>
      </c>
      <c r="D1370" s="1" t="s">
        <v>45</v>
      </c>
      <c r="E1370" s="5" t="s">
        <v>1892</v>
      </c>
      <c r="F1370" s="4"/>
      <c r="G1370" s="4"/>
    </row>
    <row r="1371" spans="1:7" ht="15.75" customHeight="1" x14ac:dyDescent="0.15">
      <c r="A1371" s="1">
        <v>1140</v>
      </c>
      <c r="B1371" s="1">
        <v>11122</v>
      </c>
      <c r="C1371" s="1" t="s">
        <v>1539</v>
      </c>
      <c r="D1371" s="1" t="s">
        <v>250</v>
      </c>
      <c r="E1371" s="5" t="s">
        <v>1892</v>
      </c>
      <c r="F1371" s="4"/>
      <c r="G1371" s="4"/>
    </row>
    <row r="1372" spans="1:7" ht="15.75" customHeight="1" x14ac:dyDescent="0.15">
      <c r="A1372" s="1">
        <v>1140</v>
      </c>
      <c r="B1372" s="1">
        <v>528</v>
      </c>
      <c r="C1372" s="1" t="s">
        <v>1540</v>
      </c>
      <c r="D1372" s="1" t="s">
        <v>250</v>
      </c>
      <c r="E1372" s="5" t="s">
        <v>1892</v>
      </c>
      <c r="F1372" s="4"/>
      <c r="G1372" s="4"/>
    </row>
    <row r="1373" spans="1:7" ht="15.75" customHeight="1" x14ac:dyDescent="0.15">
      <c r="A1373" s="1">
        <v>1140</v>
      </c>
      <c r="B1373" s="1">
        <v>5806</v>
      </c>
      <c r="C1373" s="1" t="s">
        <v>1541</v>
      </c>
      <c r="D1373" s="1" t="s">
        <v>250</v>
      </c>
      <c r="E1373" s="5" t="s">
        <v>1892</v>
      </c>
      <c r="F1373" s="4"/>
      <c r="G1373" s="4"/>
    </row>
    <row r="1374" spans="1:7" ht="15.75" customHeight="1" x14ac:dyDescent="0.15">
      <c r="A1374" s="1">
        <v>1140</v>
      </c>
      <c r="B1374" s="1">
        <v>5709</v>
      </c>
      <c r="C1374" s="1" t="s">
        <v>1542</v>
      </c>
      <c r="D1374" s="1" t="s">
        <v>29</v>
      </c>
      <c r="E1374" s="5" t="s">
        <v>1892</v>
      </c>
      <c r="F1374" s="4"/>
      <c r="G1374" s="4"/>
    </row>
    <row r="1375" spans="1:7" ht="15.75" customHeight="1" x14ac:dyDescent="0.15">
      <c r="A1375" s="1">
        <v>1140</v>
      </c>
      <c r="B1375" s="1">
        <v>5419</v>
      </c>
      <c r="C1375" s="1" t="s">
        <v>1543</v>
      </c>
      <c r="D1375" s="1" t="s">
        <v>31</v>
      </c>
      <c r="E1375" s="5" t="s">
        <v>1892</v>
      </c>
      <c r="F1375" s="4"/>
      <c r="G1375" s="4"/>
    </row>
    <row r="1376" spans="1:7" ht="15.75" customHeight="1" x14ac:dyDescent="0.15">
      <c r="A1376" s="1">
        <v>1140</v>
      </c>
      <c r="B1376" s="1">
        <v>1298</v>
      </c>
      <c r="C1376" s="1" t="s">
        <v>1544</v>
      </c>
      <c r="D1376" s="1" t="s">
        <v>31</v>
      </c>
      <c r="E1376" s="5" t="s">
        <v>1892</v>
      </c>
      <c r="F1376" s="4"/>
      <c r="G1376" s="4"/>
    </row>
    <row r="1377" spans="1:7" ht="15.75" customHeight="1" x14ac:dyDescent="0.15">
      <c r="A1377" s="1">
        <v>1140</v>
      </c>
      <c r="B1377" s="1">
        <v>2990</v>
      </c>
      <c r="C1377" s="1" t="s">
        <v>1545</v>
      </c>
      <c r="D1377" s="1" t="s">
        <v>31</v>
      </c>
      <c r="E1377" s="5" t="s">
        <v>1892</v>
      </c>
      <c r="F1377" s="4"/>
      <c r="G1377" s="4"/>
    </row>
    <row r="1378" spans="1:7" ht="15.75" customHeight="1" x14ac:dyDescent="0.15">
      <c r="A1378" s="1">
        <v>1140</v>
      </c>
      <c r="B1378" s="1">
        <v>7176</v>
      </c>
      <c r="C1378" s="1" t="s">
        <v>1546</v>
      </c>
      <c r="D1378" s="1" t="s">
        <v>31</v>
      </c>
      <c r="E1378" s="5" t="s">
        <v>1892</v>
      </c>
      <c r="F1378" s="4"/>
      <c r="G1378" s="4"/>
    </row>
    <row r="1379" spans="1:7" ht="15.75" customHeight="1" x14ac:dyDescent="0.15">
      <c r="A1379" s="1">
        <v>1140</v>
      </c>
      <c r="B1379" s="1">
        <v>11006</v>
      </c>
      <c r="C1379" s="1" t="s">
        <v>1547</v>
      </c>
      <c r="D1379" s="1" t="s">
        <v>148</v>
      </c>
      <c r="E1379" s="5" t="s">
        <v>1892</v>
      </c>
      <c r="F1379" s="4"/>
      <c r="G1379" s="4"/>
    </row>
    <row r="1380" spans="1:7" ht="15.75" customHeight="1" x14ac:dyDescent="0.15">
      <c r="A1380" s="1">
        <v>1140</v>
      </c>
      <c r="B1380" s="1">
        <v>11007</v>
      </c>
      <c r="C1380" s="1" t="s">
        <v>1548</v>
      </c>
      <c r="D1380" s="1" t="s">
        <v>148</v>
      </c>
      <c r="E1380" s="5" t="s">
        <v>1892</v>
      </c>
      <c r="F1380" s="4"/>
      <c r="G1380" s="4"/>
    </row>
    <row r="1381" spans="1:7" ht="15.75" customHeight="1" x14ac:dyDescent="0.15">
      <c r="A1381" s="1">
        <v>1140</v>
      </c>
      <c r="B1381" s="1">
        <v>3341</v>
      </c>
      <c r="C1381" s="1" t="s">
        <v>1549</v>
      </c>
      <c r="D1381" s="1" t="s">
        <v>148</v>
      </c>
      <c r="E1381" s="5" t="s">
        <v>1892</v>
      </c>
      <c r="F1381" s="4"/>
      <c r="G1381" s="4"/>
    </row>
    <row r="1382" spans="1:7" ht="15.75" customHeight="1" x14ac:dyDescent="0.15">
      <c r="A1382" s="1">
        <v>1140</v>
      </c>
      <c r="B1382" s="1">
        <v>4234</v>
      </c>
      <c r="C1382" s="1" t="s">
        <v>1550</v>
      </c>
      <c r="D1382" s="1" t="s">
        <v>148</v>
      </c>
      <c r="E1382" s="5" t="s">
        <v>1892</v>
      </c>
      <c r="F1382" s="4"/>
      <c r="G1382" s="4"/>
    </row>
    <row r="1383" spans="1:7" ht="15.75" customHeight="1" x14ac:dyDescent="0.15">
      <c r="A1383" s="1">
        <v>1140</v>
      </c>
      <c r="B1383" s="1">
        <v>3631</v>
      </c>
      <c r="C1383" s="1" t="s">
        <v>1551</v>
      </c>
      <c r="D1383" s="1" t="s">
        <v>35</v>
      </c>
      <c r="E1383" s="5" t="s">
        <v>1892</v>
      </c>
      <c r="F1383" s="4"/>
      <c r="G1383" s="4"/>
    </row>
    <row r="1384" spans="1:7" ht="15.75" customHeight="1" x14ac:dyDescent="0.15">
      <c r="A1384" s="1">
        <v>1140</v>
      </c>
      <c r="B1384" s="1">
        <v>215</v>
      </c>
      <c r="C1384" s="1" t="s">
        <v>1552</v>
      </c>
      <c r="D1384" s="1" t="s">
        <v>35</v>
      </c>
      <c r="E1384" s="5" t="s">
        <v>1892</v>
      </c>
      <c r="F1384" s="4"/>
      <c r="G1384" s="4"/>
    </row>
    <row r="1385" spans="1:7" ht="15.75" customHeight="1" x14ac:dyDescent="0.15">
      <c r="A1385" s="1">
        <v>1140</v>
      </c>
      <c r="B1385" s="1">
        <v>6468</v>
      </c>
      <c r="C1385" s="1" t="s">
        <v>1553</v>
      </c>
      <c r="D1385" s="1" t="s">
        <v>1059</v>
      </c>
      <c r="E1385" s="5" t="s">
        <v>1892</v>
      </c>
      <c r="F1385" s="4"/>
      <c r="G1385" s="4"/>
    </row>
    <row r="1386" spans="1:7" ht="15.75" customHeight="1" x14ac:dyDescent="0.15">
      <c r="A1386" s="1">
        <v>1140</v>
      </c>
      <c r="B1386" s="1">
        <v>154</v>
      </c>
      <c r="C1386" s="1" t="s">
        <v>1554</v>
      </c>
      <c r="D1386" s="1" t="s">
        <v>97</v>
      </c>
      <c r="E1386" s="5" t="s">
        <v>1892</v>
      </c>
      <c r="F1386" s="4"/>
      <c r="G1386" s="4"/>
    </row>
    <row r="1387" spans="1:7" ht="15.75" customHeight="1" x14ac:dyDescent="0.15">
      <c r="A1387" s="1">
        <v>1140</v>
      </c>
      <c r="B1387" s="1"/>
      <c r="C1387" s="1" t="s">
        <v>1555</v>
      </c>
      <c r="D1387" s="1" t="s">
        <v>97</v>
      </c>
      <c r="E1387" s="5" t="s">
        <v>1892</v>
      </c>
      <c r="F1387" s="4"/>
      <c r="G1387" s="4"/>
    </row>
    <row r="1388" spans="1:7" ht="15.75" customHeight="1" x14ac:dyDescent="0.15">
      <c r="A1388" s="1">
        <v>1140</v>
      </c>
      <c r="B1388" s="1">
        <v>6750</v>
      </c>
      <c r="C1388" s="1" t="s">
        <v>1556</v>
      </c>
      <c r="D1388" s="1" t="s">
        <v>1557</v>
      </c>
      <c r="E1388" s="5" t="s">
        <v>1892</v>
      </c>
      <c r="F1388" s="4"/>
      <c r="G1388" s="4"/>
    </row>
    <row r="1389" spans="1:7" ht="15.75" customHeight="1" x14ac:dyDescent="0.15">
      <c r="A1389" s="1">
        <v>1140</v>
      </c>
      <c r="B1389" s="1">
        <v>6688</v>
      </c>
      <c r="C1389" s="1" t="s">
        <v>1558</v>
      </c>
      <c r="D1389" s="1" t="s">
        <v>1559</v>
      </c>
      <c r="E1389" s="5" t="s">
        <v>1892</v>
      </c>
      <c r="F1389" s="4"/>
      <c r="G1389" s="4"/>
    </row>
    <row r="1390" spans="1:7" ht="15.75" customHeight="1" x14ac:dyDescent="0.15">
      <c r="A1390" s="1">
        <v>1140</v>
      </c>
      <c r="B1390" s="1">
        <v>11373</v>
      </c>
      <c r="C1390" s="1" t="s">
        <v>1560</v>
      </c>
      <c r="D1390" s="1" t="s">
        <v>50</v>
      </c>
      <c r="E1390" s="5" t="s">
        <v>1892</v>
      </c>
      <c r="F1390" s="4"/>
      <c r="G1390" s="4"/>
    </row>
    <row r="1391" spans="1:7" ht="15.75" customHeight="1" x14ac:dyDescent="0.15">
      <c r="A1391" s="1">
        <v>1140</v>
      </c>
      <c r="B1391" s="1">
        <v>10965</v>
      </c>
      <c r="C1391" s="1" t="s">
        <v>1561</v>
      </c>
      <c r="D1391" s="1" t="s">
        <v>16</v>
      </c>
      <c r="E1391" s="5" t="s">
        <v>1892</v>
      </c>
      <c r="F1391" s="4"/>
      <c r="G1391" s="4"/>
    </row>
    <row r="1392" spans="1:7" ht="15.75" customHeight="1" x14ac:dyDescent="0.15">
      <c r="A1392" s="1">
        <v>1140</v>
      </c>
      <c r="B1392" s="1">
        <v>4690</v>
      </c>
      <c r="C1392" s="1" t="s">
        <v>1562</v>
      </c>
      <c r="D1392" s="1" t="s">
        <v>16</v>
      </c>
      <c r="E1392" s="5" t="s">
        <v>1892</v>
      </c>
      <c r="F1392" s="4"/>
      <c r="G1392" s="4"/>
    </row>
    <row r="1393" spans="1:7" ht="15.75" customHeight="1" x14ac:dyDescent="0.15">
      <c r="A1393" s="1">
        <v>1140</v>
      </c>
      <c r="B1393" s="1">
        <v>5208</v>
      </c>
      <c r="C1393" s="1" t="s">
        <v>1563</v>
      </c>
      <c r="D1393" s="1" t="s">
        <v>16</v>
      </c>
      <c r="E1393" s="5" t="s">
        <v>1892</v>
      </c>
      <c r="F1393" s="4"/>
      <c r="G1393" s="4"/>
    </row>
    <row r="1394" spans="1:7" ht="15.75" customHeight="1" x14ac:dyDescent="0.15">
      <c r="A1394" s="1">
        <v>1140</v>
      </c>
      <c r="B1394" s="1">
        <v>10270</v>
      </c>
      <c r="C1394" s="1" t="s">
        <v>1564</v>
      </c>
      <c r="D1394" s="1" t="s">
        <v>1565</v>
      </c>
      <c r="E1394" s="5" t="s">
        <v>1892</v>
      </c>
      <c r="F1394" s="4"/>
      <c r="G1394" s="4"/>
    </row>
    <row r="1395" spans="1:7" ht="15.75" customHeight="1" x14ac:dyDescent="0.15">
      <c r="A1395" s="1">
        <v>1140</v>
      </c>
      <c r="B1395" s="1">
        <v>5364</v>
      </c>
      <c r="C1395" s="1" t="s">
        <v>1566</v>
      </c>
      <c r="D1395" s="1" t="s">
        <v>86</v>
      </c>
      <c r="E1395" s="5" t="s">
        <v>1892</v>
      </c>
      <c r="F1395" s="4"/>
      <c r="G1395" s="4"/>
    </row>
    <row r="1396" spans="1:7" ht="15.75" customHeight="1" x14ac:dyDescent="0.15">
      <c r="A1396" s="1">
        <v>1140</v>
      </c>
      <c r="B1396" s="1">
        <v>7755</v>
      </c>
      <c r="C1396" s="1" t="s">
        <v>1567</v>
      </c>
      <c r="D1396" s="1" t="s">
        <v>1568</v>
      </c>
      <c r="E1396" s="5" t="s">
        <v>1892</v>
      </c>
      <c r="F1396" s="4"/>
      <c r="G1396" s="4"/>
    </row>
    <row r="1397" spans="1:7" ht="15.75" customHeight="1" x14ac:dyDescent="0.15">
      <c r="A1397" s="1">
        <v>1140</v>
      </c>
      <c r="B1397" s="1">
        <v>2579</v>
      </c>
      <c r="C1397" s="1" t="s">
        <v>1569</v>
      </c>
      <c r="D1397" s="1" t="s">
        <v>51</v>
      </c>
      <c r="E1397" s="5" t="s">
        <v>1892</v>
      </c>
      <c r="F1397" s="4"/>
      <c r="G1397" s="4"/>
    </row>
    <row r="1398" spans="1:7" ht="15.75" customHeight="1" x14ac:dyDescent="0.15">
      <c r="A1398" s="1">
        <v>1140</v>
      </c>
      <c r="B1398" s="1">
        <v>6258</v>
      </c>
      <c r="C1398" s="1" t="s">
        <v>1570</v>
      </c>
      <c r="D1398" s="1" t="s">
        <v>51</v>
      </c>
      <c r="E1398" s="5" t="s">
        <v>1892</v>
      </c>
      <c r="F1398" s="4"/>
      <c r="G1398" s="4"/>
    </row>
    <row r="1399" spans="1:7" ht="15.75" customHeight="1" x14ac:dyDescent="0.15">
      <c r="A1399" s="1">
        <v>1140</v>
      </c>
      <c r="B1399" s="1">
        <v>692</v>
      </c>
      <c r="C1399" s="1" t="s">
        <v>1571</v>
      </c>
      <c r="D1399" s="1" t="s">
        <v>98</v>
      </c>
      <c r="E1399" s="5" t="s">
        <v>1892</v>
      </c>
      <c r="F1399" s="4"/>
      <c r="G1399" s="4"/>
    </row>
    <row r="1400" spans="1:7" ht="15.75" customHeight="1" x14ac:dyDescent="0.15">
      <c r="A1400" s="1">
        <v>1140</v>
      </c>
      <c r="B1400" s="1">
        <v>3217</v>
      </c>
      <c r="C1400" s="1" t="s">
        <v>1572</v>
      </c>
      <c r="D1400" s="1" t="s">
        <v>98</v>
      </c>
      <c r="E1400" s="5" t="s">
        <v>1892</v>
      </c>
      <c r="F1400" s="4"/>
      <c r="G1400" s="4"/>
    </row>
    <row r="1401" spans="1:7" ht="15.75" customHeight="1" x14ac:dyDescent="0.15">
      <c r="A1401" s="1">
        <v>1140</v>
      </c>
      <c r="B1401" s="1">
        <v>6205</v>
      </c>
      <c r="C1401" s="1" t="s">
        <v>1573</v>
      </c>
      <c r="D1401" s="1" t="s">
        <v>1574</v>
      </c>
      <c r="E1401" s="5" t="s">
        <v>1892</v>
      </c>
      <c r="F1401" s="4"/>
      <c r="G1401" s="4"/>
    </row>
    <row r="1402" spans="1:7" ht="15.75" customHeight="1" x14ac:dyDescent="0.15">
      <c r="A1402" s="1">
        <v>1140</v>
      </c>
      <c r="B1402" s="1">
        <v>5399</v>
      </c>
      <c r="C1402" s="1" t="s">
        <v>1575</v>
      </c>
      <c r="D1402" s="1" t="s">
        <v>99</v>
      </c>
      <c r="E1402" s="5" t="s">
        <v>1892</v>
      </c>
      <c r="F1402" s="4"/>
      <c r="G1402" s="4"/>
    </row>
    <row r="1403" spans="1:7" ht="15.75" customHeight="1" x14ac:dyDescent="0.15">
      <c r="A1403" s="1">
        <v>1140</v>
      </c>
      <c r="B1403" s="1">
        <v>2671</v>
      </c>
      <c r="C1403" s="1" t="s">
        <v>1576</v>
      </c>
      <c r="D1403" s="1" t="s">
        <v>285</v>
      </c>
      <c r="E1403" s="5" t="s">
        <v>1892</v>
      </c>
      <c r="F1403" s="4"/>
      <c r="G1403" s="4"/>
    </row>
    <row r="1404" spans="1:7" ht="15.75" customHeight="1" x14ac:dyDescent="0.15">
      <c r="A1404" s="1">
        <v>1140</v>
      </c>
      <c r="B1404" s="1">
        <v>6404</v>
      </c>
      <c r="C1404" s="1" t="s">
        <v>1577</v>
      </c>
      <c r="D1404" s="1" t="s">
        <v>285</v>
      </c>
      <c r="E1404" s="5" t="s">
        <v>1892</v>
      </c>
      <c r="F1404" s="4"/>
      <c r="G1404" s="4"/>
    </row>
    <row r="1405" spans="1:7" ht="15.75" customHeight="1" x14ac:dyDescent="0.15">
      <c r="A1405" s="1">
        <v>1140</v>
      </c>
      <c r="B1405" s="1">
        <v>3880</v>
      </c>
      <c r="C1405" s="1" t="s">
        <v>1578</v>
      </c>
      <c r="D1405" s="1" t="s">
        <v>285</v>
      </c>
      <c r="E1405" s="5" t="s">
        <v>1892</v>
      </c>
      <c r="F1405" s="4"/>
      <c r="G1405" s="4"/>
    </row>
    <row r="1406" spans="1:7" ht="15.75" customHeight="1" x14ac:dyDescent="0.15">
      <c r="A1406" s="1">
        <v>1140</v>
      </c>
      <c r="B1406" s="1">
        <v>3877</v>
      </c>
      <c r="C1406" s="1" t="s">
        <v>1579</v>
      </c>
      <c r="D1406" s="1" t="s">
        <v>285</v>
      </c>
      <c r="E1406" s="5" t="s">
        <v>1892</v>
      </c>
      <c r="F1406" s="4"/>
      <c r="G1406" s="4"/>
    </row>
    <row r="1407" spans="1:7" ht="15.75" customHeight="1" x14ac:dyDescent="0.15">
      <c r="A1407" s="1">
        <v>1140</v>
      </c>
      <c r="B1407" s="1">
        <v>11338</v>
      </c>
      <c r="C1407" s="1" t="s">
        <v>1580</v>
      </c>
      <c r="D1407" s="1" t="s">
        <v>85</v>
      </c>
      <c r="E1407" s="5" t="s">
        <v>1892</v>
      </c>
      <c r="F1407" s="4"/>
      <c r="G1407" s="4"/>
    </row>
    <row r="1408" spans="1:7" ht="15.75" customHeight="1" x14ac:dyDescent="0.15">
      <c r="A1408" s="1">
        <v>1140</v>
      </c>
      <c r="B1408" s="1">
        <v>4113</v>
      </c>
      <c r="C1408" s="1" t="s">
        <v>1581</v>
      </c>
      <c r="D1408" s="1" t="s">
        <v>85</v>
      </c>
      <c r="E1408" s="5" t="s">
        <v>1892</v>
      </c>
      <c r="F1408" s="4"/>
      <c r="G1408" s="4"/>
    </row>
    <row r="1409" spans="1:7" ht="15.75" customHeight="1" x14ac:dyDescent="0.15">
      <c r="A1409" s="1">
        <v>1140</v>
      </c>
      <c r="B1409" s="1">
        <v>11340</v>
      </c>
      <c r="C1409" s="1" t="s">
        <v>1582</v>
      </c>
      <c r="D1409" s="1" t="s">
        <v>85</v>
      </c>
      <c r="E1409" s="5" t="s">
        <v>1892</v>
      </c>
      <c r="F1409" s="4"/>
      <c r="G1409" s="4"/>
    </row>
    <row r="1410" spans="1:7" ht="15.75" customHeight="1" x14ac:dyDescent="0.15">
      <c r="A1410" s="1">
        <v>1140</v>
      </c>
      <c r="B1410" s="1">
        <v>11233</v>
      </c>
      <c r="C1410" s="1" t="s">
        <v>1583</v>
      </c>
      <c r="D1410" s="1" t="s">
        <v>12</v>
      </c>
      <c r="E1410" s="5" t="s">
        <v>1892</v>
      </c>
      <c r="F1410" s="4"/>
      <c r="G1410" s="4"/>
    </row>
    <row r="1411" spans="1:7" ht="15.75" customHeight="1" x14ac:dyDescent="0.15">
      <c r="A1411" s="1">
        <v>1140</v>
      </c>
      <c r="B1411" s="1">
        <v>11005</v>
      </c>
      <c r="C1411" s="1" t="s">
        <v>1584</v>
      </c>
      <c r="D1411" s="1" t="s">
        <v>12</v>
      </c>
      <c r="E1411" s="5" t="s">
        <v>1892</v>
      </c>
      <c r="F1411" s="4"/>
      <c r="G1411" s="4"/>
    </row>
    <row r="1412" spans="1:7" ht="15.75" customHeight="1" x14ac:dyDescent="0.15">
      <c r="A1412" s="1">
        <v>1140</v>
      </c>
      <c r="B1412" s="1">
        <v>10962</v>
      </c>
      <c r="C1412" s="1" t="s">
        <v>1585</v>
      </c>
      <c r="D1412" s="1" t="s">
        <v>73</v>
      </c>
      <c r="E1412" s="5" t="s">
        <v>1892</v>
      </c>
      <c r="F1412" s="4"/>
      <c r="G1412" s="4"/>
    </row>
    <row r="1413" spans="1:7" ht="15.75" customHeight="1" x14ac:dyDescent="0.15">
      <c r="A1413" s="1">
        <v>1140</v>
      </c>
      <c r="B1413" s="1">
        <v>3078</v>
      </c>
      <c r="C1413" s="1" t="s">
        <v>1586</v>
      </c>
      <c r="D1413" s="1" t="s">
        <v>27</v>
      </c>
      <c r="E1413" s="5" t="s">
        <v>1892</v>
      </c>
      <c r="F1413" s="4"/>
      <c r="G1413" s="4"/>
    </row>
    <row r="1414" spans="1:7" ht="15.75" customHeight="1" x14ac:dyDescent="0.15">
      <c r="A1414" s="1">
        <v>1140</v>
      </c>
      <c r="B1414" s="1">
        <v>2273</v>
      </c>
      <c r="C1414" s="1" t="s">
        <v>1587</v>
      </c>
      <c r="D1414" s="1" t="s">
        <v>27</v>
      </c>
      <c r="E1414" s="5" t="s">
        <v>1892</v>
      </c>
      <c r="F1414" s="4"/>
      <c r="G1414" s="4"/>
    </row>
    <row r="1415" spans="1:7" ht="15.75" customHeight="1" x14ac:dyDescent="0.15">
      <c r="A1415" s="1">
        <v>1140</v>
      </c>
      <c r="B1415" s="1">
        <v>2890</v>
      </c>
      <c r="C1415" s="1" t="s">
        <v>1588</v>
      </c>
      <c r="D1415" s="1" t="s">
        <v>27</v>
      </c>
      <c r="E1415" s="5" t="s">
        <v>1892</v>
      </c>
      <c r="F1415" s="4"/>
      <c r="G1415" s="4"/>
    </row>
    <row r="1416" spans="1:7" ht="15.75" customHeight="1" x14ac:dyDescent="0.15">
      <c r="A1416" s="1">
        <v>1140</v>
      </c>
      <c r="B1416" s="1">
        <v>3297</v>
      </c>
      <c r="C1416" s="1" t="s">
        <v>1589</v>
      </c>
      <c r="D1416" s="1" t="s">
        <v>27</v>
      </c>
      <c r="E1416" s="5" t="s">
        <v>1892</v>
      </c>
      <c r="F1416" s="4"/>
      <c r="G1416" s="4"/>
    </row>
    <row r="1417" spans="1:7" ht="15.75" customHeight="1" x14ac:dyDescent="0.15">
      <c r="A1417" s="1">
        <v>1140</v>
      </c>
      <c r="B1417" s="1">
        <v>1524</v>
      </c>
      <c r="C1417" s="1" t="s">
        <v>1590</v>
      </c>
      <c r="D1417" s="1" t="s">
        <v>27</v>
      </c>
      <c r="E1417" s="5" t="s">
        <v>1892</v>
      </c>
      <c r="F1417" s="4"/>
      <c r="G1417" s="4"/>
    </row>
    <row r="1418" spans="1:7" ht="15.75" customHeight="1" x14ac:dyDescent="0.15">
      <c r="A1418" s="1">
        <v>1140</v>
      </c>
      <c r="B1418" s="1">
        <v>1518</v>
      </c>
      <c r="C1418" s="1" t="s">
        <v>1591</v>
      </c>
      <c r="D1418" s="1" t="s">
        <v>27</v>
      </c>
      <c r="E1418" s="5" t="s">
        <v>1892</v>
      </c>
      <c r="F1418" s="4"/>
      <c r="G1418" s="4"/>
    </row>
    <row r="1419" spans="1:7" ht="15.75" customHeight="1" x14ac:dyDescent="0.15">
      <c r="A1419" s="1">
        <v>1140</v>
      </c>
      <c r="B1419" s="1">
        <v>4612</v>
      </c>
      <c r="C1419" s="1" t="s">
        <v>1592</v>
      </c>
      <c r="D1419" s="1" t="s">
        <v>27</v>
      </c>
      <c r="E1419" s="5" t="s">
        <v>1892</v>
      </c>
      <c r="F1419" s="4"/>
      <c r="G1419" s="4"/>
    </row>
    <row r="1420" spans="1:7" ht="15.75" customHeight="1" x14ac:dyDescent="0.15">
      <c r="A1420" s="1">
        <v>1140</v>
      </c>
      <c r="B1420" s="1">
        <v>216</v>
      </c>
      <c r="C1420" s="1" t="s">
        <v>1593</v>
      </c>
      <c r="D1420" s="1" t="s">
        <v>27</v>
      </c>
      <c r="E1420" s="5" t="s">
        <v>1892</v>
      </c>
      <c r="F1420" s="4"/>
      <c r="G1420" s="4"/>
    </row>
    <row r="1421" spans="1:7" ht="15.75" customHeight="1" x14ac:dyDescent="0.15">
      <c r="A1421" s="1">
        <v>1140</v>
      </c>
      <c r="B1421" s="1">
        <v>3101</v>
      </c>
      <c r="C1421" s="1" t="s">
        <v>1594</v>
      </c>
      <c r="D1421" s="1" t="s">
        <v>27</v>
      </c>
      <c r="E1421" s="5" t="s">
        <v>1892</v>
      </c>
      <c r="F1421" s="4"/>
      <c r="G1421" s="4"/>
    </row>
    <row r="1422" spans="1:7" ht="15.75" customHeight="1" x14ac:dyDescent="0.15">
      <c r="A1422" s="1">
        <v>1140</v>
      </c>
      <c r="B1422" s="1">
        <v>2516</v>
      </c>
      <c r="C1422" s="1" t="s">
        <v>1595</v>
      </c>
      <c r="D1422" s="1" t="s">
        <v>27</v>
      </c>
      <c r="E1422" s="5" t="s">
        <v>1892</v>
      </c>
      <c r="F1422" s="4"/>
      <c r="G1422" s="4"/>
    </row>
    <row r="1423" spans="1:7" ht="15.75" customHeight="1" x14ac:dyDescent="0.15">
      <c r="A1423" s="1">
        <v>1140</v>
      </c>
      <c r="B1423" s="1">
        <v>11066</v>
      </c>
      <c r="C1423" s="1" t="s">
        <v>1596</v>
      </c>
      <c r="D1423" s="1" t="s">
        <v>27</v>
      </c>
      <c r="E1423" s="5" t="s">
        <v>1892</v>
      </c>
      <c r="F1423" s="4"/>
      <c r="G1423" s="4"/>
    </row>
    <row r="1424" spans="1:7" ht="15.75" customHeight="1" x14ac:dyDescent="0.15">
      <c r="A1424" s="1">
        <v>1140</v>
      </c>
      <c r="B1424" s="1">
        <v>3057</v>
      </c>
      <c r="C1424" s="1" t="s">
        <v>1597</v>
      </c>
      <c r="D1424" s="1" t="s">
        <v>40</v>
      </c>
      <c r="E1424" s="5" t="s">
        <v>1892</v>
      </c>
      <c r="F1424" s="4"/>
      <c r="G1424" s="4"/>
    </row>
    <row r="1425" spans="1:7" ht="15.75" customHeight="1" x14ac:dyDescent="0.15">
      <c r="A1425" s="1">
        <v>1140</v>
      </c>
      <c r="B1425" s="1">
        <v>7500</v>
      </c>
      <c r="C1425" s="1" t="s">
        <v>1598</v>
      </c>
      <c r="D1425" s="1" t="s">
        <v>40</v>
      </c>
      <c r="E1425" s="5" t="s">
        <v>1892</v>
      </c>
      <c r="F1425" s="4"/>
      <c r="G1425" s="4"/>
    </row>
    <row r="1426" spans="1:7" ht="15.75" customHeight="1" x14ac:dyDescent="0.15">
      <c r="A1426" s="1">
        <v>1140</v>
      </c>
      <c r="B1426" s="1">
        <v>9976</v>
      </c>
      <c r="C1426" s="1" t="s">
        <v>1599</v>
      </c>
      <c r="D1426" s="1" t="s">
        <v>75</v>
      </c>
      <c r="E1426" s="5" t="s">
        <v>1892</v>
      </c>
      <c r="F1426" s="4"/>
      <c r="G1426" s="4"/>
    </row>
    <row r="1427" spans="1:7" ht="15.75" customHeight="1" x14ac:dyDescent="0.15">
      <c r="A1427" s="1">
        <v>1140</v>
      </c>
      <c r="B1427" s="1">
        <v>8365</v>
      </c>
      <c r="C1427" s="1" t="s">
        <v>1600</v>
      </c>
      <c r="D1427" s="1" t="s">
        <v>595</v>
      </c>
      <c r="E1427" s="5" t="s">
        <v>1892</v>
      </c>
      <c r="F1427" s="4"/>
      <c r="G1427" s="4"/>
    </row>
    <row r="1428" spans="1:7" ht="15.75" customHeight="1" x14ac:dyDescent="0.15">
      <c r="A1428" s="1">
        <v>1140</v>
      </c>
      <c r="B1428" s="1">
        <v>5115</v>
      </c>
      <c r="C1428" s="1" t="s">
        <v>1601</v>
      </c>
      <c r="D1428" s="1" t="s">
        <v>17</v>
      </c>
      <c r="E1428" s="5" t="s">
        <v>1892</v>
      </c>
      <c r="F1428" s="4"/>
      <c r="G1428" s="4"/>
    </row>
    <row r="1429" spans="1:7" ht="15.75" customHeight="1" x14ac:dyDescent="0.15">
      <c r="A1429" s="1">
        <v>1140</v>
      </c>
      <c r="B1429" s="1">
        <v>8186</v>
      </c>
      <c r="C1429" s="1" t="s">
        <v>1602</v>
      </c>
      <c r="D1429" s="1" t="s">
        <v>100</v>
      </c>
      <c r="E1429" s="5" t="s">
        <v>1892</v>
      </c>
      <c r="F1429" s="4"/>
      <c r="G1429" s="4"/>
    </row>
    <row r="1430" spans="1:7" ht="15.75" customHeight="1" x14ac:dyDescent="0.15">
      <c r="A1430" s="1">
        <v>1140</v>
      </c>
      <c r="B1430" s="1">
        <v>6387</v>
      </c>
      <c r="C1430" s="1" t="s">
        <v>1603</v>
      </c>
      <c r="D1430" s="1" t="s">
        <v>100</v>
      </c>
      <c r="E1430" s="5" t="s">
        <v>1892</v>
      </c>
      <c r="F1430" s="4"/>
      <c r="G1430" s="4"/>
    </row>
    <row r="1431" spans="1:7" ht="15.75" customHeight="1" x14ac:dyDescent="0.15">
      <c r="A1431" s="1">
        <v>1140</v>
      </c>
      <c r="B1431" s="1">
        <v>6359</v>
      </c>
      <c r="C1431" s="1" t="s">
        <v>1604</v>
      </c>
      <c r="D1431" s="1" t="s">
        <v>37</v>
      </c>
      <c r="E1431" s="5" t="s">
        <v>1892</v>
      </c>
      <c r="F1431" s="4"/>
      <c r="G1431" s="4"/>
    </row>
    <row r="1432" spans="1:7" ht="15.75" customHeight="1" x14ac:dyDescent="0.15">
      <c r="A1432" s="1">
        <v>1140</v>
      </c>
      <c r="B1432" s="1">
        <v>3113</v>
      </c>
      <c r="C1432" s="1" t="s">
        <v>1605</v>
      </c>
      <c r="D1432" s="1" t="s">
        <v>37</v>
      </c>
      <c r="E1432" s="5" t="s">
        <v>1892</v>
      </c>
      <c r="F1432" s="4"/>
      <c r="G1432" s="4"/>
    </row>
    <row r="1433" spans="1:7" ht="15.75" customHeight="1" x14ac:dyDescent="0.15">
      <c r="A1433" s="1">
        <v>1140</v>
      </c>
      <c r="B1433" s="1">
        <v>3100</v>
      </c>
      <c r="C1433" s="1" t="s">
        <v>1606</v>
      </c>
      <c r="D1433" s="1" t="s">
        <v>37</v>
      </c>
      <c r="E1433" s="5" t="s">
        <v>1892</v>
      </c>
      <c r="F1433" s="4"/>
      <c r="G1433" s="4"/>
    </row>
    <row r="1434" spans="1:7" ht="15.75" customHeight="1" x14ac:dyDescent="0.15">
      <c r="A1434" s="1">
        <v>1140</v>
      </c>
      <c r="B1434" s="1">
        <v>9228</v>
      </c>
      <c r="C1434" s="1" t="s">
        <v>1607</v>
      </c>
      <c r="D1434" s="1" t="s">
        <v>37</v>
      </c>
      <c r="E1434" s="5" t="s">
        <v>1892</v>
      </c>
      <c r="F1434" s="4"/>
      <c r="G1434" s="4"/>
    </row>
    <row r="1435" spans="1:7" ht="15.75" customHeight="1" x14ac:dyDescent="0.15">
      <c r="A1435" s="1">
        <v>1140</v>
      </c>
      <c r="B1435" s="1">
        <v>2520</v>
      </c>
      <c r="C1435" s="1" t="s">
        <v>1608</v>
      </c>
      <c r="D1435" s="1" t="s">
        <v>37</v>
      </c>
      <c r="E1435" s="5" t="s">
        <v>1892</v>
      </c>
      <c r="F1435" s="4"/>
      <c r="G1435" s="4"/>
    </row>
    <row r="1436" spans="1:7" ht="15.75" customHeight="1" x14ac:dyDescent="0.15">
      <c r="A1436" s="1">
        <v>1140</v>
      </c>
      <c r="B1436" s="1">
        <v>6857</v>
      </c>
      <c r="C1436" s="1" t="s">
        <v>1609</v>
      </c>
      <c r="D1436" s="1" t="s">
        <v>37</v>
      </c>
      <c r="E1436" s="5" t="s">
        <v>1892</v>
      </c>
      <c r="F1436" s="4"/>
      <c r="G1436" s="4"/>
    </row>
    <row r="1437" spans="1:7" ht="15.75" customHeight="1" x14ac:dyDescent="0.15">
      <c r="A1437" s="1">
        <v>1140</v>
      </c>
      <c r="B1437" s="1">
        <v>5313</v>
      </c>
      <c r="C1437" s="1" t="s">
        <v>1610</v>
      </c>
      <c r="D1437" s="1" t="s">
        <v>87</v>
      </c>
      <c r="E1437" s="5" t="s">
        <v>1892</v>
      </c>
      <c r="F1437" s="4"/>
      <c r="G1437" s="4"/>
    </row>
    <row r="1438" spans="1:7" ht="15.75" customHeight="1" x14ac:dyDescent="0.15">
      <c r="A1438" s="1">
        <v>1140</v>
      </c>
      <c r="B1438" s="1">
        <v>8804</v>
      </c>
      <c r="C1438" s="1" t="s">
        <v>1611</v>
      </c>
      <c r="D1438" s="1" t="s">
        <v>87</v>
      </c>
      <c r="E1438" s="5" t="s">
        <v>1892</v>
      </c>
      <c r="F1438" s="4"/>
      <c r="G1438" s="4"/>
    </row>
    <row r="1439" spans="1:7" ht="15.75" customHeight="1" x14ac:dyDescent="0.15">
      <c r="A1439" s="1">
        <v>1140</v>
      </c>
      <c r="B1439" s="1">
        <v>11079</v>
      </c>
      <c r="C1439" s="1" t="s">
        <v>1612</v>
      </c>
      <c r="D1439" s="1" t="s">
        <v>6</v>
      </c>
      <c r="E1439" s="5" t="s">
        <v>1892</v>
      </c>
      <c r="F1439" s="4"/>
      <c r="G1439" s="4"/>
    </row>
    <row r="1440" spans="1:7" ht="15.75" customHeight="1" x14ac:dyDescent="0.15">
      <c r="A1440" s="1">
        <v>1140</v>
      </c>
      <c r="B1440" s="1">
        <v>11386</v>
      </c>
      <c r="C1440" s="1" t="s">
        <v>1613</v>
      </c>
      <c r="D1440" s="1" t="s">
        <v>6</v>
      </c>
      <c r="E1440" s="5" t="s">
        <v>1892</v>
      </c>
      <c r="F1440" s="4"/>
      <c r="G1440" s="4"/>
    </row>
    <row r="1441" spans="1:7" ht="15.75" customHeight="1" x14ac:dyDescent="0.15">
      <c r="A1441" s="1">
        <v>1140</v>
      </c>
      <c r="B1441" s="1">
        <v>11418</v>
      </c>
      <c r="C1441" s="1" t="s">
        <v>1614</v>
      </c>
      <c r="D1441" s="1" t="s">
        <v>6</v>
      </c>
      <c r="E1441" s="5" t="s">
        <v>1892</v>
      </c>
      <c r="F1441" s="4"/>
      <c r="G1441" s="4"/>
    </row>
    <row r="1442" spans="1:7" ht="15.75" customHeight="1" x14ac:dyDescent="0.15">
      <c r="A1442" s="1">
        <v>1140</v>
      </c>
      <c r="B1442" s="1">
        <v>10685</v>
      </c>
      <c r="C1442" s="1" t="s">
        <v>1615</v>
      </c>
      <c r="D1442" s="1" t="s">
        <v>6</v>
      </c>
      <c r="E1442" s="5" t="s">
        <v>1892</v>
      </c>
      <c r="F1442" s="4"/>
      <c r="G1442" s="4"/>
    </row>
    <row r="1443" spans="1:7" ht="15.75" customHeight="1" x14ac:dyDescent="0.15">
      <c r="A1443" s="1">
        <v>1140</v>
      </c>
      <c r="B1443" s="1">
        <v>11038</v>
      </c>
      <c r="C1443" s="1" t="s">
        <v>1616</v>
      </c>
      <c r="D1443" s="1" t="s">
        <v>6</v>
      </c>
      <c r="E1443" s="5" t="s">
        <v>1892</v>
      </c>
      <c r="F1443" s="4"/>
      <c r="G1443" s="4"/>
    </row>
    <row r="1444" spans="1:7" ht="15.75" customHeight="1" x14ac:dyDescent="0.15">
      <c r="A1444" s="1">
        <v>1140</v>
      </c>
      <c r="B1444" s="1">
        <v>10365</v>
      </c>
      <c r="C1444" s="1" t="s">
        <v>1617</v>
      </c>
      <c r="D1444" s="1" t="s">
        <v>6</v>
      </c>
      <c r="E1444" s="5" t="s">
        <v>1892</v>
      </c>
      <c r="F1444" s="4"/>
      <c r="G1444" s="4"/>
    </row>
    <row r="1445" spans="1:7" ht="15.75" customHeight="1" x14ac:dyDescent="0.15">
      <c r="A1445" s="1">
        <v>1140</v>
      </c>
      <c r="B1445" s="1">
        <v>11102</v>
      </c>
      <c r="C1445" s="1" t="s">
        <v>1618</v>
      </c>
      <c r="D1445" s="1" t="s">
        <v>6</v>
      </c>
      <c r="E1445" s="5" t="s">
        <v>1892</v>
      </c>
      <c r="F1445" s="4"/>
      <c r="G1445" s="4"/>
    </row>
    <row r="1446" spans="1:7" ht="15.75" customHeight="1" x14ac:dyDescent="0.15">
      <c r="A1446" s="1">
        <v>1140</v>
      </c>
      <c r="B1446" s="1">
        <v>10518</v>
      </c>
      <c r="C1446" s="1" t="s">
        <v>1619</v>
      </c>
      <c r="D1446" s="1" t="s">
        <v>6</v>
      </c>
      <c r="E1446" s="5" t="s">
        <v>1892</v>
      </c>
      <c r="F1446" s="4"/>
      <c r="G1446" s="4"/>
    </row>
    <row r="1447" spans="1:7" ht="15.75" customHeight="1" x14ac:dyDescent="0.15">
      <c r="A1447" s="1">
        <v>1140</v>
      </c>
      <c r="B1447" s="1">
        <v>11092</v>
      </c>
      <c r="C1447" s="1" t="s">
        <v>1620</v>
      </c>
      <c r="D1447" s="1" t="s">
        <v>6</v>
      </c>
      <c r="E1447" s="5" t="s">
        <v>1892</v>
      </c>
      <c r="F1447" s="4"/>
      <c r="G1447" s="4"/>
    </row>
    <row r="1448" spans="1:7" ht="15.75" customHeight="1" x14ac:dyDescent="0.15">
      <c r="A1448" s="1">
        <v>1140</v>
      </c>
      <c r="B1448" s="1">
        <v>11392</v>
      </c>
      <c r="C1448" s="1" t="s">
        <v>1621</v>
      </c>
      <c r="D1448" s="1" t="s">
        <v>6</v>
      </c>
      <c r="E1448" s="5" t="s">
        <v>1892</v>
      </c>
      <c r="F1448" s="4"/>
      <c r="G1448" s="4"/>
    </row>
    <row r="1449" spans="1:7" ht="15.75" customHeight="1" x14ac:dyDescent="0.15">
      <c r="A1449" s="1">
        <v>1140</v>
      </c>
      <c r="B1449" s="1">
        <v>11390</v>
      </c>
      <c r="C1449" s="1" t="s">
        <v>1622</v>
      </c>
      <c r="D1449" s="1" t="s">
        <v>6</v>
      </c>
      <c r="E1449" s="5" t="s">
        <v>1892</v>
      </c>
      <c r="F1449" s="4"/>
      <c r="G1449" s="4"/>
    </row>
    <row r="1450" spans="1:7" ht="15.75" customHeight="1" x14ac:dyDescent="0.15">
      <c r="A1450" s="1">
        <v>1140</v>
      </c>
      <c r="B1450" s="1">
        <v>11389</v>
      </c>
      <c r="C1450" s="1" t="s">
        <v>1623</v>
      </c>
      <c r="D1450" s="1" t="s">
        <v>6</v>
      </c>
      <c r="E1450" s="5" t="s">
        <v>1892</v>
      </c>
      <c r="F1450" s="4"/>
      <c r="G1450" s="4"/>
    </row>
    <row r="1451" spans="1:7" ht="15.75" customHeight="1" x14ac:dyDescent="0.15">
      <c r="A1451" s="1">
        <v>1140</v>
      </c>
      <c r="B1451" s="1">
        <v>7013</v>
      </c>
      <c r="C1451" s="1" t="s">
        <v>1624</v>
      </c>
      <c r="D1451" s="1" t="s">
        <v>6</v>
      </c>
      <c r="E1451" s="5" t="s">
        <v>1892</v>
      </c>
      <c r="F1451" s="4"/>
      <c r="G1451" s="4"/>
    </row>
    <row r="1452" spans="1:7" ht="15.75" customHeight="1" x14ac:dyDescent="0.15">
      <c r="A1452" s="1">
        <v>1140</v>
      </c>
      <c r="B1452" s="1">
        <v>5360</v>
      </c>
      <c r="C1452" s="1" t="s">
        <v>1625</v>
      </c>
      <c r="D1452" s="1" t="s">
        <v>6</v>
      </c>
      <c r="E1452" s="5" t="s">
        <v>1892</v>
      </c>
      <c r="F1452" s="4"/>
      <c r="G1452" s="4"/>
    </row>
    <row r="1453" spans="1:7" ht="15.75" customHeight="1" x14ac:dyDescent="0.15">
      <c r="A1453" s="1">
        <v>1140</v>
      </c>
      <c r="B1453" s="1">
        <v>11052</v>
      </c>
      <c r="C1453" s="1" t="s">
        <v>1626</v>
      </c>
      <c r="D1453" s="1" t="s">
        <v>6</v>
      </c>
      <c r="E1453" s="5" t="s">
        <v>1892</v>
      </c>
      <c r="F1453" s="4"/>
      <c r="G1453" s="4"/>
    </row>
    <row r="1454" spans="1:7" ht="15.75" customHeight="1" x14ac:dyDescent="0.15">
      <c r="A1454" s="1">
        <v>1140</v>
      </c>
      <c r="B1454" s="1">
        <v>11033</v>
      </c>
      <c r="C1454" s="1" t="s">
        <v>1627</v>
      </c>
      <c r="D1454" s="1" t="s">
        <v>6</v>
      </c>
      <c r="E1454" s="5" t="s">
        <v>1892</v>
      </c>
      <c r="F1454" s="4"/>
      <c r="G1454" s="4"/>
    </row>
    <row r="1455" spans="1:7" ht="15.75" customHeight="1" x14ac:dyDescent="0.15">
      <c r="A1455" s="1">
        <v>1140</v>
      </c>
      <c r="B1455" s="1">
        <v>10276</v>
      </c>
      <c r="C1455" s="1" t="s">
        <v>1628</v>
      </c>
      <c r="D1455" s="1" t="s">
        <v>6</v>
      </c>
      <c r="E1455" s="5" t="s">
        <v>1892</v>
      </c>
      <c r="F1455" s="4"/>
      <c r="G1455" s="4"/>
    </row>
    <row r="1456" spans="1:7" ht="15.75" customHeight="1" x14ac:dyDescent="0.15">
      <c r="A1456" s="1">
        <v>1140</v>
      </c>
      <c r="B1456" s="1">
        <v>11419</v>
      </c>
      <c r="C1456" s="1" t="s">
        <v>1629</v>
      </c>
      <c r="D1456" s="1" t="s">
        <v>6</v>
      </c>
      <c r="E1456" s="5" t="s">
        <v>1892</v>
      </c>
      <c r="F1456" s="4"/>
      <c r="G1456" s="4"/>
    </row>
    <row r="1457" spans="1:7" ht="15.75" customHeight="1" x14ac:dyDescent="0.15">
      <c r="A1457" s="1">
        <v>1140</v>
      </c>
      <c r="B1457" s="1">
        <v>11047</v>
      </c>
      <c r="C1457" s="1" t="s">
        <v>1630</v>
      </c>
      <c r="D1457" s="1" t="s">
        <v>6</v>
      </c>
      <c r="E1457" s="5" t="s">
        <v>1892</v>
      </c>
      <c r="F1457" s="4"/>
      <c r="G1457" s="4"/>
    </row>
    <row r="1458" spans="1:7" ht="15.75" customHeight="1" x14ac:dyDescent="0.15">
      <c r="A1458" s="1">
        <v>1140</v>
      </c>
      <c r="B1458" s="1">
        <v>9987</v>
      </c>
      <c r="C1458" s="1" t="s">
        <v>1631</v>
      </c>
      <c r="D1458" s="1" t="s">
        <v>6</v>
      </c>
      <c r="E1458" s="5" t="s">
        <v>1892</v>
      </c>
      <c r="F1458" s="4"/>
      <c r="G1458" s="4"/>
    </row>
    <row r="1459" spans="1:7" ht="15.75" customHeight="1" x14ac:dyDescent="0.15">
      <c r="A1459" s="1">
        <v>1140</v>
      </c>
      <c r="B1459" s="1">
        <v>11420</v>
      </c>
      <c r="C1459" s="1" t="s">
        <v>1632</v>
      </c>
      <c r="D1459" s="1" t="s">
        <v>6</v>
      </c>
      <c r="E1459" s="5" t="s">
        <v>1892</v>
      </c>
      <c r="F1459" s="4"/>
      <c r="G1459" s="4"/>
    </row>
    <row r="1460" spans="1:7" ht="15.75" customHeight="1" x14ac:dyDescent="0.15">
      <c r="A1460" s="1">
        <v>1140</v>
      </c>
      <c r="B1460" s="1">
        <v>10362</v>
      </c>
      <c r="C1460" s="1" t="s">
        <v>1633</v>
      </c>
      <c r="D1460" s="1" t="s">
        <v>6</v>
      </c>
      <c r="E1460" s="5" t="s">
        <v>1892</v>
      </c>
      <c r="F1460" s="4"/>
      <c r="G1460" s="4"/>
    </row>
    <row r="1461" spans="1:7" ht="15.75" customHeight="1" x14ac:dyDescent="0.15">
      <c r="A1461" s="1">
        <v>1140</v>
      </c>
      <c r="B1461" s="1">
        <v>11394</v>
      </c>
      <c r="C1461" s="1" t="s">
        <v>1634</v>
      </c>
      <c r="D1461" s="1" t="s">
        <v>6</v>
      </c>
      <c r="E1461" s="5" t="s">
        <v>1892</v>
      </c>
      <c r="F1461" s="4"/>
      <c r="G1461" s="4"/>
    </row>
    <row r="1462" spans="1:7" ht="15.75" customHeight="1" x14ac:dyDescent="0.15">
      <c r="A1462" s="1">
        <v>1140</v>
      </c>
      <c r="B1462" s="1">
        <v>5775</v>
      </c>
      <c r="C1462" s="1" t="s">
        <v>1635</v>
      </c>
      <c r="D1462" s="1" t="s">
        <v>112</v>
      </c>
      <c r="E1462" s="5" t="s">
        <v>1892</v>
      </c>
      <c r="F1462" s="4"/>
      <c r="G1462" s="4"/>
    </row>
    <row r="1463" spans="1:7" ht="15.75" customHeight="1" x14ac:dyDescent="0.15">
      <c r="A1463" s="1">
        <v>1140</v>
      </c>
      <c r="B1463" s="1">
        <v>3917</v>
      </c>
      <c r="C1463" s="1" t="s">
        <v>1636</v>
      </c>
      <c r="D1463" s="1" t="s">
        <v>112</v>
      </c>
      <c r="E1463" s="5" t="s">
        <v>1892</v>
      </c>
      <c r="F1463" s="4"/>
      <c r="G1463" s="4"/>
    </row>
    <row r="1464" spans="1:7" ht="15.75" customHeight="1" x14ac:dyDescent="0.15">
      <c r="A1464" s="1">
        <v>1140</v>
      </c>
      <c r="B1464" s="1">
        <v>11402</v>
      </c>
      <c r="C1464" s="1" t="s">
        <v>1637</v>
      </c>
      <c r="D1464" s="1" t="s">
        <v>112</v>
      </c>
      <c r="E1464" s="5" t="s">
        <v>1892</v>
      </c>
      <c r="F1464" s="4"/>
      <c r="G1464" s="4"/>
    </row>
    <row r="1465" spans="1:7" ht="15.75" customHeight="1" x14ac:dyDescent="0.15">
      <c r="A1465" s="1">
        <v>1140</v>
      </c>
      <c r="B1465" s="1">
        <v>5776</v>
      </c>
      <c r="C1465" s="1" t="s">
        <v>1638</v>
      </c>
      <c r="D1465" s="1" t="s">
        <v>1639</v>
      </c>
      <c r="E1465" s="5" t="s">
        <v>1892</v>
      </c>
      <c r="F1465" s="4"/>
      <c r="G1465" s="4"/>
    </row>
    <row r="1466" spans="1:7" ht="15.75" customHeight="1" x14ac:dyDescent="0.15">
      <c r="A1466" s="1">
        <v>1140</v>
      </c>
      <c r="B1466" s="1">
        <v>11010</v>
      </c>
      <c r="C1466" s="1" t="s">
        <v>1640</v>
      </c>
      <c r="D1466" s="1" t="s">
        <v>306</v>
      </c>
      <c r="E1466" s="5" t="s">
        <v>1892</v>
      </c>
      <c r="F1466" s="4"/>
      <c r="G1466" s="4"/>
    </row>
    <row r="1467" spans="1:7" ht="15.75" customHeight="1" x14ac:dyDescent="0.15">
      <c r="A1467" s="1">
        <v>1140</v>
      </c>
      <c r="B1467" s="1">
        <v>11011</v>
      </c>
      <c r="C1467" s="1" t="s">
        <v>1641</v>
      </c>
      <c r="D1467" s="1" t="s">
        <v>306</v>
      </c>
      <c r="E1467" s="5" t="s">
        <v>1892</v>
      </c>
      <c r="F1467" s="4"/>
      <c r="G1467" s="4"/>
    </row>
    <row r="1468" spans="1:7" ht="15.75" customHeight="1" x14ac:dyDescent="0.15">
      <c r="A1468" s="1">
        <v>1140</v>
      </c>
      <c r="B1468" s="1">
        <v>11134</v>
      </c>
      <c r="C1468" s="1" t="s">
        <v>1642</v>
      </c>
      <c r="D1468" s="1" t="s">
        <v>19</v>
      </c>
      <c r="E1468" s="5" t="s">
        <v>1892</v>
      </c>
      <c r="F1468" s="4"/>
      <c r="G1468" s="4"/>
    </row>
    <row r="1469" spans="1:7" ht="15.75" customHeight="1" x14ac:dyDescent="0.15">
      <c r="A1469" s="1">
        <v>1140</v>
      </c>
      <c r="B1469" s="1">
        <v>11194</v>
      </c>
      <c r="C1469" s="1" t="s">
        <v>1643</v>
      </c>
      <c r="D1469" s="1" t="s">
        <v>19</v>
      </c>
      <c r="E1469" s="5" t="s">
        <v>1892</v>
      </c>
      <c r="F1469" s="4"/>
      <c r="G1469" s="4"/>
    </row>
    <row r="1470" spans="1:7" ht="15.75" customHeight="1" x14ac:dyDescent="0.15">
      <c r="A1470" s="1">
        <v>1140</v>
      </c>
      <c r="B1470" s="1">
        <v>11378</v>
      </c>
      <c r="C1470" s="1" t="s">
        <v>1644</v>
      </c>
      <c r="D1470" s="1" t="s">
        <v>19</v>
      </c>
      <c r="E1470" s="5" t="s">
        <v>1892</v>
      </c>
      <c r="F1470" s="4"/>
      <c r="G1470" s="4"/>
    </row>
    <row r="1471" spans="1:7" ht="15.75" customHeight="1" x14ac:dyDescent="0.15">
      <c r="A1471" s="1">
        <v>1140</v>
      </c>
      <c r="B1471" s="1">
        <v>10830</v>
      </c>
      <c r="C1471" s="1" t="s">
        <v>1645</v>
      </c>
      <c r="D1471" s="1" t="s">
        <v>19</v>
      </c>
      <c r="E1471" s="5" t="s">
        <v>1892</v>
      </c>
      <c r="F1471" s="4"/>
      <c r="G1471" s="4"/>
    </row>
    <row r="1472" spans="1:7" ht="15.75" customHeight="1" x14ac:dyDescent="0.15">
      <c r="A1472" s="1">
        <v>1140</v>
      </c>
      <c r="B1472" s="1">
        <v>11175</v>
      </c>
      <c r="C1472" s="1" t="s">
        <v>1646</v>
      </c>
      <c r="D1472" s="1" t="s">
        <v>19</v>
      </c>
      <c r="E1472" s="5" t="s">
        <v>1892</v>
      </c>
      <c r="F1472" s="4"/>
      <c r="G1472" s="4"/>
    </row>
    <row r="1473" spans="1:7" ht="15.75" customHeight="1" x14ac:dyDescent="0.15">
      <c r="A1473" s="1">
        <v>1140</v>
      </c>
      <c r="B1473" s="1">
        <v>11209</v>
      </c>
      <c r="C1473" s="1" t="s">
        <v>1647</v>
      </c>
      <c r="D1473" s="1" t="s">
        <v>19</v>
      </c>
      <c r="E1473" s="5" t="s">
        <v>1892</v>
      </c>
      <c r="F1473" s="4"/>
      <c r="G1473" s="4"/>
    </row>
    <row r="1474" spans="1:7" ht="15.75" customHeight="1" x14ac:dyDescent="0.15">
      <c r="A1474" s="1">
        <v>1140</v>
      </c>
      <c r="B1474" s="1">
        <v>11157</v>
      </c>
      <c r="C1474" s="1" t="s">
        <v>1648</v>
      </c>
      <c r="D1474" s="1" t="s">
        <v>19</v>
      </c>
      <c r="E1474" s="5" t="s">
        <v>1892</v>
      </c>
      <c r="F1474" s="4"/>
      <c r="G1474" s="4"/>
    </row>
    <row r="1475" spans="1:7" ht="15.75" customHeight="1" x14ac:dyDescent="0.15">
      <c r="A1475" s="1">
        <v>1140</v>
      </c>
      <c r="B1475" s="1">
        <v>11216</v>
      </c>
      <c r="C1475" s="1" t="s">
        <v>1649</v>
      </c>
      <c r="D1475" s="1" t="s">
        <v>19</v>
      </c>
      <c r="E1475" s="5" t="s">
        <v>1892</v>
      </c>
      <c r="F1475" s="4"/>
      <c r="G1475" s="4"/>
    </row>
    <row r="1476" spans="1:7" ht="15.75" customHeight="1" x14ac:dyDescent="0.15">
      <c r="A1476" s="1">
        <v>1140</v>
      </c>
      <c r="B1476" s="1">
        <v>11129</v>
      </c>
      <c r="C1476" s="1" t="s">
        <v>1650</v>
      </c>
      <c r="D1476" s="1" t="s">
        <v>19</v>
      </c>
      <c r="E1476" s="5" t="s">
        <v>1892</v>
      </c>
      <c r="F1476" s="4"/>
      <c r="G1476" s="4"/>
    </row>
    <row r="1477" spans="1:7" ht="15.75" customHeight="1" x14ac:dyDescent="0.15">
      <c r="A1477" s="1">
        <v>1140</v>
      </c>
      <c r="B1477" s="1">
        <v>11143</v>
      </c>
      <c r="C1477" s="1" t="s">
        <v>1651</v>
      </c>
      <c r="D1477" s="1" t="s">
        <v>19</v>
      </c>
      <c r="E1477" s="5" t="s">
        <v>1892</v>
      </c>
      <c r="F1477" s="4"/>
      <c r="G1477" s="4"/>
    </row>
    <row r="1478" spans="1:7" ht="15.75" customHeight="1" x14ac:dyDescent="0.15">
      <c r="A1478" s="1">
        <v>1140</v>
      </c>
      <c r="B1478" s="1">
        <v>11224</v>
      </c>
      <c r="C1478" s="1" t="s">
        <v>1652</v>
      </c>
      <c r="D1478" s="1" t="s">
        <v>19</v>
      </c>
      <c r="E1478" s="5" t="s">
        <v>1892</v>
      </c>
      <c r="F1478" s="4"/>
      <c r="G1478" s="4"/>
    </row>
    <row r="1479" spans="1:7" ht="15.75" customHeight="1" x14ac:dyDescent="0.15">
      <c r="A1479" s="1">
        <v>1140</v>
      </c>
      <c r="B1479" s="1">
        <v>11207</v>
      </c>
      <c r="C1479" s="1" t="s">
        <v>1653</v>
      </c>
      <c r="D1479" s="1" t="s">
        <v>19</v>
      </c>
      <c r="E1479" s="5" t="s">
        <v>1892</v>
      </c>
      <c r="F1479" s="4"/>
      <c r="G1479" s="4"/>
    </row>
    <row r="1480" spans="1:7" ht="15.75" customHeight="1" x14ac:dyDescent="0.15">
      <c r="A1480" s="1">
        <v>1140</v>
      </c>
      <c r="B1480" s="1">
        <v>11158</v>
      </c>
      <c r="C1480" s="1" t="s">
        <v>1654</v>
      </c>
      <c r="D1480" s="1" t="s">
        <v>19</v>
      </c>
      <c r="E1480" s="5" t="s">
        <v>1892</v>
      </c>
      <c r="F1480" s="4"/>
      <c r="G1480" s="4"/>
    </row>
    <row r="1481" spans="1:7" ht="15.75" customHeight="1" x14ac:dyDescent="0.15">
      <c r="A1481" s="1">
        <v>1140</v>
      </c>
      <c r="B1481" s="1">
        <v>11144</v>
      </c>
      <c r="C1481" s="1" t="s">
        <v>1655</v>
      </c>
      <c r="D1481" s="1" t="s">
        <v>19</v>
      </c>
      <c r="E1481" s="5" t="s">
        <v>1892</v>
      </c>
      <c r="F1481" s="4"/>
      <c r="G1481" s="4"/>
    </row>
    <row r="1482" spans="1:7" ht="15.75" customHeight="1" x14ac:dyDescent="0.15">
      <c r="A1482" s="1">
        <v>1140</v>
      </c>
      <c r="B1482" s="1">
        <v>11201</v>
      </c>
      <c r="C1482" s="1" t="s">
        <v>1656</v>
      </c>
      <c r="D1482" s="1" t="s">
        <v>19</v>
      </c>
      <c r="E1482" s="5" t="s">
        <v>1892</v>
      </c>
      <c r="F1482" s="4"/>
      <c r="G1482" s="4"/>
    </row>
    <row r="1483" spans="1:7" ht="15.75" customHeight="1" x14ac:dyDescent="0.15">
      <c r="A1483" s="1">
        <v>1140</v>
      </c>
      <c r="B1483" s="1">
        <v>11202</v>
      </c>
      <c r="C1483" s="1" t="s">
        <v>1657</v>
      </c>
      <c r="D1483" s="1" t="s">
        <v>19</v>
      </c>
      <c r="E1483" s="5" t="s">
        <v>1892</v>
      </c>
      <c r="F1483" s="4"/>
      <c r="G1483" s="4"/>
    </row>
    <row r="1484" spans="1:7" ht="15.75" customHeight="1" x14ac:dyDescent="0.15">
      <c r="A1484" s="1">
        <v>1140</v>
      </c>
      <c r="B1484" s="1">
        <v>11145</v>
      </c>
      <c r="C1484" s="1" t="s">
        <v>1658</v>
      </c>
      <c r="D1484" s="1" t="s">
        <v>19</v>
      </c>
      <c r="E1484" s="5" t="s">
        <v>1892</v>
      </c>
      <c r="F1484" s="4"/>
      <c r="G1484" s="4"/>
    </row>
    <row r="1485" spans="1:7" ht="15.75" customHeight="1" x14ac:dyDescent="0.15">
      <c r="A1485" s="1">
        <v>1140</v>
      </c>
      <c r="B1485" s="1">
        <v>10719</v>
      </c>
      <c r="C1485" s="1" t="s">
        <v>1659</v>
      </c>
      <c r="D1485" s="1" t="s">
        <v>19</v>
      </c>
      <c r="E1485" s="5" t="s">
        <v>1892</v>
      </c>
      <c r="F1485" s="4"/>
      <c r="G1485" s="4"/>
    </row>
    <row r="1486" spans="1:7" ht="15.75" customHeight="1" x14ac:dyDescent="0.15">
      <c r="A1486" s="1">
        <v>1140</v>
      </c>
      <c r="B1486" s="1">
        <v>11135</v>
      </c>
      <c r="C1486" s="1" t="s">
        <v>1660</v>
      </c>
      <c r="D1486" s="1" t="s">
        <v>19</v>
      </c>
      <c r="E1486" s="5" t="s">
        <v>1892</v>
      </c>
      <c r="F1486" s="4"/>
      <c r="G1486" s="4"/>
    </row>
    <row r="1487" spans="1:7" ht="15.75" customHeight="1" x14ac:dyDescent="0.15">
      <c r="A1487" s="1">
        <v>1140</v>
      </c>
      <c r="B1487" s="1">
        <v>10828</v>
      </c>
      <c r="C1487" s="1" t="s">
        <v>1661</v>
      </c>
      <c r="D1487" s="1" t="s">
        <v>19</v>
      </c>
      <c r="E1487" s="5" t="s">
        <v>1892</v>
      </c>
      <c r="F1487" s="4"/>
      <c r="G1487" s="4"/>
    </row>
    <row r="1488" spans="1:7" ht="15.75" customHeight="1" x14ac:dyDescent="0.15">
      <c r="A1488" s="1">
        <v>1140</v>
      </c>
      <c r="B1488" s="1">
        <v>11176</v>
      </c>
      <c r="C1488" s="1" t="s">
        <v>1662</v>
      </c>
      <c r="D1488" s="1" t="s">
        <v>19</v>
      </c>
      <c r="E1488" s="5" t="s">
        <v>1892</v>
      </c>
      <c r="F1488" s="4"/>
      <c r="G1488" s="4"/>
    </row>
    <row r="1489" spans="1:7" ht="15.75" customHeight="1" x14ac:dyDescent="0.15">
      <c r="A1489" s="1">
        <v>1140</v>
      </c>
      <c r="B1489" s="1">
        <v>11132</v>
      </c>
      <c r="C1489" s="1" t="s">
        <v>1663</v>
      </c>
      <c r="D1489" s="1" t="s">
        <v>19</v>
      </c>
      <c r="E1489" s="5" t="s">
        <v>1892</v>
      </c>
      <c r="F1489" s="4"/>
      <c r="G1489" s="4"/>
    </row>
    <row r="1490" spans="1:7" ht="15.75" customHeight="1" x14ac:dyDescent="0.15">
      <c r="A1490" s="1">
        <v>1140</v>
      </c>
      <c r="B1490" s="1">
        <v>11177</v>
      </c>
      <c r="C1490" s="1" t="s">
        <v>1664</v>
      </c>
      <c r="D1490" s="1" t="s">
        <v>19</v>
      </c>
      <c r="E1490" s="5" t="s">
        <v>1892</v>
      </c>
      <c r="F1490" s="4"/>
      <c r="G1490" s="4"/>
    </row>
    <row r="1491" spans="1:7" ht="15.75" customHeight="1" x14ac:dyDescent="0.15">
      <c r="A1491" s="1">
        <v>1140</v>
      </c>
      <c r="B1491" s="1">
        <v>11197</v>
      </c>
      <c r="C1491" s="1" t="s">
        <v>1665</v>
      </c>
      <c r="D1491" s="1" t="s">
        <v>19</v>
      </c>
      <c r="E1491" s="5" t="s">
        <v>1892</v>
      </c>
      <c r="F1491" s="4"/>
      <c r="G1491" s="4"/>
    </row>
    <row r="1492" spans="1:7" ht="15.75" customHeight="1" x14ac:dyDescent="0.15">
      <c r="A1492" s="1">
        <v>1140</v>
      </c>
      <c r="B1492" s="1">
        <v>3124</v>
      </c>
      <c r="C1492" s="1" t="s">
        <v>1666</v>
      </c>
      <c r="D1492" s="1" t="s">
        <v>19</v>
      </c>
      <c r="E1492" s="5" t="s">
        <v>1892</v>
      </c>
      <c r="F1492" s="4"/>
      <c r="G1492" s="4"/>
    </row>
    <row r="1493" spans="1:7" ht="15.75" customHeight="1" x14ac:dyDescent="0.15">
      <c r="A1493" s="1">
        <v>1140</v>
      </c>
      <c r="B1493" s="1">
        <v>11165</v>
      </c>
      <c r="C1493" s="1" t="s">
        <v>1667</v>
      </c>
      <c r="D1493" s="1" t="s">
        <v>19</v>
      </c>
      <c r="E1493" s="5" t="s">
        <v>1892</v>
      </c>
      <c r="F1493" s="4"/>
      <c r="G1493" s="4"/>
    </row>
    <row r="1494" spans="1:7" ht="15.75" customHeight="1" x14ac:dyDescent="0.15">
      <c r="A1494" s="1">
        <v>1140</v>
      </c>
      <c r="B1494" s="1">
        <v>11181</v>
      </c>
      <c r="C1494" s="1" t="s">
        <v>1668</v>
      </c>
      <c r="D1494" s="1" t="s">
        <v>19</v>
      </c>
      <c r="E1494" s="5" t="s">
        <v>1892</v>
      </c>
      <c r="F1494" s="4"/>
      <c r="G1494" s="4"/>
    </row>
    <row r="1495" spans="1:7" ht="15.75" customHeight="1" x14ac:dyDescent="0.15">
      <c r="A1495" s="1">
        <v>1140</v>
      </c>
      <c r="B1495" s="1">
        <v>11171</v>
      </c>
      <c r="C1495" s="1" t="s">
        <v>1669</v>
      </c>
      <c r="D1495" s="1" t="s">
        <v>19</v>
      </c>
      <c r="E1495" s="5" t="s">
        <v>1892</v>
      </c>
      <c r="F1495" s="4"/>
      <c r="G1495" s="4"/>
    </row>
    <row r="1496" spans="1:7" ht="15.75" customHeight="1" x14ac:dyDescent="0.15">
      <c r="A1496" s="1">
        <v>1140</v>
      </c>
      <c r="B1496" s="1">
        <v>11130</v>
      </c>
      <c r="C1496" s="1" t="s">
        <v>1670</v>
      </c>
      <c r="D1496" s="1" t="s">
        <v>19</v>
      </c>
      <c r="E1496" s="5" t="s">
        <v>1892</v>
      </c>
      <c r="F1496" s="4"/>
      <c r="G1496" s="4"/>
    </row>
    <row r="1497" spans="1:7" ht="15.75" customHeight="1" x14ac:dyDescent="0.15">
      <c r="A1497" s="1">
        <v>1140</v>
      </c>
      <c r="B1497" s="1">
        <v>11208</v>
      </c>
      <c r="C1497" s="1" t="s">
        <v>1671</v>
      </c>
      <c r="D1497" s="1" t="s">
        <v>19</v>
      </c>
      <c r="E1497" s="5" t="s">
        <v>1892</v>
      </c>
      <c r="F1497" s="4"/>
      <c r="G1497" s="4"/>
    </row>
    <row r="1498" spans="1:7" ht="15.75" customHeight="1" x14ac:dyDescent="0.15">
      <c r="A1498" s="1">
        <v>1140</v>
      </c>
      <c r="B1498" s="1">
        <v>11182</v>
      </c>
      <c r="C1498" s="1" t="s">
        <v>1672</v>
      </c>
      <c r="D1498" s="1" t="s">
        <v>19</v>
      </c>
      <c r="E1498" s="5" t="s">
        <v>1892</v>
      </c>
      <c r="F1498" s="4"/>
      <c r="G1498" s="4"/>
    </row>
    <row r="1499" spans="1:7" ht="15.75" customHeight="1" x14ac:dyDescent="0.15">
      <c r="A1499" s="1">
        <v>1140</v>
      </c>
      <c r="B1499" s="1">
        <v>11142</v>
      </c>
      <c r="C1499" s="1" t="s">
        <v>1673</v>
      </c>
      <c r="D1499" s="1" t="s">
        <v>19</v>
      </c>
      <c r="E1499" s="5" t="s">
        <v>1892</v>
      </c>
      <c r="F1499" s="4"/>
      <c r="G1499" s="4"/>
    </row>
    <row r="1500" spans="1:7" ht="15.75" customHeight="1" x14ac:dyDescent="0.15">
      <c r="A1500" s="1">
        <v>1140</v>
      </c>
      <c r="B1500" s="1">
        <v>11204</v>
      </c>
      <c r="C1500" s="1" t="s">
        <v>1674</v>
      </c>
      <c r="D1500" s="1" t="s">
        <v>19</v>
      </c>
      <c r="E1500" s="5" t="s">
        <v>1892</v>
      </c>
      <c r="F1500" s="4"/>
      <c r="G1500" s="4"/>
    </row>
    <row r="1501" spans="1:7" ht="15.75" customHeight="1" x14ac:dyDescent="0.15">
      <c r="A1501" s="1">
        <v>1140</v>
      </c>
      <c r="B1501" s="1">
        <v>11146</v>
      </c>
      <c r="C1501" s="1" t="s">
        <v>1675</v>
      </c>
      <c r="D1501" s="1" t="s">
        <v>19</v>
      </c>
      <c r="E1501" s="5" t="s">
        <v>1892</v>
      </c>
      <c r="F1501" s="4"/>
      <c r="G1501" s="4"/>
    </row>
    <row r="1502" spans="1:7" ht="15.75" customHeight="1" x14ac:dyDescent="0.15">
      <c r="A1502" s="1">
        <v>1140</v>
      </c>
      <c r="B1502" s="1">
        <v>10811</v>
      </c>
      <c r="C1502" s="1" t="s">
        <v>1676</v>
      </c>
      <c r="D1502" s="1" t="s">
        <v>19</v>
      </c>
      <c r="E1502" s="5" t="s">
        <v>1892</v>
      </c>
      <c r="F1502" s="4"/>
      <c r="G1502" s="4"/>
    </row>
    <row r="1503" spans="1:7" ht="15.75" customHeight="1" x14ac:dyDescent="0.15">
      <c r="A1503" s="1">
        <v>1140</v>
      </c>
      <c r="B1503" s="1">
        <v>11163</v>
      </c>
      <c r="C1503" s="1" t="s">
        <v>1677</v>
      </c>
      <c r="D1503" s="1" t="s">
        <v>19</v>
      </c>
      <c r="E1503" s="5" t="s">
        <v>1892</v>
      </c>
      <c r="F1503" s="4"/>
      <c r="G1503" s="4"/>
    </row>
    <row r="1504" spans="1:7" ht="15.75" customHeight="1" x14ac:dyDescent="0.15">
      <c r="A1504" s="1">
        <v>1140</v>
      </c>
      <c r="B1504" s="1">
        <v>11183</v>
      </c>
      <c r="C1504" s="1" t="s">
        <v>1678</v>
      </c>
      <c r="D1504" s="1" t="s">
        <v>19</v>
      </c>
      <c r="E1504" s="5" t="s">
        <v>1892</v>
      </c>
      <c r="F1504" s="4"/>
      <c r="G1504" s="4"/>
    </row>
    <row r="1505" spans="1:7" ht="15.75" customHeight="1" x14ac:dyDescent="0.15">
      <c r="A1505" s="1">
        <v>1140</v>
      </c>
      <c r="B1505" s="1">
        <v>11198</v>
      </c>
      <c r="C1505" s="1" t="s">
        <v>1679</v>
      </c>
      <c r="D1505" s="1" t="s">
        <v>19</v>
      </c>
      <c r="E1505" s="5" t="s">
        <v>1892</v>
      </c>
      <c r="F1505" s="4"/>
      <c r="G1505" s="4"/>
    </row>
    <row r="1506" spans="1:7" ht="15.75" customHeight="1" x14ac:dyDescent="0.15">
      <c r="A1506" s="1">
        <v>1140</v>
      </c>
      <c r="B1506" s="1">
        <v>11184</v>
      </c>
      <c r="C1506" s="1" t="s">
        <v>1680</v>
      </c>
      <c r="D1506" s="1" t="s">
        <v>19</v>
      </c>
      <c r="E1506" s="5" t="s">
        <v>1892</v>
      </c>
      <c r="F1506" s="4"/>
      <c r="G1506" s="4"/>
    </row>
    <row r="1507" spans="1:7" ht="15.75" customHeight="1" x14ac:dyDescent="0.15">
      <c r="A1507" s="1">
        <v>1140</v>
      </c>
      <c r="B1507" s="1">
        <v>11133</v>
      </c>
      <c r="C1507" s="1" t="s">
        <v>1681</v>
      </c>
      <c r="D1507" s="1" t="s">
        <v>19</v>
      </c>
      <c r="E1507" s="5" t="s">
        <v>1892</v>
      </c>
      <c r="F1507" s="4"/>
      <c r="G1507" s="4"/>
    </row>
    <row r="1508" spans="1:7" ht="15.75" customHeight="1" x14ac:dyDescent="0.15">
      <c r="A1508" s="1">
        <v>1140</v>
      </c>
      <c r="B1508" s="1">
        <v>11178</v>
      </c>
      <c r="C1508" s="1" t="s">
        <v>1682</v>
      </c>
      <c r="D1508" s="1" t="s">
        <v>19</v>
      </c>
      <c r="E1508" s="5" t="s">
        <v>1892</v>
      </c>
      <c r="F1508" s="4"/>
      <c r="G1508" s="4"/>
    </row>
    <row r="1509" spans="1:7" ht="15.75" customHeight="1" x14ac:dyDescent="0.15">
      <c r="A1509" s="1">
        <v>1140</v>
      </c>
      <c r="B1509" s="1">
        <v>11136</v>
      </c>
      <c r="C1509" s="1" t="s">
        <v>1683</v>
      </c>
      <c r="D1509" s="1" t="s">
        <v>19</v>
      </c>
      <c r="E1509" s="5" t="s">
        <v>1892</v>
      </c>
      <c r="F1509" s="4"/>
      <c r="G1509" s="4"/>
    </row>
    <row r="1510" spans="1:7" ht="15.75" customHeight="1" x14ac:dyDescent="0.15">
      <c r="A1510" s="1">
        <v>1140</v>
      </c>
      <c r="B1510" s="1">
        <v>10804</v>
      </c>
      <c r="C1510" s="1" t="s">
        <v>1684</v>
      </c>
      <c r="D1510" s="1" t="s">
        <v>19</v>
      </c>
      <c r="E1510" s="5" t="s">
        <v>1892</v>
      </c>
      <c r="F1510" s="4"/>
      <c r="G1510" s="4"/>
    </row>
    <row r="1511" spans="1:7" ht="15.75" customHeight="1" x14ac:dyDescent="0.15">
      <c r="A1511" s="1">
        <v>1140</v>
      </c>
      <c r="B1511" s="1">
        <v>11166</v>
      </c>
      <c r="C1511" s="1" t="s">
        <v>1685</v>
      </c>
      <c r="D1511" s="1" t="s">
        <v>19</v>
      </c>
      <c r="E1511" s="5" t="s">
        <v>1892</v>
      </c>
      <c r="F1511" s="4"/>
      <c r="G1511" s="4"/>
    </row>
    <row r="1512" spans="1:7" ht="15.75" customHeight="1" x14ac:dyDescent="0.15">
      <c r="A1512" s="1">
        <v>1140</v>
      </c>
      <c r="B1512" s="1">
        <v>11217</v>
      </c>
      <c r="C1512" s="1" t="s">
        <v>1686</v>
      </c>
      <c r="D1512" s="1" t="s">
        <v>19</v>
      </c>
      <c r="E1512" s="5" t="s">
        <v>1892</v>
      </c>
      <c r="F1512" s="4"/>
      <c r="G1512" s="4"/>
    </row>
    <row r="1513" spans="1:7" ht="15.75" customHeight="1" x14ac:dyDescent="0.15">
      <c r="A1513" s="1">
        <v>1140</v>
      </c>
      <c r="B1513" s="1">
        <v>10810</v>
      </c>
      <c r="C1513" s="1" t="s">
        <v>1687</v>
      </c>
      <c r="D1513" s="1" t="s">
        <v>19</v>
      </c>
      <c r="E1513" s="5" t="s">
        <v>1892</v>
      </c>
      <c r="F1513" s="4"/>
      <c r="G1513" s="4"/>
    </row>
    <row r="1514" spans="1:7" ht="15.75" customHeight="1" x14ac:dyDescent="0.15">
      <c r="A1514" s="1">
        <v>1140</v>
      </c>
      <c r="B1514" s="1">
        <v>11185</v>
      </c>
      <c r="C1514" s="1" t="s">
        <v>1688</v>
      </c>
      <c r="D1514" s="1" t="s">
        <v>19</v>
      </c>
      <c r="E1514" s="5" t="s">
        <v>1892</v>
      </c>
      <c r="F1514" s="4"/>
      <c r="G1514" s="4"/>
    </row>
    <row r="1515" spans="1:7" ht="15.75" customHeight="1" x14ac:dyDescent="0.15">
      <c r="A1515" s="1">
        <v>1140</v>
      </c>
      <c r="B1515" s="1">
        <v>11159</v>
      </c>
      <c r="C1515" s="1" t="s">
        <v>1689</v>
      </c>
      <c r="D1515" s="1" t="s">
        <v>19</v>
      </c>
      <c r="E1515" s="5" t="s">
        <v>1892</v>
      </c>
      <c r="F1515" s="4"/>
      <c r="G1515" s="4"/>
    </row>
    <row r="1516" spans="1:7" ht="15.75" customHeight="1" x14ac:dyDescent="0.15">
      <c r="A1516" s="1">
        <v>1140</v>
      </c>
      <c r="B1516" s="1">
        <v>10411</v>
      </c>
      <c r="C1516" s="1" t="s">
        <v>1690</v>
      </c>
      <c r="D1516" s="1" t="s">
        <v>19</v>
      </c>
      <c r="E1516" s="5" t="s">
        <v>1892</v>
      </c>
      <c r="F1516" s="4"/>
      <c r="G1516" s="4"/>
    </row>
    <row r="1517" spans="1:7" ht="15.75" customHeight="1" x14ac:dyDescent="0.15">
      <c r="A1517" s="1">
        <v>1140</v>
      </c>
      <c r="B1517" s="1">
        <v>11186</v>
      </c>
      <c r="C1517" s="1" t="s">
        <v>1691</v>
      </c>
      <c r="D1517" s="1" t="s">
        <v>19</v>
      </c>
      <c r="E1517" s="5" t="s">
        <v>1892</v>
      </c>
      <c r="F1517" s="4"/>
      <c r="G1517" s="4"/>
    </row>
    <row r="1518" spans="1:7" ht="15.75" customHeight="1" x14ac:dyDescent="0.15">
      <c r="A1518" s="1">
        <v>1140</v>
      </c>
      <c r="B1518" s="1">
        <v>10832</v>
      </c>
      <c r="C1518" s="1" t="s">
        <v>1692</v>
      </c>
      <c r="D1518" s="1" t="s">
        <v>19</v>
      </c>
      <c r="E1518" s="5" t="s">
        <v>1892</v>
      </c>
      <c r="F1518" s="4"/>
      <c r="G1518" s="4"/>
    </row>
    <row r="1519" spans="1:7" ht="15.75" customHeight="1" x14ac:dyDescent="0.15">
      <c r="A1519" s="1">
        <v>1140</v>
      </c>
      <c r="B1519" s="1">
        <v>11190</v>
      </c>
      <c r="C1519" s="1" t="s">
        <v>1693</v>
      </c>
      <c r="D1519" s="1" t="s">
        <v>19</v>
      </c>
      <c r="E1519" s="5" t="s">
        <v>1892</v>
      </c>
      <c r="F1519" s="4"/>
      <c r="G1519" s="4"/>
    </row>
    <row r="1520" spans="1:7" ht="15.75" customHeight="1" x14ac:dyDescent="0.15">
      <c r="A1520" s="1">
        <v>1140</v>
      </c>
      <c r="B1520" s="1">
        <v>11167</v>
      </c>
      <c r="C1520" s="1" t="s">
        <v>1694</v>
      </c>
      <c r="D1520" s="1" t="s">
        <v>19</v>
      </c>
      <c r="E1520" s="5" t="s">
        <v>1892</v>
      </c>
      <c r="F1520" s="4"/>
      <c r="G1520" s="4"/>
    </row>
    <row r="1521" spans="1:7" ht="15.75" customHeight="1" x14ac:dyDescent="0.15">
      <c r="A1521" s="1">
        <v>1140</v>
      </c>
      <c r="B1521" s="1">
        <v>10412</v>
      </c>
      <c r="C1521" s="1" t="s">
        <v>1695</v>
      </c>
      <c r="D1521" s="1" t="s">
        <v>19</v>
      </c>
      <c r="E1521" s="5" t="s">
        <v>1892</v>
      </c>
      <c r="F1521" s="4"/>
      <c r="G1521" s="4"/>
    </row>
    <row r="1522" spans="1:7" ht="15.75" customHeight="1" x14ac:dyDescent="0.15">
      <c r="A1522" s="1">
        <v>1140</v>
      </c>
      <c r="B1522" s="1">
        <v>11137</v>
      </c>
      <c r="C1522" s="1" t="s">
        <v>1696</v>
      </c>
      <c r="D1522" s="1" t="s">
        <v>19</v>
      </c>
      <c r="E1522" s="5" t="s">
        <v>1892</v>
      </c>
      <c r="F1522" s="4"/>
      <c r="G1522" s="4"/>
    </row>
    <row r="1523" spans="1:7" ht="15.75" customHeight="1" x14ac:dyDescent="0.15">
      <c r="A1523" s="1">
        <v>1140</v>
      </c>
      <c r="B1523" s="1">
        <v>10807</v>
      </c>
      <c r="C1523" s="1" t="s">
        <v>1697</v>
      </c>
      <c r="D1523" s="1" t="s">
        <v>19</v>
      </c>
      <c r="E1523" s="5" t="s">
        <v>1892</v>
      </c>
      <c r="F1523" s="4"/>
      <c r="G1523" s="4"/>
    </row>
    <row r="1524" spans="1:7" ht="15.75" customHeight="1" x14ac:dyDescent="0.15">
      <c r="A1524" s="1">
        <v>1140</v>
      </c>
      <c r="B1524" s="1">
        <v>11138</v>
      </c>
      <c r="C1524" s="1" t="s">
        <v>1698</v>
      </c>
      <c r="D1524" s="1" t="s">
        <v>19</v>
      </c>
      <c r="E1524" s="5" t="s">
        <v>1892</v>
      </c>
      <c r="F1524" s="4"/>
      <c r="G1524" s="4"/>
    </row>
    <row r="1525" spans="1:7" ht="15.75" customHeight="1" x14ac:dyDescent="0.15">
      <c r="A1525" s="1">
        <v>1140</v>
      </c>
      <c r="B1525" s="1">
        <v>10410</v>
      </c>
      <c r="C1525" s="1" t="s">
        <v>1699</v>
      </c>
      <c r="D1525" s="1" t="s">
        <v>19</v>
      </c>
      <c r="E1525" s="5" t="s">
        <v>1892</v>
      </c>
      <c r="F1525" s="4"/>
      <c r="G1525" s="4"/>
    </row>
    <row r="1526" spans="1:7" ht="15.75" customHeight="1" x14ac:dyDescent="0.15">
      <c r="A1526" s="1">
        <v>1140</v>
      </c>
      <c r="B1526" s="1">
        <v>10792</v>
      </c>
      <c r="C1526" s="1" t="s">
        <v>1700</v>
      </c>
      <c r="D1526" s="1" t="s">
        <v>19</v>
      </c>
      <c r="E1526" s="5" t="s">
        <v>1892</v>
      </c>
      <c r="F1526" s="4"/>
      <c r="G1526" s="4"/>
    </row>
    <row r="1527" spans="1:7" ht="15.75" customHeight="1" x14ac:dyDescent="0.15">
      <c r="A1527" s="1">
        <v>1140</v>
      </c>
      <c r="B1527" s="1">
        <v>11192</v>
      </c>
      <c r="C1527" s="1" t="s">
        <v>1701</v>
      </c>
      <c r="D1527" s="1" t="s">
        <v>19</v>
      </c>
      <c r="E1527" s="5" t="s">
        <v>1892</v>
      </c>
      <c r="F1527" s="4"/>
      <c r="G1527" s="4"/>
    </row>
    <row r="1528" spans="1:7" ht="15.75" customHeight="1" x14ac:dyDescent="0.15">
      <c r="A1528" s="1">
        <v>1140</v>
      </c>
      <c r="B1528" s="1">
        <v>11200</v>
      </c>
      <c r="C1528" s="1" t="s">
        <v>1702</v>
      </c>
      <c r="D1528" s="1" t="s">
        <v>19</v>
      </c>
      <c r="E1528" s="5" t="s">
        <v>1892</v>
      </c>
      <c r="F1528" s="4"/>
      <c r="G1528" s="4"/>
    </row>
    <row r="1529" spans="1:7" ht="15.75" customHeight="1" x14ac:dyDescent="0.15">
      <c r="A1529" s="1">
        <v>1140</v>
      </c>
      <c r="B1529" s="1">
        <v>11147</v>
      </c>
      <c r="C1529" s="1" t="s">
        <v>1703</v>
      </c>
      <c r="D1529" s="1" t="s">
        <v>19</v>
      </c>
      <c r="E1529" s="5" t="s">
        <v>1892</v>
      </c>
      <c r="F1529" s="4"/>
      <c r="G1529" s="4"/>
    </row>
    <row r="1530" spans="1:7" ht="15.75" customHeight="1" x14ac:dyDescent="0.15">
      <c r="A1530" s="1">
        <v>1140</v>
      </c>
      <c r="B1530" s="1">
        <v>11335</v>
      </c>
      <c r="C1530" s="1" t="s">
        <v>1704</v>
      </c>
      <c r="D1530" s="1" t="s">
        <v>19</v>
      </c>
      <c r="E1530" s="5" t="s">
        <v>1892</v>
      </c>
      <c r="F1530" s="4"/>
      <c r="G1530" s="4"/>
    </row>
    <row r="1531" spans="1:7" ht="15.75" customHeight="1" x14ac:dyDescent="0.15">
      <c r="A1531" s="1">
        <v>1140</v>
      </c>
      <c r="B1531" s="1">
        <v>10833</v>
      </c>
      <c r="C1531" s="1" t="s">
        <v>1705</v>
      </c>
      <c r="D1531" s="1" t="s">
        <v>19</v>
      </c>
      <c r="E1531" s="5" t="s">
        <v>1892</v>
      </c>
      <c r="F1531" s="4"/>
      <c r="G1531" s="4"/>
    </row>
    <row r="1532" spans="1:7" ht="15.75" customHeight="1" x14ac:dyDescent="0.15">
      <c r="A1532" s="1">
        <v>1140</v>
      </c>
      <c r="B1532" s="1">
        <v>11153</v>
      </c>
      <c r="C1532" s="1" t="s">
        <v>1706</v>
      </c>
      <c r="D1532" s="1" t="s">
        <v>19</v>
      </c>
      <c r="E1532" s="5" t="s">
        <v>1892</v>
      </c>
      <c r="F1532" s="4"/>
      <c r="G1532" s="4"/>
    </row>
    <row r="1533" spans="1:7" ht="15.75" customHeight="1" x14ac:dyDescent="0.15">
      <c r="A1533" s="1">
        <v>1140</v>
      </c>
      <c r="B1533" s="1">
        <v>10759</v>
      </c>
      <c r="C1533" s="1" t="s">
        <v>1707</v>
      </c>
      <c r="D1533" s="1" t="s">
        <v>19</v>
      </c>
      <c r="E1533" s="5" t="s">
        <v>1892</v>
      </c>
      <c r="F1533" s="4"/>
      <c r="G1533" s="4"/>
    </row>
    <row r="1534" spans="1:7" ht="15.75" customHeight="1" x14ac:dyDescent="0.15">
      <c r="A1534" s="1">
        <v>1140</v>
      </c>
      <c r="B1534" s="1">
        <v>11215</v>
      </c>
      <c r="C1534" s="1" t="s">
        <v>1708</v>
      </c>
      <c r="D1534" s="1" t="s">
        <v>19</v>
      </c>
      <c r="E1534" s="5" t="s">
        <v>1892</v>
      </c>
      <c r="F1534" s="4"/>
      <c r="G1534" s="4"/>
    </row>
    <row r="1535" spans="1:7" ht="15.75" customHeight="1" x14ac:dyDescent="0.15">
      <c r="A1535" s="1">
        <v>1140</v>
      </c>
      <c r="B1535" s="1">
        <v>11225</v>
      </c>
      <c r="C1535" s="1" t="s">
        <v>1709</v>
      </c>
      <c r="D1535" s="1" t="s">
        <v>19</v>
      </c>
      <c r="E1535" s="5" t="s">
        <v>1892</v>
      </c>
      <c r="F1535" s="4"/>
      <c r="G1535" s="4"/>
    </row>
    <row r="1536" spans="1:7" ht="15.75" customHeight="1" x14ac:dyDescent="0.15">
      <c r="A1536" s="1">
        <v>1140</v>
      </c>
      <c r="B1536" s="1">
        <v>11148</v>
      </c>
      <c r="C1536" s="1" t="s">
        <v>1710</v>
      </c>
      <c r="D1536" s="1" t="s">
        <v>19</v>
      </c>
      <c r="E1536" s="5" t="s">
        <v>1892</v>
      </c>
      <c r="F1536" s="4"/>
      <c r="G1536" s="4"/>
    </row>
    <row r="1537" spans="1:7" ht="15.75" customHeight="1" x14ac:dyDescent="0.15">
      <c r="A1537" s="1">
        <v>1140</v>
      </c>
      <c r="B1537" s="1">
        <v>11160</v>
      </c>
      <c r="C1537" s="1" t="s">
        <v>1711</v>
      </c>
      <c r="D1537" s="1" t="s">
        <v>19</v>
      </c>
      <c r="E1537" s="5" t="s">
        <v>1892</v>
      </c>
      <c r="F1537" s="4"/>
      <c r="G1537" s="4"/>
    </row>
    <row r="1538" spans="1:7" ht="15.75" customHeight="1" x14ac:dyDescent="0.15">
      <c r="A1538" s="1">
        <v>1140</v>
      </c>
      <c r="B1538" s="1">
        <v>11139</v>
      </c>
      <c r="C1538" s="1" t="s">
        <v>1712</v>
      </c>
      <c r="D1538" s="1" t="s">
        <v>19</v>
      </c>
      <c r="E1538" s="5" t="s">
        <v>1892</v>
      </c>
      <c r="F1538" s="4"/>
      <c r="G1538" s="4"/>
    </row>
    <row r="1539" spans="1:7" ht="15.75" customHeight="1" x14ac:dyDescent="0.15">
      <c r="A1539" s="1">
        <v>1140</v>
      </c>
      <c r="B1539" s="1">
        <v>11222</v>
      </c>
      <c r="C1539" s="1" t="s">
        <v>1713</v>
      </c>
      <c r="D1539" s="1" t="s">
        <v>19</v>
      </c>
      <c r="E1539" s="5" t="s">
        <v>1892</v>
      </c>
      <c r="F1539" s="4"/>
      <c r="G1539" s="4"/>
    </row>
    <row r="1540" spans="1:7" ht="15.75" customHeight="1" x14ac:dyDescent="0.15">
      <c r="A1540" s="1">
        <v>1140</v>
      </c>
      <c r="B1540" s="1">
        <v>11205</v>
      </c>
      <c r="C1540" s="1" t="s">
        <v>1714</v>
      </c>
      <c r="D1540" s="1" t="s">
        <v>19</v>
      </c>
      <c r="E1540" s="5" t="s">
        <v>1892</v>
      </c>
      <c r="F1540" s="4"/>
      <c r="G1540" s="4"/>
    </row>
    <row r="1541" spans="1:7" ht="15.75" customHeight="1" x14ac:dyDescent="0.15">
      <c r="A1541" s="1">
        <v>1140</v>
      </c>
      <c r="B1541" s="1">
        <v>11140</v>
      </c>
      <c r="C1541" s="1" t="s">
        <v>1715</v>
      </c>
      <c r="D1541" s="1" t="s">
        <v>19</v>
      </c>
      <c r="E1541" s="5" t="s">
        <v>1892</v>
      </c>
      <c r="F1541" s="4"/>
      <c r="G1541" s="4"/>
    </row>
    <row r="1542" spans="1:7" ht="15.75" customHeight="1" x14ac:dyDescent="0.15">
      <c r="A1542" s="1">
        <v>1140</v>
      </c>
      <c r="B1542" s="1">
        <v>10796</v>
      </c>
      <c r="C1542" s="1" t="s">
        <v>1716</v>
      </c>
      <c r="D1542" s="1" t="s">
        <v>19</v>
      </c>
      <c r="E1542" s="5" t="s">
        <v>1892</v>
      </c>
      <c r="F1542" s="4"/>
      <c r="G1542" s="4"/>
    </row>
    <row r="1543" spans="1:7" ht="15.75" customHeight="1" x14ac:dyDescent="0.15">
      <c r="A1543" s="1">
        <v>1140</v>
      </c>
      <c r="B1543" s="1">
        <v>11168</v>
      </c>
      <c r="C1543" s="1" t="s">
        <v>1717</v>
      </c>
      <c r="D1543" s="1" t="s">
        <v>19</v>
      </c>
      <c r="E1543" s="5" t="s">
        <v>1892</v>
      </c>
      <c r="F1543" s="4"/>
      <c r="G1543" s="4"/>
    </row>
    <row r="1544" spans="1:7" ht="15.75" customHeight="1" x14ac:dyDescent="0.15">
      <c r="A1544" s="1">
        <v>1140</v>
      </c>
      <c r="B1544" s="1">
        <v>11128</v>
      </c>
      <c r="C1544" s="1" t="s">
        <v>1718</v>
      </c>
      <c r="D1544" s="1" t="s">
        <v>19</v>
      </c>
      <c r="E1544" s="5" t="s">
        <v>1892</v>
      </c>
      <c r="F1544" s="4"/>
      <c r="G1544" s="4"/>
    </row>
    <row r="1545" spans="1:7" ht="15.75" customHeight="1" x14ac:dyDescent="0.15">
      <c r="A1545" s="1">
        <v>1140</v>
      </c>
      <c r="B1545" s="1">
        <v>11187</v>
      </c>
      <c r="C1545" s="1" t="s">
        <v>1719</v>
      </c>
      <c r="D1545" s="1" t="s">
        <v>19</v>
      </c>
      <c r="E1545" s="5" t="s">
        <v>1892</v>
      </c>
      <c r="F1545" s="4"/>
      <c r="G1545" s="4"/>
    </row>
    <row r="1546" spans="1:7" ht="15.75" customHeight="1" x14ac:dyDescent="0.15">
      <c r="A1546" s="1">
        <v>1140</v>
      </c>
      <c r="B1546" s="1">
        <v>11179</v>
      </c>
      <c r="C1546" s="1" t="s">
        <v>1720</v>
      </c>
      <c r="D1546" s="1" t="s">
        <v>19</v>
      </c>
      <c r="E1546" s="5" t="s">
        <v>1892</v>
      </c>
      <c r="F1546" s="4"/>
      <c r="G1546" s="4"/>
    </row>
    <row r="1547" spans="1:7" ht="15.75" customHeight="1" x14ac:dyDescent="0.15">
      <c r="A1547" s="1">
        <v>1140</v>
      </c>
      <c r="B1547" s="1">
        <v>11214</v>
      </c>
      <c r="C1547" s="1" t="s">
        <v>1721</v>
      </c>
      <c r="D1547" s="1" t="s">
        <v>19</v>
      </c>
      <c r="E1547" s="5" t="s">
        <v>1892</v>
      </c>
      <c r="F1547" s="4"/>
      <c r="G1547" s="4"/>
    </row>
    <row r="1548" spans="1:7" ht="15.75" customHeight="1" x14ac:dyDescent="0.15">
      <c r="A1548" s="1">
        <v>1140</v>
      </c>
      <c r="B1548" s="1">
        <v>11191</v>
      </c>
      <c r="C1548" s="1" t="s">
        <v>1722</v>
      </c>
      <c r="D1548" s="1" t="s">
        <v>19</v>
      </c>
      <c r="E1548" s="5" t="s">
        <v>1892</v>
      </c>
      <c r="F1548" s="4"/>
      <c r="G1548" s="4"/>
    </row>
    <row r="1549" spans="1:7" ht="15.75" customHeight="1" x14ac:dyDescent="0.15">
      <c r="A1549" s="1">
        <v>1140</v>
      </c>
      <c r="B1549" s="1">
        <v>11210</v>
      </c>
      <c r="C1549" s="1" t="s">
        <v>1723</v>
      </c>
      <c r="D1549" s="1" t="s">
        <v>19</v>
      </c>
      <c r="E1549" s="5" t="s">
        <v>1892</v>
      </c>
      <c r="F1549" s="4"/>
      <c r="G1549" s="4"/>
    </row>
    <row r="1550" spans="1:7" ht="15.75" customHeight="1" x14ac:dyDescent="0.15">
      <c r="A1550" s="1">
        <v>1140</v>
      </c>
      <c r="B1550" s="1">
        <v>11212</v>
      </c>
      <c r="C1550" s="1" t="s">
        <v>1724</v>
      </c>
      <c r="D1550" s="1" t="s">
        <v>19</v>
      </c>
      <c r="E1550" s="5" t="s">
        <v>1892</v>
      </c>
      <c r="F1550" s="4"/>
      <c r="G1550" s="4"/>
    </row>
    <row r="1551" spans="1:7" ht="15.75" customHeight="1" x14ac:dyDescent="0.15">
      <c r="A1551" s="1">
        <v>1140</v>
      </c>
      <c r="B1551" s="1">
        <v>11141</v>
      </c>
      <c r="C1551" s="1" t="s">
        <v>1725</v>
      </c>
      <c r="D1551" s="1" t="s">
        <v>19</v>
      </c>
      <c r="E1551" s="5" t="s">
        <v>1892</v>
      </c>
      <c r="F1551" s="4"/>
      <c r="G1551" s="4"/>
    </row>
    <row r="1552" spans="1:7" ht="15.75" customHeight="1" x14ac:dyDescent="0.15">
      <c r="A1552" s="1">
        <v>1140</v>
      </c>
      <c r="B1552" s="1">
        <v>11173</v>
      </c>
      <c r="C1552" s="1" t="s">
        <v>1726</v>
      </c>
      <c r="D1552" s="1" t="s">
        <v>19</v>
      </c>
      <c r="E1552" s="5" t="s">
        <v>1892</v>
      </c>
      <c r="F1552" s="4"/>
      <c r="G1552" s="4"/>
    </row>
    <row r="1553" spans="1:7" ht="15.75" customHeight="1" x14ac:dyDescent="0.15">
      <c r="A1553" s="1">
        <v>1140</v>
      </c>
      <c r="B1553" s="1">
        <v>10457</v>
      </c>
      <c r="C1553" s="1" t="s">
        <v>1727</v>
      </c>
      <c r="D1553" s="1" t="s">
        <v>19</v>
      </c>
      <c r="E1553" s="5" t="s">
        <v>1892</v>
      </c>
      <c r="F1553" s="4"/>
      <c r="G1553" s="4"/>
    </row>
    <row r="1554" spans="1:7" ht="15.75" customHeight="1" x14ac:dyDescent="0.15">
      <c r="A1554" s="1">
        <v>1140</v>
      </c>
      <c r="B1554" s="1">
        <v>11188</v>
      </c>
      <c r="C1554" s="1" t="s">
        <v>1728</v>
      </c>
      <c r="D1554" s="1" t="s">
        <v>19</v>
      </c>
      <c r="E1554" s="5" t="s">
        <v>1892</v>
      </c>
      <c r="F1554" s="4"/>
      <c r="G1554" s="4"/>
    </row>
    <row r="1555" spans="1:7" ht="15.75" customHeight="1" x14ac:dyDescent="0.15">
      <c r="A1555" s="1">
        <v>1140</v>
      </c>
      <c r="B1555" s="1">
        <v>11161</v>
      </c>
      <c r="C1555" s="1" t="s">
        <v>1729</v>
      </c>
      <c r="D1555" s="1" t="s">
        <v>19</v>
      </c>
      <c r="E1555" s="5" t="s">
        <v>1892</v>
      </c>
      <c r="F1555" s="4"/>
      <c r="G1555" s="4"/>
    </row>
    <row r="1556" spans="1:7" ht="15.75" customHeight="1" x14ac:dyDescent="0.15">
      <c r="A1556" s="1">
        <v>1140</v>
      </c>
      <c r="B1556" s="1">
        <v>10458</v>
      </c>
      <c r="C1556" s="1" t="s">
        <v>1730</v>
      </c>
      <c r="D1556" s="1" t="s">
        <v>19</v>
      </c>
      <c r="E1556" s="5" t="s">
        <v>1892</v>
      </c>
      <c r="F1556" s="4"/>
      <c r="G1556" s="4"/>
    </row>
    <row r="1557" spans="1:7" ht="15.75" customHeight="1" x14ac:dyDescent="0.15">
      <c r="A1557" s="1">
        <v>1140</v>
      </c>
      <c r="B1557" s="1">
        <v>11211</v>
      </c>
      <c r="C1557" s="1" t="s">
        <v>1731</v>
      </c>
      <c r="D1557" s="1" t="s">
        <v>19</v>
      </c>
      <c r="E1557" s="5" t="s">
        <v>1892</v>
      </c>
      <c r="F1557" s="4"/>
      <c r="G1557" s="4"/>
    </row>
    <row r="1558" spans="1:7" ht="15.75" customHeight="1" x14ac:dyDescent="0.15">
      <c r="A1558" s="1">
        <v>1140</v>
      </c>
      <c r="B1558" s="1">
        <v>11169</v>
      </c>
      <c r="C1558" s="1" t="s">
        <v>1732</v>
      </c>
      <c r="D1558" s="1" t="s">
        <v>19</v>
      </c>
      <c r="E1558" s="5" t="s">
        <v>1892</v>
      </c>
      <c r="F1558" s="4"/>
      <c r="G1558" s="4"/>
    </row>
    <row r="1559" spans="1:7" ht="15.75" customHeight="1" x14ac:dyDescent="0.15">
      <c r="A1559" s="1">
        <v>1140</v>
      </c>
      <c r="B1559" s="1">
        <v>10948</v>
      </c>
      <c r="C1559" s="1" t="s">
        <v>1733</v>
      </c>
      <c r="D1559" s="1" t="s">
        <v>19</v>
      </c>
      <c r="E1559" s="5" t="s">
        <v>1892</v>
      </c>
      <c r="F1559" s="4"/>
      <c r="G1559" s="4"/>
    </row>
    <row r="1560" spans="1:7" ht="15.75" customHeight="1" x14ac:dyDescent="0.15">
      <c r="A1560" s="1">
        <v>1140</v>
      </c>
      <c r="B1560" s="1">
        <v>11162</v>
      </c>
      <c r="C1560" s="1" t="s">
        <v>1734</v>
      </c>
      <c r="D1560" s="1" t="s">
        <v>19</v>
      </c>
      <c r="E1560" s="5" t="s">
        <v>1892</v>
      </c>
      <c r="F1560" s="4"/>
      <c r="G1560" s="4"/>
    </row>
    <row r="1561" spans="1:7" ht="15.75" customHeight="1" x14ac:dyDescent="0.15">
      <c r="A1561" s="1">
        <v>1140</v>
      </c>
      <c r="B1561" s="1">
        <v>10694</v>
      </c>
      <c r="C1561" s="1" t="s">
        <v>1735</v>
      </c>
      <c r="D1561" s="1" t="s">
        <v>19</v>
      </c>
      <c r="E1561" s="5" t="s">
        <v>1892</v>
      </c>
      <c r="F1561" s="4"/>
      <c r="G1561" s="4"/>
    </row>
    <row r="1562" spans="1:7" ht="15.75" customHeight="1" x14ac:dyDescent="0.15">
      <c r="A1562" s="1">
        <v>1140</v>
      </c>
      <c r="B1562" s="1">
        <v>11078</v>
      </c>
      <c r="C1562" s="1" t="s">
        <v>1736</v>
      </c>
      <c r="D1562" s="1" t="s">
        <v>19</v>
      </c>
      <c r="E1562" s="5" t="s">
        <v>1892</v>
      </c>
      <c r="F1562" s="4"/>
      <c r="G1562" s="4"/>
    </row>
    <row r="1563" spans="1:7" ht="15.75" customHeight="1" x14ac:dyDescent="0.15">
      <c r="A1563" s="1">
        <v>1140</v>
      </c>
      <c r="B1563" s="1">
        <v>11156</v>
      </c>
      <c r="C1563" s="1" t="s">
        <v>1737</v>
      </c>
      <c r="D1563" s="1" t="s">
        <v>19</v>
      </c>
      <c r="E1563" s="5" t="s">
        <v>1892</v>
      </c>
      <c r="F1563" s="4"/>
      <c r="G1563" s="4"/>
    </row>
    <row r="1564" spans="1:7" ht="15.75" customHeight="1" x14ac:dyDescent="0.15">
      <c r="A1564" s="1">
        <v>1140</v>
      </c>
      <c r="B1564" s="1">
        <v>11213</v>
      </c>
      <c r="C1564" s="1" t="s">
        <v>1738</v>
      </c>
      <c r="D1564" s="1" t="s">
        <v>19</v>
      </c>
      <c r="E1564" s="5" t="s">
        <v>1892</v>
      </c>
      <c r="F1564" s="4"/>
      <c r="G1564" s="4"/>
    </row>
    <row r="1565" spans="1:7" ht="15.75" customHeight="1" x14ac:dyDescent="0.15">
      <c r="A1565" s="1">
        <v>1140</v>
      </c>
      <c r="B1565" s="1">
        <v>10760</v>
      </c>
      <c r="C1565" s="1" t="s">
        <v>1739</v>
      </c>
      <c r="D1565" s="1" t="s">
        <v>19</v>
      </c>
      <c r="E1565" s="5" t="s">
        <v>1892</v>
      </c>
      <c r="F1565" s="4"/>
      <c r="G1565" s="4"/>
    </row>
    <row r="1566" spans="1:7" ht="15.75" customHeight="1" x14ac:dyDescent="0.15">
      <c r="A1566" s="1">
        <v>1140</v>
      </c>
      <c r="B1566" s="1">
        <v>11193</v>
      </c>
      <c r="C1566" s="1" t="s">
        <v>1740</v>
      </c>
      <c r="D1566" s="1" t="s">
        <v>19</v>
      </c>
      <c r="E1566" s="5" t="s">
        <v>1892</v>
      </c>
      <c r="F1566" s="4"/>
      <c r="G1566" s="4"/>
    </row>
    <row r="1567" spans="1:7" ht="15.75" customHeight="1" x14ac:dyDescent="0.15">
      <c r="A1567" s="1">
        <v>1140</v>
      </c>
      <c r="B1567" s="1">
        <v>11180</v>
      </c>
      <c r="C1567" s="1" t="s">
        <v>1741</v>
      </c>
      <c r="D1567" s="1" t="s">
        <v>19</v>
      </c>
      <c r="E1567" s="5" t="s">
        <v>1892</v>
      </c>
      <c r="F1567" s="4"/>
      <c r="G1567" s="4"/>
    </row>
    <row r="1568" spans="1:7" ht="15.75" customHeight="1" x14ac:dyDescent="0.15">
      <c r="A1568" s="1">
        <v>1140</v>
      </c>
      <c r="B1568" s="1">
        <v>11219</v>
      </c>
      <c r="C1568" s="1" t="s">
        <v>1742</v>
      </c>
      <c r="D1568" s="1" t="s">
        <v>19</v>
      </c>
      <c r="E1568" s="5" t="s">
        <v>1892</v>
      </c>
      <c r="F1568" s="4"/>
      <c r="G1568" s="4"/>
    </row>
    <row r="1569" spans="1:7" ht="15.75" customHeight="1" x14ac:dyDescent="0.15">
      <c r="A1569" s="1">
        <v>1140</v>
      </c>
      <c r="B1569" s="1">
        <v>11189</v>
      </c>
      <c r="C1569" s="1" t="s">
        <v>1743</v>
      </c>
      <c r="D1569" s="1" t="s">
        <v>19</v>
      </c>
      <c r="E1569" s="5" t="s">
        <v>1892</v>
      </c>
      <c r="F1569" s="4"/>
      <c r="G1569" s="4"/>
    </row>
    <row r="1570" spans="1:7" ht="15.75" customHeight="1" x14ac:dyDescent="0.15">
      <c r="A1570" s="1">
        <v>1140</v>
      </c>
      <c r="B1570" s="1">
        <v>10806</v>
      </c>
      <c r="C1570" s="1" t="s">
        <v>1744</v>
      </c>
      <c r="D1570" s="1" t="s">
        <v>19</v>
      </c>
      <c r="E1570" s="5" t="s">
        <v>1892</v>
      </c>
      <c r="F1570" s="4"/>
      <c r="G1570" s="4"/>
    </row>
    <row r="1571" spans="1:7" ht="15.75" customHeight="1" x14ac:dyDescent="0.15">
      <c r="A1571" s="1">
        <v>1140</v>
      </c>
      <c r="B1571" s="1">
        <v>11206</v>
      </c>
      <c r="C1571" s="1" t="s">
        <v>1745</v>
      </c>
      <c r="D1571" s="1" t="s">
        <v>19</v>
      </c>
      <c r="E1571" s="5" t="s">
        <v>1892</v>
      </c>
      <c r="F1571" s="4"/>
      <c r="G1571" s="4"/>
    </row>
    <row r="1572" spans="1:7" ht="15.75" customHeight="1" x14ac:dyDescent="0.15">
      <c r="A1572" s="1">
        <v>1140</v>
      </c>
      <c r="B1572" s="1">
        <v>11221</v>
      </c>
      <c r="C1572" s="1" t="s">
        <v>1746</v>
      </c>
      <c r="D1572" s="1" t="s">
        <v>19</v>
      </c>
      <c r="E1572" s="5" t="s">
        <v>1892</v>
      </c>
      <c r="F1572" s="4"/>
      <c r="G1572" s="4"/>
    </row>
    <row r="1573" spans="1:7" ht="15.75" customHeight="1" x14ac:dyDescent="0.15">
      <c r="A1573" s="1">
        <v>1140</v>
      </c>
      <c r="B1573" s="1">
        <v>11232</v>
      </c>
      <c r="C1573" s="1" t="s">
        <v>1747</v>
      </c>
      <c r="D1573" s="1" t="s">
        <v>1748</v>
      </c>
      <c r="E1573" s="5" t="s">
        <v>1892</v>
      </c>
      <c r="F1573" s="4"/>
      <c r="G1573" s="4"/>
    </row>
    <row r="1574" spans="1:7" ht="15.75" customHeight="1" x14ac:dyDescent="0.15">
      <c r="A1574" s="1">
        <v>1140</v>
      </c>
      <c r="B1574" s="1">
        <v>11113</v>
      </c>
      <c r="C1574" s="1" t="s">
        <v>1749</v>
      </c>
      <c r="D1574" s="1" t="s">
        <v>8</v>
      </c>
      <c r="E1574" s="5" t="s">
        <v>1892</v>
      </c>
      <c r="F1574" s="4"/>
      <c r="G1574" s="4"/>
    </row>
    <row r="1575" spans="1:7" ht="15.75" customHeight="1" x14ac:dyDescent="0.15">
      <c r="A1575" s="1">
        <v>1140</v>
      </c>
      <c r="B1575" s="1">
        <v>11407</v>
      </c>
      <c r="C1575" s="1" t="s">
        <v>1750</v>
      </c>
      <c r="D1575" s="1" t="s">
        <v>8</v>
      </c>
      <c r="E1575" s="5" t="s">
        <v>1892</v>
      </c>
      <c r="F1575" s="4"/>
      <c r="G1575" s="4"/>
    </row>
    <row r="1576" spans="1:7" ht="15.75" customHeight="1" x14ac:dyDescent="0.15">
      <c r="A1576" s="1">
        <v>1140</v>
      </c>
      <c r="B1576" s="1">
        <v>11012</v>
      </c>
      <c r="C1576" s="1" t="s">
        <v>1751</v>
      </c>
      <c r="D1576" s="1" t="s">
        <v>8</v>
      </c>
      <c r="E1576" s="5" t="s">
        <v>1892</v>
      </c>
      <c r="F1576" s="4"/>
      <c r="G1576" s="4"/>
    </row>
    <row r="1577" spans="1:7" ht="15.75" customHeight="1" x14ac:dyDescent="0.15">
      <c r="A1577" s="1">
        <v>1140</v>
      </c>
      <c r="B1577" s="1">
        <v>11117</v>
      </c>
      <c r="C1577" s="1" t="s">
        <v>1752</v>
      </c>
      <c r="D1577" s="1" t="s">
        <v>8</v>
      </c>
      <c r="E1577" s="5" t="s">
        <v>1892</v>
      </c>
      <c r="F1577" s="4"/>
      <c r="G1577" s="4"/>
    </row>
    <row r="1578" spans="1:7" ht="15.75" customHeight="1" x14ac:dyDescent="0.15">
      <c r="A1578" s="1">
        <v>1140</v>
      </c>
      <c r="B1578" s="1">
        <v>1169</v>
      </c>
      <c r="C1578" s="1" t="s">
        <v>1753</v>
      </c>
      <c r="D1578" s="1" t="s">
        <v>8</v>
      </c>
      <c r="E1578" s="5" t="s">
        <v>1892</v>
      </c>
      <c r="F1578" s="4"/>
      <c r="G1578" s="4"/>
    </row>
    <row r="1579" spans="1:7" ht="15.75" customHeight="1" x14ac:dyDescent="0.15">
      <c r="A1579" s="1">
        <v>1140</v>
      </c>
      <c r="B1579" s="1">
        <v>11019</v>
      </c>
      <c r="C1579" s="1" t="s">
        <v>1754</v>
      </c>
      <c r="D1579" s="1" t="s">
        <v>8</v>
      </c>
      <c r="E1579" s="5" t="s">
        <v>1892</v>
      </c>
      <c r="F1579" s="4"/>
      <c r="G1579" s="4"/>
    </row>
    <row r="1580" spans="1:7" ht="15.75" customHeight="1" x14ac:dyDescent="0.15">
      <c r="A1580" s="1">
        <v>1140</v>
      </c>
      <c r="B1580" s="1">
        <v>11018</v>
      </c>
      <c r="C1580" s="1" t="s">
        <v>1755</v>
      </c>
      <c r="D1580" s="1" t="s">
        <v>8</v>
      </c>
      <c r="E1580" s="5" t="s">
        <v>1892</v>
      </c>
      <c r="F1580" s="4"/>
      <c r="G1580" s="4"/>
    </row>
    <row r="1581" spans="1:7" ht="15.75" customHeight="1" x14ac:dyDescent="0.15">
      <c r="A1581" s="1">
        <v>1140</v>
      </c>
      <c r="B1581" s="1">
        <v>11381</v>
      </c>
      <c r="C1581" s="1" t="s">
        <v>1756</v>
      </c>
      <c r="D1581" s="1" t="s">
        <v>8</v>
      </c>
      <c r="E1581" s="5" t="s">
        <v>1892</v>
      </c>
      <c r="F1581" s="4"/>
      <c r="G1581" s="4"/>
    </row>
    <row r="1582" spans="1:7" ht="15.75" customHeight="1" x14ac:dyDescent="0.15">
      <c r="A1582" s="1">
        <v>1140</v>
      </c>
      <c r="B1582" s="1">
        <v>11112</v>
      </c>
      <c r="C1582" s="1" t="s">
        <v>1757</v>
      </c>
      <c r="D1582" s="1" t="s">
        <v>8</v>
      </c>
      <c r="E1582" s="5" t="s">
        <v>1892</v>
      </c>
      <c r="F1582" s="4"/>
      <c r="G1582" s="4"/>
    </row>
    <row r="1583" spans="1:7" ht="15.75" customHeight="1" x14ac:dyDescent="0.15">
      <c r="A1583" s="1">
        <v>1140</v>
      </c>
      <c r="B1583" s="1">
        <v>4155</v>
      </c>
      <c r="C1583" s="1" t="s">
        <v>1758</v>
      </c>
      <c r="D1583" s="1" t="s">
        <v>8</v>
      </c>
      <c r="E1583" s="5" t="s">
        <v>1892</v>
      </c>
      <c r="F1583" s="4"/>
      <c r="G1583" s="4"/>
    </row>
    <row r="1584" spans="1:7" ht="15.75" customHeight="1" x14ac:dyDescent="0.15">
      <c r="A1584" s="1">
        <v>1140</v>
      </c>
      <c r="B1584" s="1">
        <v>11409</v>
      </c>
      <c r="C1584" s="1" t="s">
        <v>1759</v>
      </c>
      <c r="D1584" s="1" t="s">
        <v>8</v>
      </c>
      <c r="E1584" s="5" t="s">
        <v>1892</v>
      </c>
      <c r="F1584" s="4"/>
      <c r="G1584" s="4"/>
    </row>
    <row r="1585" spans="1:7" ht="15.75" customHeight="1" x14ac:dyDescent="0.15">
      <c r="A1585" s="1">
        <v>1140</v>
      </c>
      <c r="B1585" s="1">
        <v>11114</v>
      </c>
      <c r="C1585" s="1" t="s">
        <v>1760</v>
      </c>
      <c r="D1585" s="1" t="s">
        <v>8</v>
      </c>
      <c r="E1585" s="5" t="s">
        <v>1892</v>
      </c>
      <c r="F1585" s="4"/>
      <c r="G1585" s="4"/>
    </row>
    <row r="1586" spans="1:7" ht="15.75" customHeight="1" x14ac:dyDescent="0.15">
      <c r="A1586" s="1">
        <v>1140</v>
      </c>
      <c r="B1586" s="1">
        <v>11115</v>
      </c>
      <c r="C1586" s="1" t="s">
        <v>1761</v>
      </c>
      <c r="D1586" s="1" t="s">
        <v>8</v>
      </c>
      <c r="E1586" s="5" t="s">
        <v>1892</v>
      </c>
      <c r="F1586" s="4"/>
      <c r="G1586" s="4"/>
    </row>
    <row r="1587" spans="1:7" ht="15.75" customHeight="1" x14ac:dyDescent="0.15">
      <c r="A1587" s="1">
        <v>1140</v>
      </c>
      <c r="B1587" s="1">
        <v>11116</v>
      </c>
      <c r="C1587" s="1" t="s">
        <v>1762</v>
      </c>
      <c r="D1587" s="1" t="s">
        <v>8</v>
      </c>
      <c r="E1587" s="5" t="s">
        <v>1892</v>
      </c>
      <c r="F1587" s="4"/>
      <c r="G1587" s="4"/>
    </row>
    <row r="1588" spans="1:7" ht="15.75" customHeight="1" x14ac:dyDescent="0.15">
      <c r="A1588" s="1">
        <v>1140</v>
      </c>
      <c r="B1588" s="1">
        <v>11416</v>
      </c>
      <c r="C1588" s="1" t="s">
        <v>1763</v>
      </c>
      <c r="D1588" s="1" t="s">
        <v>8</v>
      </c>
      <c r="E1588" s="5" t="s">
        <v>1892</v>
      </c>
      <c r="F1588" s="4"/>
      <c r="G1588" s="4"/>
    </row>
    <row r="1589" spans="1:7" ht="15.75" customHeight="1" x14ac:dyDescent="0.15">
      <c r="A1589" s="1">
        <v>1140</v>
      </c>
      <c r="B1589" s="1">
        <v>11411</v>
      </c>
      <c r="C1589" s="1" t="s">
        <v>1764</v>
      </c>
      <c r="D1589" s="1" t="s">
        <v>8</v>
      </c>
      <c r="E1589" s="5" t="s">
        <v>1892</v>
      </c>
      <c r="F1589" s="4"/>
      <c r="G1589" s="4"/>
    </row>
    <row r="1590" spans="1:7" ht="15.75" customHeight="1" x14ac:dyDescent="0.15">
      <c r="A1590" s="1">
        <v>1140</v>
      </c>
      <c r="B1590" s="1">
        <v>3056</v>
      </c>
      <c r="C1590" s="1" t="s">
        <v>1765</v>
      </c>
      <c r="D1590" s="1" t="s">
        <v>8</v>
      </c>
      <c r="E1590" s="5" t="s">
        <v>1892</v>
      </c>
      <c r="F1590" s="4"/>
      <c r="G1590" s="4"/>
    </row>
    <row r="1591" spans="1:7" ht="15.75" customHeight="1" x14ac:dyDescent="0.15">
      <c r="A1591" s="1">
        <v>1140</v>
      </c>
      <c r="B1591" s="1">
        <v>2616</v>
      </c>
      <c r="C1591" s="1" t="s">
        <v>1766</v>
      </c>
      <c r="D1591" s="1" t="s">
        <v>8</v>
      </c>
      <c r="E1591" s="5" t="s">
        <v>1892</v>
      </c>
      <c r="F1591" s="4"/>
      <c r="G1591" s="4"/>
    </row>
    <row r="1592" spans="1:7" ht="15.75" customHeight="1" x14ac:dyDescent="0.15">
      <c r="A1592" s="1">
        <v>1140</v>
      </c>
      <c r="B1592" s="1">
        <v>3253</v>
      </c>
      <c r="C1592" s="1" t="s">
        <v>1767</v>
      </c>
      <c r="D1592" s="1" t="s">
        <v>1768</v>
      </c>
      <c r="E1592" s="5" t="s">
        <v>1892</v>
      </c>
      <c r="F1592" s="4"/>
      <c r="G1592" s="4"/>
    </row>
    <row r="1593" spans="1:7" ht="15.75" customHeight="1" x14ac:dyDescent="0.15">
      <c r="A1593" s="1">
        <v>1140</v>
      </c>
      <c r="B1593" s="1">
        <v>6580</v>
      </c>
      <c r="C1593" s="1" t="s">
        <v>1769</v>
      </c>
      <c r="D1593" s="1" t="s">
        <v>42</v>
      </c>
      <c r="E1593" s="5" t="s">
        <v>1892</v>
      </c>
      <c r="F1593" s="4"/>
      <c r="G1593" s="4"/>
    </row>
    <row r="1594" spans="1:7" ht="15.75" customHeight="1" x14ac:dyDescent="0.15">
      <c r="A1594" s="1">
        <v>1140</v>
      </c>
      <c r="B1594" s="1">
        <v>9960</v>
      </c>
      <c r="C1594" s="1" t="s">
        <v>1770</v>
      </c>
      <c r="D1594" s="1" t="s">
        <v>342</v>
      </c>
      <c r="E1594" s="5" t="s">
        <v>1892</v>
      </c>
      <c r="F1594" s="4"/>
      <c r="G1594" s="4"/>
    </row>
    <row r="1595" spans="1:7" ht="15.75" customHeight="1" x14ac:dyDescent="0.15">
      <c r="A1595" s="1">
        <v>1140</v>
      </c>
      <c r="B1595" s="1">
        <v>9975</v>
      </c>
      <c r="C1595" s="1" t="s">
        <v>1771</v>
      </c>
      <c r="D1595" s="1" t="s">
        <v>82</v>
      </c>
      <c r="E1595" s="5" t="s">
        <v>1892</v>
      </c>
      <c r="F1595" s="4"/>
      <c r="G1595" s="4"/>
    </row>
    <row r="1596" spans="1:7" ht="15.75" customHeight="1" x14ac:dyDescent="0.15">
      <c r="A1596" s="1">
        <v>1140</v>
      </c>
      <c r="B1596" s="1">
        <v>5177</v>
      </c>
      <c r="C1596" s="1" t="s">
        <v>1772</v>
      </c>
      <c r="D1596" s="1" t="s">
        <v>82</v>
      </c>
      <c r="E1596" s="5" t="s">
        <v>1892</v>
      </c>
      <c r="F1596" s="4"/>
      <c r="G1596" s="4"/>
    </row>
    <row r="1597" spans="1:7" ht="15.75" customHeight="1" x14ac:dyDescent="0.15">
      <c r="A1597" s="1">
        <v>1140</v>
      </c>
      <c r="B1597" s="1">
        <v>11119</v>
      </c>
      <c r="C1597" s="1" t="s">
        <v>1773</v>
      </c>
      <c r="D1597" s="1" t="s">
        <v>79</v>
      </c>
      <c r="E1597" s="5" t="s">
        <v>1892</v>
      </c>
      <c r="F1597" s="4"/>
      <c r="G1597" s="4"/>
    </row>
    <row r="1598" spans="1:7" ht="15.75" customHeight="1" x14ac:dyDescent="0.15">
      <c r="A1598" s="1">
        <v>1140</v>
      </c>
      <c r="B1598" s="1">
        <v>11120</v>
      </c>
      <c r="C1598" s="1" t="s">
        <v>1774</v>
      </c>
      <c r="D1598" s="1" t="s">
        <v>79</v>
      </c>
      <c r="E1598" s="5" t="s">
        <v>1892</v>
      </c>
      <c r="F1598" s="4"/>
      <c r="G1598" s="4"/>
    </row>
    <row r="1599" spans="1:7" ht="15.75" customHeight="1" x14ac:dyDescent="0.15">
      <c r="A1599" s="1">
        <v>1140</v>
      </c>
      <c r="B1599" s="1">
        <v>11001</v>
      </c>
      <c r="C1599" s="1" t="s">
        <v>1775</v>
      </c>
      <c r="D1599" s="1" t="s">
        <v>84</v>
      </c>
      <c r="E1599" s="5" t="s">
        <v>1892</v>
      </c>
      <c r="F1599" s="4"/>
      <c r="G1599" s="4"/>
    </row>
    <row r="1600" spans="1:7" ht="15.75" customHeight="1" x14ac:dyDescent="0.15">
      <c r="A1600" s="1">
        <v>1140</v>
      </c>
      <c r="B1600" s="1">
        <v>8439</v>
      </c>
      <c r="C1600" s="1" t="s">
        <v>1776</v>
      </c>
      <c r="D1600" s="1" t="s">
        <v>65</v>
      </c>
      <c r="E1600" s="5" t="s">
        <v>1892</v>
      </c>
      <c r="F1600" s="4"/>
      <c r="G1600" s="4"/>
    </row>
    <row r="1601" spans="1:7" ht="15.75" customHeight="1" x14ac:dyDescent="0.15">
      <c r="A1601" s="1">
        <v>1140</v>
      </c>
      <c r="B1601" s="1">
        <v>5965</v>
      </c>
      <c r="C1601" s="1" t="s">
        <v>1777</v>
      </c>
      <c r="D1601" s="1" t="s">
        <v>65</v>
      </c>
      <c r="E1601" s="5" t="s">
        <v>1892</v>
      </c>
      <c r="F1601" s="4"/>
      <c r="G1601" s="4"/>
    </row>
    <row r="1602" spans="1:7" ht="15.75" customHeight="1" x14ac:dyDescent="0.15">
      <c r="A1602" s="1">
        <v>1140</v>
      </c>
      <c r="B1602" s="1">
        <v>7843</v>
      </c>
      <c r="C1602" s="1" t="s">
        <v>1778</v>
      </c>
      <c r="D1602" s="1" t="s">
        <v>65</v>
      </c>
      <c r="E1602" s="5" t="s">
        <v>1892</v>
      </c>
      <c r="F1602" s="4"/>
      <c r="G1602" s="4"/>
    </row>
    <row r="1603" spans="1:7" ht="15.75" customHeight="1" x14ac:dyDescent="0.15">
      <c r="A1603" s="1">
        <v>1140</v>
      </c>
      <c r="B1603" s="1">
        <v>347</v>
      </c>
      <c r="C1603" s="1" t="s">
        <v>1779</v>
      </c>
      <c r="D1603" s="1" t="s">
        <v>80</v>
      </c>
      <c r="E1603" s="5" t="s">
        <v>1892</v>
      </c>
      <c r="F1603" s="4"/>
      <c r="G1603" s="4"/>
    </row>
    <row r="1604" spans="1:7" ht="15.75" customHeight="1" x14ac:dyDescent="0.15">
      <c r="A1604" s="1">
        <v>1140</v>
      </c>
      <c r="B1604" s="1">
        <v>3997</v>
      </c>
      <c r="C1604" s="1" t="s">
        <v>1780</v>
      </c>
      <c r="D1604" s="1" t="s">
        <v>1781</v>
      </c>
      <c r="E1604" s="5" t="s">
        <v>1892</v>
      </c>
      <c r="F1604" s="4"/>
      <c r="G1604" s="4"/>
    </row>
    <row r="1605" spans="1:7" ht="15.75" customHeight="1" x14ac:dyDescent="0.15">
      <c r="A1605" s="1">
        <v>1140</v>
      </c>
      <c r="B1605" s="1">
        <v>10693</v>
      </c>
      <c r="C1605" s="1" t="s">
        <v>1782</v>
      </c>
      <c r="D1605" s="1" t="s">
        <v>1781</v>
      </c>
      <c r="E1605" s="5" t="s">
        <v>1892</v>
      </c>
      <c r="F1605" s="4"/>
      <c r="G1605" s="4"/>
    </row>
    <row r="1606" spans="1:7" ht="15.75" customHeight="1" x14ac:dyDescent="0.15">
      <c r="A1606" s="1">
        <v>1140</v>
      </c>
      <c r="B1606" s="1">
        <v>10296</v>
      </c>
      <c r="C1606" s="1" t="s">
        <v>1783</v>
      </c>
      <c r="D1606" s="1" t="s">
        <v>59</v>
      </c>
      <c r="E1606" s="5" t="s">
        <v>1892</v>
      </c>
      <c r="F1606" s="4"/>
      <c r="G1606" s="4"/>
    </row>
    <row r="1607" spans="1:7" ht="15.75" customHeight="1" x14ac:dyDescent="0.15">
      <c r="A1607" s="1">
        <v>1140</v>
      </c>
      <c r="B1607" s="1">
        <v>11396</v>
      </c>
      <c r="C1607" s="1" t="s">
        <v>1784</v>
      </c>
      <c r="D1607" s="1" t="s">
        <v>59</v>
      </c>
      <c r="E1607" s="5" t="s">
        <v>1892</v>
      </c>
      <c r="F1607" s="4"/>
      <c r="G1607" s="4"/>
    </row>
    <row r="1608" spans="1:7" ht="15.75" customHeight="1" x14ac:dyDescent="0.15">
      <c r="A1608" s="1">
        <v>1140</v>
      </c>
      <c r="B1608" s="1">
        <v>2854</v>
      </c>
      <c r="C1608" s="1" t="s">
        <v>1785</v>
      </c>
      <c r="D1608" s="1" t="s">
        <v>144</v>
      </c>
      <c r="E1608" s="5" t="s">
        <v>1892</v>
      </c>
      <c r="F1608" s="4"/>
      <c r="G1608" s="4"/>
    </row>
    <row r="1609" spans="1:7" ht="15.75" customHeight="1" x14ac:dyDescent="0.15">
      <c r="A1609" s="1">
        <v>1140</v>
      </c>
      <c r="B1609" s="1">
        <v>11369</v>
      </c>
      <c r="C1609" s="1" t="s">
        <v>1786</v>
      </c>
      <c r="D1609" s="1" t="s">
        <v>1787</v>
      </c>
      <c r="E1609" s="5" t="s">
        <v>1892</v>
      </c>
      <c r="F1609" s="4"/>
      <c r="G1609" s="4"/>
    </row>
    <row r="1610" spans="1:7" ht="15.75" customHeight="1" x14ac:dyDescent="0.15">
      <c r="A1610" s="1">
        <v>1140</v>
      </c>
      <c r="B1610" s="1">
        <v>10514</v>
      </c>
      <c r="C1610" s="1" t="s">
        <v>1788</v>
      </c>
      <c r="D1610" s="1" t="s">
        <v>68</v>
      </c>
      <c r="E1610" s="5" t="s">
        <v>1892</v>
      </c>
      <c r="F1610" s="4"/>
      <c r="G1610" s="4"/>
    </row>
    <row r="1611" spans="1:7" ht="15.75" customHeight="1" x14ac:dyDescent="0.15">
      <c r="A1611" s="1">
        <v>1140</v>
      </c>
      <c r="B1611" s="1">
        <v>11020</v>
      </c>
      <c r="C1611" s="1" t="s">
        <v>1789</v>
      </c>
      <c r="D1611" s="1" t="s">
        <v>25</v>
      </c>
      <c r="E1611" s="5" t="s">
        <v>1892</v>
      </c>
      <c r="F1611" s="4"/>
      <c r="G1611" s="4"/>
    </row>
    <row r="1612" spans="1:7" ht="15.75" customHeight="1" x14ac:dyDescent="0.15">
      <c r="A1612" s="1">
        <v>1140</v>
      </c>
      <c r="B1612" s="1">
        <v>11110</v>
      </c>
      <c r="C1612" s="1" t="s">
        <v>1790</v>
      </c>
      <c r="D1612" s="1" t="s">
        <v>25</v>
      </c>
      <c r="E1612" s="5" t="s">
        <v>1892</v>
      </c>
      <c r="F1612" s="4"/>
      <c r="G1612" s="4"/>
    </row>
    <row r="1613" spans="1:7" ht="15.75" customHeight="1" x14ac:dyDescent="0.15">
      <c r="A1613" s="1">
        <v>1140</v>
      </c>
      <c r="B1613" s="1">
        <v>11021</v>
      </c>
      <c r="C1613" s="1" t="s">
        <v>1791</v>
      </c>
      <c r="D1613" s="1" t="s">
        <v>25</v>
      </c>
      <c r="E1613" s="5" t="s">
        <v>1892</v>
      </c>
      <c r="F1613" s="4"/>
      <c r="G1613" s="4"/>
    </row>
    <row r="1614" spans="1:7" ht="15.75" customHeight="1" x14ac:dyDescent="0.15">
      <c r="A1614" s="1">
        <v>1140</v>
      </c>
      <c r="B1614" s="1">
        <v>7263</v>
      </c>
      <c r="C1614" s="1" t="s">
        <v>1792</v>
      </c>
      <c r="D1614" s="1" t="s">
        <v>102</v>
      </c>
      <c r="E1614" s="5" t="s">
        <v>1892</v>
      </c>
      <c r="F1614" s="4"/>
      <c r="G1614" s="4"/>
    </row>
    <row r="1615" spans="1:7" ht="15.75" customHeight="1" x14ac:dyDescent="0.15">
      <c r="A1615" s="1">
        <v>1140</v>
      </c>
      <c r="B1615" s="1">
        <v>7694</v>
      </c>
      <c r="C1615" s="1" t="s">
        <v>1793</v>
      </c>
      <c r="D1615" s="1" t="s">
        <v>102</v>
      </c>
      <c r="E1615" s="5" t="s">
        <v>1892</v>
      </c>
      <c r="F1615" s="4"/>
      <c r="G1615" s="4"/>
    </row>
    <row r="1616" spans="1:7" ht="15.75" customHeight="1" x14ac:dyDescent="0.15">
      <c r="A1616" s="1">
        <v>1140</v>
      </c>
      <c r="B1616" s="1">
        <v>5118</v>
      </c>
      <c r="C1616" s="1" t="s">
        <v>1794</v>
      </c>
      <c r="D1616" s="1" t="s">
        <v>102</v>
      </c>
      <c r="E1616" s="5" t="s">
        <v>1892</v>
      </c>
      <c r="F1616" s="4"/>
      <c r="G1616" s="4"/>
    </row>
    <row r="1617" spans="1:7" ht="15.75" customHeight="1" x14ac:dyDescent="0.15">
      <c r="A1617" s="1">
        <v>1140</v>
      </c>
      <c r="B1617" s="1">
        <v>2882</v>
      </c>
      <c r="C1617" s="1" t="s">
        <v>1795</v>
      </c>
      <c r="D1617" s="1" t="s">
        <v>102</v>
      </c>
      <c r="E1617" s="5" t="s">
        <v>1892</v>
      </c>
      <c r="F1617" s="4"/>
      <c r="G1617" s="4"/>
    </row>
    <row r="1618" spans="1:7" ht="15.75" customHeight="1" x14ac:dyDescent="0.15">
      <c r="A1618" s="1">
        <v>1140</v>
      </c>
      <c r="B1618" s="1">
        <v>2097</v>
      </c>
      <c r="C1618" s="1" t="s">
        <v>1796</v>
      </c>
      <c r="D1618" s="1" t="s">
        <v>102</v>
      </c>
      <c r="E1618" s="5" t="s">
        <v>1892</v>
      </c>
      <c r="F1618" s="4"/>
      <c r="G1618" s="4"/>
    </row>
    <row r="1619" spans="1:7" ht="15.75" customHeight="1" x14ac:dyDescent="0.15">
      <c r="A1619" s="1">
        <v>1140</v>
      </c>
      <c r="B1619" s="1">
        <v>3612</v>
      </c>
      <c r="C1619" s="1" t="s">
        <v>1797</v>
      </c>
      <c r="D1619" s="1" t="s">
        <v>70</v>
      </c>
      <c r="E1619" s="5" t="s">
        <v>1892</v>
      </c>
      <c r="F1619" s="4"/>
      <c r="G1619" s="4"/>
    </row>
    <row r="1620" spans="1:7" ht="15.75" customHeight="1" x14ac:dyDescent="0.15">
      <c r="A1620" s="1">
        <v>1140</v>
      </c>
      <c r="B1620" s="1">
        <v>2483</v>
      </c>
      <c r="C1620" s="1" t="s">
        <v>1798</v>
      </c>
      <c r="D1620" s="1" t="s">
        <v>55</v>
      </c>
      <c r="E1620" s="5" t="s">
        <v>1892</v>
      </c>
      <c r="F1620" s="4"/>
      <c r="G1620" s="4"/>
    </row>
    <row r="1621" spans="1:7" ht="15.75" customHeight="1" x14ac:dyDescent="0.15">
      <c r="A1621" s="1">
        <v>1140</v>
      </c>
      <c r="B1621" s="1">
        <v>5738</v>
      </c>
      <c r="C1621" s="1" t="s">
        <v>1799</v>
      </c>
      <c r="D1621" s="1" t="s">
        <v>55</v>
      </c>
      <c r="E1621" s="5" t="s">
        <v>1892</v>
      </c>
      <c r="F1621" s="4"/>
      <c r="G1621" s="4"/>
    </row>
    <row r="1622" spans="1:7" ht="15.75" customHeight="1" x14ac:dyDescent="0.15">
      <c r="A1622" s="1">
        <v>1140</v>
      </c>
      <c r="B1622" s="1">
        <v>1394</v>
      </c>
      <c r="C1622" s="1" t="s">
        <v>1800</v>
      </c>
      <c r="D1622" s="1" t="s">
        <v>55</v>
      </c>
      <c r="E1622" s="5" t="s">
        <v>1892</v>
      </c>
      <c r="F1622" s="4"/>
      <c r="G1622" s="4"/>
    </row>
    <row r="1623" spans="1:7" ht="15.75" customHeight="1" x14ac:dyDescent="0.15">
      <c r="A1623" s="1">
        <v>1140</v>
      </c>
      <c r="B1623" s="1">
        <v>6729</v>
      </c>
      <c r="C1623" s="1" t="s">
        <v>1801</v>
      </c>
      <c r="D1623" s="1" t="s">
        <v>55</v>
      </c>
      <c r="E1623" s="5" t="s">
        <v>1892</v>
      </c>
      <c r="F1623" s="4"/>
      <c r="G1623" s="4"/>
    </row>
    <row r="1624" spans="1:7" ht="15.75" customHeight="1" x14ac:dyDescent="0.15">
      <c r="A1624" s="1">
        <v>1140</v>
      </c>
      <c r="B1624" s="1">
        <v>3172</v>
      </c>
      <c r="C1624" s="1" t="s">
        <v>1802</v>
      </c>
      <c r="D1624" s="1" t="s">
        <v>724</v>
      </c>
      <c r="E1624" s="5" t="s">
        <v>1892</v>
      </c>
      <c r="F1624" s="4"/>
      <c r="G1624" s="4"/>
    </row>
    <row r="1625" spans="1:7" ht="15.75" customHeight="1" x14ac:dyDescent="0.15">
      <c r="A1625" s="1">
        <v>1140</v>
      </c>
      <c r="B1625" s="1">
        <v>11127</v>
      </c>
      <c r="C1625" s="1" t="s">
        <v>1803</v>
      </c>
      <c r="D1625" s="1" t="s">
        <v>43</v>
      </c>
      <c r="E1625" s="5" t="s">
        <v>1892</v>
      </c>
      <c r="F1625" s="4"/>
      <c r="G1625" s="4"/>
    </row>
    <row r="1626" spans="1:7" ht="15.75" customHeight="1" x14ac:dyDescent="0.15">
      <c r="A1626" s="1">
        <v>1140</v>
      </c>
      <c r="B1626" s="1">
        <v>11068</v>
      </c>
      <c r="C1626" s="1" t="s">
        <v>1804</v>
      </c>
      <c r="D1626" s="1" t="s">
        <v>43</v>
      </c>
      <c r="E1626" s="5" t="s">
        <v>1892</v>
      </c>
      <c r="F1626" s="4"/>
      <c r="G1626" s="4"/>
    </row>
    <row r="1627" spans="1:7" ht="15.75" customHeight="1" x14ac:dyDescent="0.15">
      <c r="A1627" s="1">
        <v>1140</v>
      </c>
      <c r="B1627" s="1">
        <v>5050</v>
      </c>
      <c r="C1627" s="1" t="s">
        <v>1805</v>
      </c>
      <c r="D1627" s="1" t="s">
        <v>43</v>
      </c>
      <c r="E1627" s="5" t="s">
        <v>1892</v>
      </c>
      <c r="F1627" s="4"/>
      <c r="G1627" s="4"/>
    </row>
    <row r="1628" spans="1:7" ht="15.75" customHeight="1" x14ac:dyDescent="0.15">
      <c r="A1628" s="1">
        <v>1140</v>
      </c>
      <c r="B1628" s="1">
        <v>7444</v>
      </c>
      <c r="C1628" s="1" t="s">
        <v>1806</v>
      </c>
      <c r="D1628" s="1" t="s">
        <v>43</v>
      </c>
      <c r="E1628" s="5" t="s">
        <v>1892</v>
      </c>
      <c r="F1628" s="4"/>
      <c r="G1628" s="4"/>
    </row>
    <row r="1629" spans="1:7" ht="15.75" customHeight="1" x14ac:dyDescent="0.15">
      <c r="A1629" s="1">
        <v>1140</v>
      </c>
      <c r="B1629" s="1">
        <v>7040</v>
      </c>
      <c r="C1629" s="1" t="s">
        <v>1807</v>
      </c>
      <c r="D1629" s="1" t="s">
        <v>43</v>
      </c>
      <c r="E1629" s="5" t="s">
        <v>1892</v>
      </c>
      <c r="F1629" s="4"/>
      <c r="G1629" s="4"/>
    </row>
    <row r="1630" spans="1:7" ht="15.75" customHeight="1" x14ac:dyDescent="0.15">
      <c r="A1630" s="1">
        <v>1140</v>
      </c>
      <c r="B1630" s="1">
        <v>2883</v>
      </c>
      <c r="C1630" s="1" t="s">
        <v>1808</v>
      </c>
      <c r="D1630" s="1" t="s">
        <v>43</v>
      </c>
      <c r="E1630" s="5" t="s">
        <v>1892</v>
      </c>
      <c r="F1630" s="4"/>
      <c r="G1630" s="4"/>
    </row>
    <row r="1631" spans="1:7" ht="15.75" customHeight="1" x14ac:dyDescent="0.15">
      <c r="A1631" s="1">
        <v>1140</v>
      </c>
      <c r="B1631" s="1">
        <v>7038</v>
      </c>
      <c r="C1631" s="1" t="s">
        <v>1809</v>
      </c>
      <c r="D1631" s="1" t="s">
        <v>43</v>
      </c>
      <c r="E1631" s="5" t="s">
        <v>1892</v>
      </c>
      <c r="F1631" s="4"/>
      <c r="G1631" s="4"/>
    </row>
    <row r="1632" spans="1:7" ht="15.75" customHeight="1" x14ac:dyDescent="0.15">
      <c r="A1632" s="1">
        <v>1140</v>
      </c>
      <c r="B1632" s="1">
        <v>2564</v>
      </c>
      <c r="C1632" s="1" t="s">
        <v>1810</v>
      </c>
      <c r="D1632" s="1" t="s">
        <v>43</v>
      </c>
      <c r="E1632" s="5" t="s">
        <v>1892</v>
      </c>
      <c r="F1632" s="4"/>
      <c r="G1632" s="4"/>
    </row>
    <row r="1633" spans="1:7" ht="15.75" customHeight="1" x14ac:dyDescent="0.15">
      <c r="A1633" s="1">
        <v>1140</v>
      </c>
      <c r="B1633" s="1">
        <v>7033</v>
      </c>
      <c r="C1633" s="1" t="s">
        <v>1811</v>
      </c>
      <c r="D1633" s="1" t="s">
        <v>14</v>
      </c>
      <c r="E1633" s="5" t="s">
        <v>1892</v>
      </c>
      <c r="F1633" s="4"/>
      <c r="G1633" s="4"/>
    </row>
    <row r="1634" spans="1:7" ht="15.75" customHeight="1" x14ac:dyDescent="0.15">
      <c r="A1634" s="1">
        <v>1140</v>
      </c>
      <c r="B1634" s="1">
        <v>4231</v>
      </c>
      <c r="C1634" s="1" t="s">
        <v>1812</v>
      </c>
      <c r="D1634" s="1" t="s">
        <v>14</v>
      </c>
      <c r="E1634" s="5" t="s">
        <v>1892</v>
      </c>
      <c r="F1634" s="4"/>
      <c r="G1634" s="4"/>
    </row>
    <row r="1635" spans="1:7" ht="15.75" customHeight="1" x14ac:dyDescent="0.15">
      <c r="A1635" s="1">
        <v>1140</v>
      </c>
      <c r="B1635" s="1">
        <v>538</v>
      </c>
      <c r="C1635" s="1" t="s">
        <v>1813</v>
      </c>
      <c r="D1635" s="1" t="s">
        <v>14</v>
      </c>
      <c r="E1635" s="5" t="s">
        <v>1892</v>
      </c>
      <c r="F1635" s="4"/>
      <c r="G1635" s="4"/>
    </row>
    <row r="1636" spans="1:7" ht="15.75" customHeight="1" x14ac:dyDescent="0.15">
      <c r="A1636" s="1">
        <v>1140</v>
      </c>
      <c r="B1636" s="1">
        <v>6393</v>
      </c>
      <c r="C1636" s="1" t="s">
        <v>1814</v>
      </c>
      <c r="D1636" s="1" t="s">
        <v>14</v>
      </c>
      <c r="E1636" s="5" t="s">
        <v>1892</v>
      </c>
      <c r="F1636" s="4"/>
      <c r="G1636" s="4"/>
    </row>
    <row r="1637" spans="1:7" ht="15.75" customHeight="1" x14ac:dyDescent="0.15">
      <c r="A1637" s="1">
        <v>1140</v>
      </c>
      <c r="B1637" s="1">
        <v>1454</v>
      </c>
      <c r="C1637" s="1" t="s">
        <v>1815</v>
      </c>
      <c r="D1637" s="1" t="s">
        <v>14</v>
      </c>
      <c r="E1637" s="5" t="s">
        <v>1892</v>
      </c>
      <c r="F1637" s="4"/>
      <c r="G1637" s="4"/>
    </row>
    <row r="1638" spans="1:7" ht="15.75" customHeight="1" x14ac:dyDescent="0.15">
      <c r="A1638" s="1">
        <v>1140</v>
      </c>
      <c r="B1638" s="1">
        <v>4115</v>
      </c>
      <c r="C1638" s="1" t="s">
        <v>1816</v>
      </c>
      <c r="D1638" s="1" t="s">
        <v>38</v>
      </c>
      <c r="E1638" s="5" t="s">
        <v>1892</v>
      </c>
      <c r="F1638" s="4"/>
      <c r="G1638" s="4"/>
    </row>
    <row r="1639" spans="1:7" ht="15.75" customHeight="1" x14ac:dyDescent="0.15">
      <c r="A1639" s="1">
        <v>1140</v>
      </c>
      <c r="B1639" s="1">
        <v>3216</v>
      </c>
      <c r="C1639" s="1" t="s">
        <v>1817</v>
      </c>
      <c r="D1639" s="1" t="s">
        <v>38</v>
      </c>
      <c r="E1639" s="5" t="s">
        <v>1892</v>
      </c>
      <c r="F1639" s="4"/>
      <c r="G1639" s="4"/>
    </row>
    <row r="1640" spans="1:7" ht="15.75" customHeight="1" x14ac:dyDescent="0.15">
      <c r="A1640" s="1">
        <v>1140</v>
      </c>
      <c r="B1640" s="1">
        <v>11327</v>
      </c>
      <c r="C1640" s="1" t="s">
        <v>1818</v>
      </c>
      <c r="D1640" s="1" t="s">
        <v>58</v>
      </c>
      <c r="E1640" s="5" t="s">
        <v>1892</v>
      </c>
      <c r="F1640" s="4"/>
      <c r="G1640" s="4"/>
    </row>
    <row r="1641" spans="1:7" ht="15.75" customHeight="1" x14ac:dyDescent="0.15">
      <c r="A1641" s="1">
        <v>1140</v>
      </c>
      <c r="B1641" s="1">
        <v>11322</v>
      </c>
      <c r="C1641" s="1" t="s">
        <v>1819</v>
      </c>
      <c r="D1641" s="1" t="s">
        <v>58</v>
      </c>
      <c r="E1641" s="5" t="s">
        <v>1892</v>
      </c>
      <c r="F1641" s="4"/>
      <c r="G1641" s="4"/>
    </row>
    <row r="1642" spans="1:7" ht="15.75" customHeight="1" x14ac:dyDescent="0.15">
      <c r="A1642" s="1">
        <v>1140</v>
      </c>
      <c r="B1642" s="1">
        <v>11320</v>
      </c>
      <c r="C1642" s="1" t="s">
        <v>1820</v>
      </c>
      <c r="D1642" s="1" t="s">
        <v>58</v>
      </c>
      <c r="E1642" s="5" t="s">
        <v>1892</v>
      </c>
      <c r="F1642" s="4"/>
      <c r="G1642" s="4"/>
    </row>
    <row r="1643" spans="1:7" ht="15.75" customHeight="1" x14ac:dyDescent="0.15">
      <c r="A1643" s="1">
        <v>1140</v>
      </c>
      <c r="B1643" s="1">
        <v>11403</v>
      </c>
      <c r="C1643" s="1" t="s">
        <v>1821</v>
      </c>
      <c r="D1643" s="1" t="s">
        <v>58</v>
      </c>
      <c r="E1643" s="5" t="s">
        <v>1892</v>
      </c>
      <c r="F1643" s="4"/>
      <c r="G1643" s="4"/>
    </row>
    <row r="1644" spans="1:7" ht="15.75" customHeight="1" x14ac:dyDescent="0.15">
      <c r="A1644" s="1">
        <v>1140</v>
      </c>
      <c r="B1644" s="1">
        <v>11406</v>
      </c>
      <c r="C1644" s="1" t="s">
        <v>1822</v>
      </c>
      <c r="D1644" s="1" t="s">
        <v>58</v>
      </c>
      <c r="E1644" s="5" t="s">
        <v>1892</v>
      </c>
      <c r="F1644" s="4"/>
      <c r="G1644" s="4"/>
    </row>
    <row r="1645" spans="1:7" ht="15.75" customHeight="1" x14ac:dyDescent="0.15">
      <c r="A1645" s="1">
        <v>1140</v>
      </c>
      <c r="B1645" s="1">
        <v>11328</v>
      </c>
      <c r="C1645" s="1" t="s">
        <v>1823</v>
      </c>
      <c r="D1645" s="1" t="s">
        <v>58</v>
      </c>
      <c r="E1645" s="5" t="s">
        <v>1892</v>
      </c>
      <c r="F1645" s="4"/>
      <c r="G1645" s="4"/>
    </row>
    <row r="1646" spans="1:7" ht="15.75" customHeight="1" x14ac:dyDescent="0.15">
      <c r="A1646" s="1">
        <v>1140</v>
      </c>
      <c r="B1646" s="1">
        <v>11404</v>
      </c>
      <c r="C1646" s="1" t="s">
        <v>1824</v>
      </c>
      <c r="D1646" s="1" t="s">
        <v>58</v>
      </c>
      <c r="E1646" s="5" t="s">
        <v>1892</v>
      </c>
      <c r="F1646" s="4"/>
      <c r="G1646" s="4"/>
    </row>
    <row r="1647" spans="1:7" ht="15.75" customHeight="1" x14ac:dyDescent="0.15">
      <c r="A1647" s="1">
        <v>1140</v>
      </c>
      <c r="B1647" s="1">
        <v>11325</v>
      </c>
      <c r="C1647" s="1" t="s">
        <v>1825</v>
      </c>
      <c r="D1647" s="1" t="s">
        <v>58</v>
      </c>
      <c r="E1647" s="5" t="s">
        <v>1892</v>
      </c>
      <c r="F1647" s="4"/>
      <c r="G1647" s="4"/>
    </row>
    <row r="1648" spans="1:7" ht="15.75" customHeight="1" x14ac:dyDescent="0.15">
      <c r="A1648" s="1">
        <v>1140</v>
      </c>
      <c r="B1648" s="1">
        <v>11405</v>
      </c>
      <c r="C1648" s="1" t="s">
        <v>1826</v>
      </c>
      <c r="D1648" s="1" t="s">
        <v>58</v>
      </c>
      <c r="E1648" s="5" t="s">
        <v>1892</v>
      </c>
      <c r="F1648" s="4"/>
      <c r="G1648" s="4"/>
    </row>
    <row r="1649" spans="1:7" ht="15.75" customHeight="1" x14ac:dyDescent="0.15">
      <c r="A1649" s="1">
        <v>1140</v>
      </c>
      <c r="B1649" s="1">
        <v>11063</v>
      </c>
      <c r="C1649" s="1" t="s">
        <v>1827</v>
      </c>
      <c r="D1649" s="1" t="s">
        <v>58</v>
      </c>
      <c r="E1649" s="5" t="s">
        <v>1892</v>
      </c>
      <c r="F1649" s="4"/>
      <c r="G1649" s="4"/>
    </row>
    <row r="1650" spans="1:7" ht="15.75" customHeight="1" x14ac:dyDescent="0.15">
      <c r="A1650" s="1">
        <v>1140</v>
      </c>
      <c r="B1650" s="1">
        <v>8807</v>
      </c>
      <c r="C1650" s="1" t="s">
        <v>1828</v>
      </c>
      <c r="D1650" s="1" t="s">
        <v>44</v>
      </c>
      <c r="E1650" s="5" t="s">
        <v>1892</v>
      </c>
      <c r="F1650" s="4"/>
      <c r="G1650" s="4"/>
    </row>
    <row r="1651" spans="1:7" ht="15.75" customHeight="1" x14ac:dyDescent="0.15">
      <c r="A1651" s="1">
        <v>1140</v>
      </c>
      <c r="B1651" s="1">
        <v>9414</v>
      </c>
      <c r="C1651" s="1" t="s">
        <v>1829</v>
      </c>
      <c r="D1651" s="1" t="s">
        <v>44</v>
      </c>
      <c r="E1651" s="5" t="s">
        <v>1892</v>
      </c>
      <c r="F1651" s="4"/>
      <c r="G1651" s="4"/>
    </row>
    <row r="1652" spans="1:7" ht="15.75" customHeight="1" x14ac:dyDescent="0.15">
      <c r="A1652" s="1">
        <v>1140</v>
      </c>
      <c r="B1652" s="1">
        <v>7632</v>
      </c>
      <c r="C1652" s="1" t="s">
        <v>1830</v>
      </c>
      <c r="D1652" s="1" t="s">
        <v>44</v>
      </c>
      <c r="E1652" s="5" t="s">
        <v>1892</v>
      </c>
      <c r="F1652" s="4"/>
      <c r="G1652" s="4"/>
    </row>
    <row r="1653" spans="1:7" ht="15.75" customHeight="1" x14ac:dyDescent="0.15">
      <c r="A1653" s="1">
        <v>1140</v>
      </c>
      <c r="B1653" s="1">
        <v>2558</v>
      </c>
      <c r="C1653" s="1" t="s">
        <v>1831</v>
      </c>
      <c r="D1653" s="1" t="s">
        <v>44</v>
      </c>
      <c r="E1653" s="5" t="s">
        <v>1892</v>
      </c>
      <c r="F1653" s="4"/>
      <c r="G1653" s="4"/>
    </row>
    <row r="1654" spans="1:7" ht="15.75" customHeight="1" x14ac:dyDescent="0.15">
      <c r="A1654" s="1">
        <v>1140</v>
      </c>
      <c r="B1654" s="1">
        <v>11103</v>
      </c>
      <c r="C1654" s="1" t="s">
        <v>1832</v>
      </c>
      <c r="D1654" s="1" t="s">
        <v>44</v>
      </c>
      <c r="E1654" s="5" t="s">
        <v>1892</v>
      </c>
      <c r="F1654" s="4"/>
      <c r="G1654" s="4"/>
    </row>
    <row r="1655" spans="1:7" ht="15.75" customHeight="1" x14ac:dyDescent="0.15">
      <c r="A1655" s="1">
        <v>1140</v>
      </c>
      <c r="B1655" s="1">
        <v>5410</v>
      </c>
      <c r="C1655" s="1" t="s">
        <v>1833</v>
      </c>
      <c r="D1655" s="1" t="s">
        <v>44</v>
      </c>
      <c r="E1655" s="5" t="s">
        <v>1892</v>
      </c>
      <c r="F1655" s="4"/>
      <c r="G1655" s="4"/>
    </row>
    <row r="1656" spans="1:7" ht="15.75" customHeight="1" x14ac:dyDescent="0.15">
      <c r="A1656" s="1">
        <v>1140</v>
      </c>
      <c r="B1656" s="1">
        <v>5074</v>
      </c>
      <c r="C1656" s="1" t="s">
        <v>1834</v>
      </c>
      <c r="D1656" s="1" t="s">
        <v>1835</v>
      </c>
      <c r="E1656" s="5" t="s">
        <v>1892</v>
      </c>
      <c r="F1656" s="4"/>
      <c r="G1656" s="4"/>
    </row>
    <row r="1657" spans="1:7" ht="15.75" customHeight="1" x14ac:dyDescent="0.15">
      <c r="A1657" s="1">
        <v>1140</v>
      </c>
      <c r="B1657" s="1">
        <v>1958</v>
      </c>
      <c r="C1657" s="1" t="s">
        <v>1836</v>
      </c>
      <c r="D1657" s="1" t="s">
        <v>1837</v>
      </c>
      <c r="E1657" s="5" t="s">
        <v>1892</v>
      </c>
      <c r="F1657" s="4"/>
      <c r="G1657" s="4"/>
    </row>
    <row r="1658" spans="1:7" ht="15.75" customHeight="1" x14ac:dyDescent="0.15">
      <c r="A1658" s="1">
        <v>1140</v>
      </c>
      <c r="B1658" s="1">
        <v>7584</v>
      </c>
      <c r="C1658" s="1" t="s">
        <v>1838</v>
      </c>
      <c r="D1658" s="1" t="s">
        <v>462</v>
      </c>
      <c r="E1658" s="5" t="s">
        <v>1892</v>
      </c>
      <c r="F1658" s="4"/>
      <c r="G1658" s="4"/>
    </row>
    <row r="1659" spans="1:7" ht="15.75" customHeight="1" x14ac:dyDescent="0.15">
      <c r="A1659" s="1">
        <v>1140</v>
      </c>
      <c r="B1659" s="1">
        <v>3465</v>
      </c>
      <c r="C1659" s="1" t="s">
        <v>1839</v>
      </c>
      <c r="D1659" s="1" t="s">
        <v>76</v>
      </c>
      <c r="E1659" s="5" t="s">
        <v>1892</v>
      </c>
      <c r="F1659" s="4"/>
      <c r="G1659" s="4"/>
    </row>
    <row r="1660" spans="1:7" ht="15.75" customHeight="1" x14ac:dyDescent="0.15">
      <c r="A1660" s="1">
        <v>1140</v>
      </c>
      <c r="B1660" s="1">
        <v>1294</v>
      </c>
      <c r="C1660" s="1" t="s">
        <v>1840</v>
      </c>
      <c r="D1660" s="1" t="s">
        <v>76</v>
      </c>
      <c r="E1660" s="5" t="s">
        <v>1892</v>
      </c>
      <c r="F1660" s="4"/>
      <c r="G1660" s="4"/>
    </row>
    <row r="1661" spans="1:7" ht="15.75" customHeight="1" x14ac:dyDescent="0.15">
      <c r="A1661" s="1">
        <v>1140</v>
      </c>
      <c r="B1661" s="1">
        <v>4359</v>
      </c>
      <c r="C1661" s="1" t="s">
        <v>1841</v>
      </c>
      <c r="D1661" s="1" t="s">
        <v>76</v>
      </c>
      <c r="E1661" s="5" t="s">
        <v>1892</v>
      </c>
      <c r="F1661" s="4"/>
      <c r="G1661" s="4"/>
    </row>
    <row r="1662" spans="1:7" ht="15.75" customHeight="1" x14ac:dyDescent="0.15">
      <c r="A1662" s="1">
        <v>1140</v>
      </c>
      <c r="B1662" s="1">
        <v>6642</v>
      </c>
      <c r="C1662" s="1" t="s">
        <v>1842</v>
      </c>
      <c r="D1662" s="1" t="s">
        <v>124</v>
      </c>
      <c r="E1662" s="5" t="s">
        <v>1892</v>
      </c>
      <c r="F1662" s="4"/>
      <c r="G1662" s="4"/>
    </row>
    <row r="1663" spans="1:7" ht="15.75" customHeight="1" x14ac:dyDescent="0.15">
      <c r="A1663" s="1">
        <v>1140</v>
      </c>
      <c r="B1663" s="1">
        <v>6153</v>
      </c>
      <c r="C1663" s="1" t="s">
        <v>1843</v>
      </c>
      <c r="D1663" s="1" t="s">
        <v>39</v>
      </c>
      <c r="E1663" s="5" t="s">
        <v>1892</v>
      </c>
      <c r="F1663" s="4"/>
      <c r="G1663" s="4"/>
    </row>
    <row r="1664" spans="1:7" ht="15.75" customHeight="1" x14ac:dyDescent="0.15">
      <c r="A1664" s="1">
        <v>1140</v>
      </c>
      <c r="B1664" s="1">
        <v>5363</v>
      </c>
      <c r="C1664" s="1" t="s">
        <v>1844</v>
      </c>
      <c r="D1664" s="1" t="s">
        <v>39</v>
      </c>
      <c r="E1664" s="5" t="s">
        <v>1892</v>
      </c>
      <c r="F1664" s="4"/>
      <c r="G1664" s="4"/>
    </row>
    <row r="1665" spans="1:7" ht="15.75" customHeight="1" x14ac:dyDescent="0.15">
      <c r="A1665" s="1">
        <v>1140</v>
      </c>
      <c r="B1665" s="1">
        <v>3307</v>
      </c>
      <c r="C1665" s="1" t="s">
        <v>1845</v>
      </c>
      <c r="D1665" s="1" t="s">
        <v>39</v>
      </c>
      <c r="E1665" s="5" t="s">
        <v>1892</v>
      </c>
      <c r="F1665" s="4"/>
      <c r="G1665" s="4"/>
    </row>
    <row r="1666" spans="1:7" ht="15.75" customHeight="1" x14ac:dyDescent="0.15">
      <c r="A1666" s="1">
        <v>1140</v>
      </c>
      <c r="B1666" s="1">
        <v>4796</v>
      </c>
      <c r="C1666" s="1" t="s">
        <v>1846</v>
      </c>
      <c r="D1666" s="1" t="s">
        <v>39</v>
      </c>
      <c r="E1666" s="5" t="s">
        <v>1892</v>
      </c>
      <c r="F1666" s="4"/>
      <c r="G1666" s="4"/>
    </row>
    <row r="1667" spans="1:7" ht="15.75" customHeight="1" x14ac:dyDescent="0.15">
      <c r="A1667" s="1">
        <v>1140</v>
      </c>
      <c r="B1667" s="1">
        <v>8331</v>
      </c>
      <c r="C1667" s="1" t="s">
        <v>1847</v>
      </c>
      <c r="D1667" s="1" t="s">
        <v>39</v>
      </c>
      <c r="E1667" s="5" t="s">
        <v>1892</v>
      </c>
      <c r="F1667" s="4"/>
      <c r="G1667" s="4"/>
    </row>
    <row r="1668" spans="1:7" ht="15.75" customHeight="1" x14ac:dyDescent="0.15">
      <c r="A1668" s="1">
        <v>1140</v>
      </c>
      <c r="B1668" s="1">
        <v>3415</v>
      </c>
      <c r="C1668" s="1" t="s">
        <v>1848</v>
      </c>
      <c r="D1668" s="1" t="s">
        <v>57</v>
      </c>
      <c r="E1668" s="5" t="s">
        <v>1892</v>
      </c>
      <c r="F1668" s="4"/>
      <c r="G1668" s="4"/>
    </row>
    <row r="1669" spans="1:7" ht="15.75" customHeight="1" x14ac:dyDescent="0.15">
      <c r="A1669" s="1">
        <v>1140</v>
      </c>
      <c r="B1669" s="1">
        <v>11331</v>
      </c>
      <c r="C1669" s="1" t="s">
        <v>1849</v>
      </c>
      <c r="D1669" s="1" t="s">
        <v>57</v>
      </c>
      <c r="E1669" s="5" t="s">
        <v>1892</v>
      </c>
      <c r="F1669" s="4"/>
      <c r="G1669" s="4"/>
    </row>
    <row r="1670" spans="1:7" ht="15.75" customHeight="1" x14ac:dyDescent="0.15">
      <c r="A1670" s="1">
        <v>1140</v>
      </c>
      <c r="B1670" s="1">
        <v>11330</v>
      </c>
      <c r="C1670" s="1" t="s">
        <v>1850</v>
      </c>
      <c r="D1670" s="1" t="s">
        <v>57</v>
      </c>
      <c r="E1670" s="5" t="s">
        <v>1892</v>
      </c>
      <c r="F1670" s="4"/>
      <c r="G1670" s="4"/>
    </row>
    <row r="1671" spans="1:7" ht="15.75" customHeight="1" x14ac:dyDescent="0.15">
      <c r="A1671" s="1">
        <v>1140</v>
      </c>
      <c r="B1671" s="1">
        <v>10532</v>
      </c>
      <c r="C1671" s="1" t="s">
        <v>1851</v>
      </c>
      <c r="D1671" s="1" t="s">
        <v>1038</v>
      </c>
      <c r="E1671" s="5" t="s">
        <v>1892</v>
      </c>
      <c r="F1671" s="4"/>
      <c r="G1671" s="4"/>
    </row>
    <row r="1672" spans="1:7" ht="15.75" customHeight="1" x14ac:dyDescent="0.15">
      <c r="A1672" s="1">
        <v>1140</v>
      </c>
      <c r="B1672" s="1">
        <v>3931</v>
      </c>
      <c r="C1672" s="1" t="s">
        <v>1852</v>
      </c>
      <c r="D1672" s="1" t="s">
        <v>1038</v>
      </c>
      <c r="E1672" s="5" t="s">
        <v>1892</v>
      </c>
      <c r="F1672" s="4"/>
      <c r="G1672" s="4"/>
    </row>
    <row r="1673" spans="1:7" ht="15.75" customHeight="1" x14ac:dyDescent="0.15">
      <c r="A1673" s="1">
        <v>1140</v>
      </c>
      <c r="B1673" s="1">
        <v>3930</v>
      </c>
      <c r="C1673" s="1" t="s">
        <v>1853</v>
      </c>
      <c r="D1673" s="1" t="s">
        <v>1038</v>
      </c>
      <c r="E1673" s="5" t="s">
        <v>1892</v>
      </c>
      <c r="F1673" s="4"/>
      <c r="G1673" s="4"/>
    </row>
    <row r="1674" spans="1:7" ht="15.75" customHeight="1" x14ac:dyDescent="0.15">
      <c r="A1674" s="1">
        <v>1140</v>
      </c>
      <c r="B1674" s="1">
        <v>11333</v>
      </c>
      <c r="C1674" s="1" t="s">
        <v>1854</v>
      </c>
      <c r="D1674" s="1" t="s">
        <v>1038</v>
      </c>
      <c r="E1674" s="5" t="s">
        <v>1892</v>
      </c>
      <c r="F1674" s="4"/>
      <c r="G1674" s="4"/>
    </row>
    <row r="1675" spans="1:7" ht="15.75" customHeight="1" x14ac:dyDescent="0.15">
      <c r="A1675" s="1">
        <v>1140</v>
      </c>
      <c r="B1675" s="1">
        <v>5200</v>
      </c>
      <c r="C1675" s="1" t="s">
        <v>1855</v>
      </c>
      <c r="D1675" s="1" t="s">
        <v>103</v>
      </c>
      <c r="E1675" s="5" t="s">
        <v>1892</v>
      </c>
      <c r="F1675" s="4"/>
      <c r="G1675" s="4"/>
    </row>
    <row r="1676" spans="1:7" ht="15.75" customHeight="1" x14ac:dyDescent="0.15">
      <c r="A1676" s="1">
        <v>1140</v>
      </c>
      <c r="B1676" s="1">
        <v>8828</v>
      </c>
      <c r="C1676" s="1" t="s">
        <v>1856</v>
      </c>
      <c r="D1676" s="1" t="s">
        <v>4</v>
      </c>
      <c r="E1676" s="5" t="s">
        <v>1892</v>
      </c>
      <c r="F1676" s="4"/>
      <c r="G1676" s="4"/>
    </row>
    <row r="1677" spans="1:7" ht="15.75" customHeight="1" x14ac:dyDescent="0.15">
      <c r="A1677" s="1">
        <v>1140</v>
      </c>
      <c r="B1677" s="1">
        <v>10679</v>
      </c>
      <c r="C1677" s="1" t="s">
        <v>1857</v>
      </c>
      <c r="D1677" s="1" t="s">
        <v>4</v>
      </c>
      <c r="E1677" s="5" t="s">
        <v>1892</v>
      </c>
      <c r="F1677" s="4"/>
      <c r="G1677" s="4"/>
    </row>
    <row r="1678" spans="1:7" ht="15.75" customHeight="1" x14ac:dyDescent="0.15">
      <c r="A1678" s="1">
        <v>1140</v>
      </c>
      <c r="B1678" s="1">
        <v>5114</v>
      </c>
      <c r="C1678" s="1" t="s">
        <v>1858</v>
      </c>
      <c r="D1678" s="1" t="s">
        <v>4</v>
      </c>
      <c r="E1678" s="5" t="s">
        <v>1892</v>
      </c>
      <c r="F1678" s="4"/>
      <c r="G1678" s="4"/>
    </row>
    <row r="1679" spans="1:7" ht="15.75" customHeight="1" x14ac:dyDescent="0.15">
      <c r="A1679" s="1">
        <v>1140</v>
      </c>
      <c r="B1679" s="1">
        <v>1914</v>
      </c>
      <c r="C1679" s="1" t="s">
        <v>1859</v>
      </c>
      <c r="D1679" s="1" t="s">
        <v>4</v>
      </c>
      <c r="E1679" s="5" t="s">
        <v>1892</v>
      </c>
      <c r="F1679" s="4"/>
      <c r="G1679" s="4"/>
    </row>
    <row r="1680" spans="1:7" ht="15.75" customHeight="1" x14ac:dyDescent="0.15">
      <c r="A1680" s="1">
        <v>1140</v>
      </c>
      <c r="B1680" s="1">
        <v>4370</v>
      </c>
      <c r="C1680" s="1" t="s">
        <v>1860</v>
      </c>
      <c r="D1680" s="1" t="s">
        <v>4</v>
      </c>
      <c r="E1680" s="5" t="s">
        <v>1892</v>
      </c>
      <c r="F1680" s="4"/>
      <c r="G1680" s="4"/>
    </row>
    <row r="1681" spans="1:7" ht="15.75" customHeight="1" x14ac:dyDescent="0.15">
      <c r="A1681" s="1">
        <v>1140</v>
      </c>
      <c r="B1681" s="1">
        <v>3167</v>
      </c>
      <c r="C1681" s="1" t="s">
        <v>1861</v>
      </c>
      <c r="D1681" s="1" t="s">
        <v>4</v>
      </c>
      <c r="E1681" s="5" t="s">
        <v>1892</v>
      </c>
      <c r="F1681" s="4"/>
      <c r="G1681" s="4"/>
    </row>
    <row r="1682" spans="1:7" ht="15.75" customHeight="1" x14ac:dyDescent="0.15">
      <c r="A1682" s="1">
        <v>1140</v>
      </c>
      <c r="B1682" s="1">
        <v>11334</v>
      </c>
      <c r="C1682" s="1" t="s">
        <v>1862</v>
      </c>
      <c r="D1682" s="1" t="s">
        <v>1863</v>
      </c>
      <c r="E1682" s="5" t="s">
        <v>1892</v>
      </c>
      <c r="F1682" s="4"/>
      <c r="G1682" s="4"/>
    </row>
    <row r="1683" spans="1:7" ht="15.75" customHeight="1" x14ac:dyDescent="0.15">
      <c r="A1683" s="1">
        <v>1140</v>
      </c>
      <c r="B1683" s="1">
        <v>10528</v>
      </c>
      <c r="C1683" s="1" t="s">
        <v>1864</v>
      </c>
      <c r="D1683" s="1" t="s">
        <v>83</v>
      </c>
      <c r="E1683" s="5" t="s">
        <v>1892</v>
      </c>
      <c r="F1683" s="4"/>
      <c r="G1683" s="4"/>
    </row>
    <row r="1684" spans="1:7" ht="15.75" customHeight="1" x14ac:dyDescent="0.15">
      <c r="A1684" s="1">
        <v>1140</v>
      </c>
      <c r="B1684" s="1">
        <v>11031</v>
      </c>
      <c r="C1684" s="1" t="s">
        <v>1865</v>
      </c>
      <c r="D1684" s="1" t="s">
        <v>1866</v>
      </c>
      <c r="E1684" s="5" t="s">
        <v>1892</v>
      </c>
      <c r="F1684" s="4"/>
      <c r="G1684" s="4"/>
    </row>
    <row r="1685" spans="1:7" ht="15.75" customHeight="1" x14ac:dyDescent="0.15">
      <c r="A1685" s="1">
        <v>1140</v>
      </c>
      <c r="B1685" s="1">
        <v>11329</v>
      </c>
      <c r="C1685" s="1" t="s">
        <v>1867</v>
      </c>
      <c r="D1685" s="1" t="s">
        <v>1868</v>
      </c>
      <c r="E1685" s="5" t="s">
        <v>1892</v>
      </c>
      <c r="F1685" s="4"/>
      <c r="G1685" s="4"/>
    </row>
    <row r="1686" spans="1:7" ht="15.75" customHeight="1" x14ac:dyDescent="0.15">
      <c r="A1686" s="1">
        <v>1140</v>
      </c>
      <c r="B1686" s="1">
        <v>10306</v>
      </c>
      <c r="C1686" s="1" t="s">
        <v>1869</v>
      </c>
      <c r="D1686" s="1" t="s">
        <v>13</v>
      </c>
      <c r="E1686" s="5" t="s">
        <v>1892</v>
      </c>
      <c r="F1686" s="4"/>
      <c r="G1686" s="4"/>
    </row>
    <row r="1687" spans="1:7" ht="15.75" customHeight="1" x14ac:dyDescent="0.15">
      <c r="A1687" s="1">
        <v>1140</v>
      </c>
      <c r="B1687" s="1">
        <v>11123</v>
      </c>
      <c r="C1687" s="1" t="s">
        <v>1870</v>
      </c>
      <c r="D1687" s="1" t="s">
        <v>1871</v>
      </c>
      <c r="E1687" s="5" t="s">
        <v>1892</v>
      </c>
      <c r="F1687" s="4"/>
      <c r="G1687" s="4"/>
    </row>
    <row r="1688" spans="1:7" ht="15.75" customHeight="1" x14ac:dyDescent="0.15">
      <c r="A1688" s="1">
        <v>1140</v>
      </c>
      <c r="B1688" s="1">
        <v>11362</v>
      </c>
      <c r="C1688" s="1" t="s">
        <v>1872</v>
      </c>
      <c r="D1688" s="1" t="s">
        <v>77</v>
      </c>
      <c r="E1688" s="5" t="s">
        <v>1892</v>
      </c>
      <c r="F1688" s="4"/>
      <c r="G1688" s="4"/>
    </row>
    <row r="1689" spans="1:7" ht="15.75" customHeight="1" x14ac:dyDescent="0.15">
      <c r="A1689" s="1">
        <v>1140</v>
      </c>
      <c r="B1689" s="1">
        <v>11355</v>
      </c>
      <c r="C1689" s="1" t="s">
        <v>1873</v>
      </c>
      <c r="D1689" s="1" t="s">
        <v>77</v>
      </c>
      <c r="E1689" s="5" t="s">
        <v>1892</v>
      </c>
      <c r="F1689" s="4"/>
      <c r="G1689" s="4"/>
    </row>
    <row r="1690" spans="1:7" ht="15.75" customHeight="1" x14ac:dyDescent="0.15">
      <c r="A1690" s="1">
        <v>1140</v>
      </c>
      <c r="B1690" s="1">
        <v>11358</v>
      </c>
      <c r="C1690" s="1" t="s">
        <v>1874</v>
      </c>
      <c r="D1690" s="1" t="s">
        <v>77</v>
      </c>
      <c r="E1690" s="5" t="s">
        <v>1892</v>
      </c>
      <c r="F1690" s="4"/>
      <c r="G1690" s="4"/>
    </row>
    <row r="1691" spans="1:7" ht="15.75" customHeight="1" x14ac:dyDescent="0.15">
      <c r="A1691" s="1">
        <v>1140</v>
      </c>
      <c r="B1691" s="1">
        <v>11359</v>
      </c>
      <c r="C1691" s="1" t="s">
        <v>1875</v>
      </c>
      <c r="D1691" s="1" t="s">
        <v>77</v>
      </c>
      <c r="E1691" s="5" t="s">
        <v>1892</v>
      </c>
      <c r="F1691" s="4"/>
      <c r="G1691" s="4"/>
    </row>
    <row r="1692" spans="1:7" ht="15.75" customHeight="1" x14ac:dyDescent="0.15">
      <c r="A1692" s="1">
        <v>1140</v>
      </c>
      <c r="B1692" s="1">
        <v>11361</v>
      </c>
      <c r="C1692" s="1" t="s">
        <v>1876</v>
      </c>
      <c r="D1692" s="1" t="s">
        <v>77</v>
      </c>
      <c r="E1692" s="5" t="s">
        <v>1892</v>
      </c>
      <c r="F1692" s="4"/>
      <c r="G1692" s="4"/>
    </row>
    <row r="1693" spans="1:7" ht="15.75" customHeight="1" x14ac:dyDescent="0.15">
      <c r="A1693" s="1">
        <v>1140</v>
      </c>
      <c r="B1693" s="1">
        <v>11366</v>
      </c>
      <c r="C1693" s="1" t="s">
        <v>1877</v>
      </c>
      <c r="D1693" s="1" t="s">
        <v>77</v>
      </c>
      <c r="E1693" s="5" t="s">
        <v>1892</v>
      </c>
      <c r="F1693" s="4"/>
      <c r="G1693" s="4"/>
    </row>
    <row r="1694" spans="1:7" ht="15.75" customHeight="1" x14ac:dyDescent="0.15">
      <c r="A1694" s="1">
        <v>1140</v>
      </c>
      <c r="B1694" s="1">
        <v>11352</v>
      </c>
      <c r="C1694" s="1" t="s">
        <v>1878</v>
      </c>
      <c r="D1694" s="1" t="s">
        <v>77</v>
      </c>
      <c r="E1694" s="5" t="s">
        <v>1892</v>
      </c>
      <c r="F1694" s="4"/>
      <c r="G1694" s="4"/>
    </row>
    <row r="1695" spans="1:7" ht="15.75" customHeight="1" x14ac:dyDescent="0.15">
      <c r="A1695" s="1">
        <v>1140</v>
      </c>
      <c r="B1695" s="1">
        <v>11351</v>
      </c>
      <c r="C1695" s="1" t="s">
        <v>1879</v>
      </c>
      <c r="D1695" s="1" t="s">
        <v>77</v>
      </c>
      <c r="E1695" s="5" t="s">
        <v>1892</v>
      </c>
      <c r="F1695" s="4"/>
      <c r="G1695" s="4"/>
    </row>
    <row r="1696" spans="1:7" ht="15.75" customHeight="1" x14ac:dyDescent="0.15">
      <c r="A1696" s="1">
        <v>1140</v>
      </c>
      <c r="B1696" s="1">
        <v>11357</v>
      </c>
      <c r="C1696" s="1" t="s">
        <v>1880</v>
      </c>
      <c r="D1696" s="1" t="s">
        <v>77</v>
      </c>
      <c r="E1696" s="5" t="s">
        <v>1892</v>
      </c>
      <c r="F1696" s="4"/>
      <c r="G1696" s="4"/>
    </row>
    <row r="1697" spans="1:7" ht="15.75" customHeight="1" x14ac:dyDescent="0.15">
      <c r="A1697" s="1">
        <v>1140</v>
      </c>
      <c r="B1697" s="1">
        <v>11004</v>
      </c>
      <c r="C1697" s="1" t="s">
        <v>1881</v>
      </c>
      <c r="D1697" s="1" t="s">
        <v>77</v>
      </c>
      <c r="E1697" s="5" t="s">
        <v>1892</v>
      </c>
      <c r="F1697" s="4"/>
      <c r="G1697" s="4"/>
    </row>
    <row r="1698" spans="1:7" ht="15.75" customHeight="1" x14ac:dyDescent="0.15">
      <c r="A1698" s="1">
        <v>1140</v>
      </c>
      <c r="B1698" s="1">
        <v>11364</v>
      </c>
      <c r="C1698" s="1" t="s">
        <v>1882</v>
      </c>
      <c r="D1698" s="1" t="s">
        <v>77</v>
      </c>
      <c r="E1698" s="5" t="s">
        <v>1892</v>
      </c>
      <c r="F1698" s="4"/>
      <c r="G1698" s="4"/>
    </row>
    <row r="1699" spans="1:7" ht="15.75" customHeight="1" x14ac:dyDescent="0.15">
      <c r="A1699" s="1">
        <v>1140</v>
      </c>
      <c r="B1699" s="1">
        <v>8064</v>
      </c>
      <c r="C1699" s="1" t="s">
        <v>1883</v>
      </c>
      <c r="D1699" s="1" t="s">
        <v>77</v>
      </c>
      <c r="E1699" s="5" t="s">
        <v>1892</v>
      </c>
      <c r="F1699" s="4"/>
      <c r="G1699" s="4"/>
    </row>
    <row r="1700" spans="1:7" ht="15.75" customHeight="1" x14ac:dyDescent="0.15">
      <c r="A1700" s="1">
        <v>1140</v>
      </c>
      <c r="B1700" s="1">
        <v>11360</v>
      </c>
      <c r="C1700" s="1" t="s">
        <v>1884</v>
      </c>
      <c r="D1700" s="1" t="s">
        <v>77</v>
      </c>
      <c r="E1700" s="5" t="s">
        <v>1892</v>
      </c>
      <c r="F1700" s="4"/>
      <c r="G1700" s="4"/>
    </row>
    <row r="1701" spans="1:7" ht="15.75" customHeight="1" x14ac:dyDescent="0.15">
      <c r="A1701" s="1">
        <v>1140</v>
      </c>
      <c r="B1701" s="1">
        <v>11349</v>
      </c>
      <c r="C1701" s="1" t="s">
        <v>1885</v>
      </c>
      <c r="D1701" s="1" t="s">
        <v>77</v>
      </c>
      <c r="E1701" s="5" t="s">
        <v>1892</v>
      </c>
      <c r="F1701" s="4"/>
      <c r="G1701" s="4"/>
    </row>
    <row r="1702" spans="1:7" ht="15.75" customHeight="1" x14ac:dyDescent="0.15">
      <c r="A1702" s="1">
        <v>1140</v>
      </c>
      <c r="B1702" s="1">
        <v>11365</v>
      </c>
      <c r="C1702" s="1" t="s">
        <v>1886</v>
      </c>
      <c r="D1702" s="1" t="s">
        <v>77</v>
      </c>
      <c r="E1702" s="5" t="s">
        <v>1892</v>
      </c>
      <c r="F1702" s="4"/>
      <c r="G1702" s="4"/>
    </row>
    <row r="1703" spans="1:7" ht="15.75" customHeight="1" x14ac:dyDescent="0.15"/>
    <row r="1704" spans="1:7" ht="15.75" customHeight="1" x14ac:dyDescent="0.15"/>
    <row r="1705" spans="1:7" ht="15.75" customHeight="1" x14ac:dyDescent="0.15"/>
    <row r="1706" spans="1:7" ht="15.75" customHeight="1" x14ac:dyDescent="0.15"/>
    <row r="1707" spans="1:7" ht="15.75" customHeight="1" x14ac:dyDescent="0.15"/>
    <row r="1708" spans="1:7" ht="15.75" customHeight="1" x14ac:dyDescent="0.15"/>
    <row r="1709" spans="1:7" ht="15.75" customHeight="1" x14ac:dyDescent="0.15"/>
    <row r="1710" spans="1:7" ht="15.75" customHeight="1" x14ac:dyDescent="0.15"/>
    <row r="1711" spans="1:7" ht="15.75" customHeight="1" x14ac:dyDescent="0.15"/>
    <row r="1712" spans="1:7" ht="15.75" customHeight="1" x14ac:dyDescent="0.15"/>
    <row r="1713" ht="15.75" customHeight="1" x14ac:dyDescent="0.15"/>
    <row r="1714" ht="15.75" customHeight="1" x14ac:dyDescent="0.15"/>
    <row r="1715" ht="15.75" customHeight="1" x14ac:dyDescent="0.15"/>
    <row r="1716" ht="15.75" customHeight="1" x14ac:dyDescent="0.15"/>
    <row r="1717" ht="15.75" customHeight="1" x14ac:dyDescent="0.15"/>
    <row r="1718" ht="15.75" customHeight="1" x14ac:dyDescent="0.15"/>
    <row r="1719" ht="15.75" customHeight="1" x14ac:dyDescent="0.15"/>
    <row r="1720" ht="15.75" customHeight="1" x14ac:dyDescent="0.15"/>
    <row r="1721" ht="15.75" customHeight="1" x14ac:dyDescent="0.15"/>
    <row r="1722" ht="15.75" customHeight="1" x14ac:dyDescent="0.15"/>
    <row r="1723" ht="15.75" customHeight="1" x14ac:dyDescent="0.15"/>
    <row r="1724" ht="15.75" customHeight="1" x14ac:dyDescent="0.15"/>
    <row r="1725" ht="15.75" customHeight="1" x14ac:dyDescent="0.15"/>
    <row r="1726" ht="15.75" customHeight="1" x14ac:dyDescent="0.15"/>
    <row r="1727" ht="15.75" customHeight="1" x14ac:dyDescent="0.15"/>
    <row r="1728" ht="15.75" customHeight="1" x14ac:dyDescent="0.15"/>
    <row r="1729" ht="15.75" customHeight="1" x14ac:dyDescent="0.15"/>
    <row r="1730" ht="15.75" customHeight="1" x14ac:dyDescent="0.15"/>
    <row r="1731" ht="15.75" customHeight="1" x14ac:dyDescent="0.15"/>
    <row r="1732" ht="15.75" customHeight="1" x14ac:dyDescent="0.15"/>
    <row r="1733" ht="15.75" customHeight="1" x14ac:dyDescent="0.15"/>
    <row r="1734" ht="15.75" customHeight="1" x14ac:dyDescent="0.15"/>
    <row r="1735" ht="15.75" customHeight="1" x14ac:dyDescent="0.15"/>
    <row r="1736" ht="15.75" customHeight="1" x14ac:dyDescent="0.15"/>
    <row r="1737" ht="15.75" customHeight="1" x14ac:dyDescent="0.15"/>
    <row r="1738" ht="15.75" customHeight="1" x14ac:dyDescent="0.15"/>
    <row r="1739" ht="15.75" customHeight="1" x14ac:dyDescent="0.15"/>
    <row r="1740" ht="15.75" customHeight="1" x14ac:dyDescent="0.15"/>
    <row r="1741" ht="15.75" customHeight="1" x14ac:dyDescent="0.15"/>
    <row r="1742" ht="15.75" customHeight="1" x14ac:dyDescent="0.15"/>
    <row r="1743" ht="15.75" customHeight="1" x14ac:dyDescent="0.15"/>
    <row r="1744" ht="15.75" customHeight="1" x14ac:dyDescent="0.15"/>
    <row r="1745" ht="15.75" customHeight="1" x14ac:dyDescent="0.15"/>
    <row r="1746" ht="15.75" customHeight="1" x14ac:dyDescent="0.15"/>
    <row r="1747" ht="15.75" customHeight="1" x14ac:dyDescent="0.15"/>
    <row r="1748" ht="15.75" customHeight="1" x14ac:dyDescent="0.15"/>
    <row r="1749" ht="15.75" customHeight="1" x14ac:dyDescent="0.15"/>
    <row r="1750" ht="15.75" customHeight="1" x14ac:dyDescent="0.15"/>
    <row r="1751" ht="15.75" customHeight="1" x14ac:dyDescent="0.15"/>
    <row r="1752" ht="15.75" customHeight="1" x14ac:dyDescent="0.15"/>
    <row r="1753" ht="15.75" customHeight="1" x14ac:dyDescent="0.15"/>
    <row r="1754" ht="15.75" customHeight="1" x14ac:dyDescent="0.15"/>
    <row r="1755" ht="15.75" customHeight="1" x14ac:dyDescent="0.15"/>
    <row r="1756" ht="15.75" customHeight="1" x14ac:dyDescent="0.15"/>
    <row r="1757" ht="15.75" customHeight="1" x14ac:dyDescent="0.15"/>
    <row r="1758" ht="15.75" customHeight="1" x14ac:dyDescent="0.15"/>
    <row r="1759" ht="15.75" customHeight="1" x14ac:dyDescent="0.15"/>
    <row r="1760" ht="15.75" customHeight="1" x14ac:dyDescent="0.15"/>
    <row r="1761" ht="15.75" customHeight="1" x14ac:dyDescent="0.15"/>
    <row r="1762" ht="15.75" customHeight="1" x14ac:dyDescent="0.15"/>
    <row r="1763" ht="15.75" customHeight="1" x14ac:dyDescent="0.15"/>
    <row r="1764" ht="15.75" customHeight="1" x14ac:dyDescent="0.15"/>
    <row r="1765" ht="15.75" customHeight="1" x14ac:dyDescent="0.15"/>
    <row r="1766" ht="15.75" customHeight="1" x14ac:dyDescent="0.15"/>
    <row r="1767" ht="15.75" customHeight="1" x14ac:dyDescent="0.15"/>
    <row r="1768" ht="15.75" customHeight="1" x14ac:dyDescent="0.15"/>
    <row r="1769" ht="15.75" customHeight="1" x14ac:dyDescent="0.15"/>
    <row r="1770" ht="15.75" customHeight="1" x14ac:dyDescent="0.15"/>
    <row r="1771" ht="15.75" customHeight="1" x14ac:dyDescent="0.15"/>
    <row r="1772" ht="15.75" customHeight="1" x14ac:dyDescent="0.15"/>
    <row r="1773" ht="15.75" customHeight="1" x14ac:dyDescent="0.15"/>
    <row r="1774" ht="15.75" customHeight="1" x14ac:dyDescent="0.15"/>
    <row r="1775" ht="15.75" customHeight="1" x14ac:dyDescent="0.15"/>
    <row r="1776" ht="15.75" customHeight="1" x14ac:dyDescent="0.15"/>
    <row r="1777" ht="15.75" customHeight="1" x14ac:dyDescent="0.15"/>
    <row r="1778" ht="15.75" customHeight="1" x14ac:dyDescent="0.15"/>
    <row r="1779" ht="15.75" customHeight="1" x14ac:dyDescent="0.15"/>
    <row r="1780" ht="15.75" customHeight="1" x14ac:dyDescent="0.15"/>
    <row r="1781" ht="15.75" customHeight="1" x14ac:dyDescent="0.15"/>
    <row r="1782" ht="15.75" customHeight="1" x14ac:dyDescent="0.15"/>
    <row r="1783" ht="15.75" customHeight="1" x14ac:dyDescent="0.15"/>
    <row r="1784" ht="15.75" customHeight="1" x14ac:dyDescent="0.15"/>
    <row r="1785" ht="15.75" customHeight="1" x14ac:dyDescent="0.15"/>
    <row r="1786" ht="15.75" customHeight="1" x14ac:dyDescent="0.15"/>
    <row r="1787" ht="15.75" customHeight="1" x14ac:dyDescent="0.15"/>
    <row r="1788" ht="15.75" customHeight="1" x14ac:dyDescent="0.15"/>
    <row r="1789" ht="15.75" customHeight="1" x14ac:dyDescent="0.15"/>
    <row r="1790" ht="15.75" customHeight="1" x14ac:dyDescent="0.15"/>
    <row r="1791" ht="15.75" customHeight="1" x14ac:dyDescent="0.15"/>
    <row r="1792" ht="15.75" customHeight="1" x14ac:dyDescent="0.15"/>
    <row r="1793" ht="15.75" customHeight="1" x14ac:dyDescent="0.15"/>
    <row r="1794" ht="15.75" customHeight="1" x14ac:dyDescent="0.15"/>
    <row r="1795" ht="15.75" customHeight="1" x14ac:dyDescent="0.15"/>
    <row r="1796" ht="15.75" customHeight="1" x14ac:dyDescent="0.15"/>
    <row r="1797" ht="15.75" customHeight="1" x14ac:dyDescent="0.15"/>
    <row r="1798" ht="15.75" customHeight="1" x14ac:dyDescent="0.15"/>
    <row r="1799" ht="15.75" customHeight="1" x14ac:dyDescent="0.15"/>
    <row r="1800" ht="15.75" customHeight="1" x14ac:dyDescent="0.15"/>
    <row r="1801" ht="15.75" customHeight="1" x14ac:dyDescent="0.15"/>
    <row r="1802" ht="15.75" customHeight="1" x14ac:dyDescent="0.15"/>
    <row r="1803" ht="15.75" customHeight="1" x14ac:dyDescent="0.15"/>
    <row r="1804" ht="15.75" customHeight="1" x14ac:dyDescent="0.15"/>
    <row r="1805" ht="15.75" customHeight="1" x14ac:dyDescent="0.15"/>
    <row r="1806" ht="15.75" customHeight="1" x14ac:dyDescent="0.15"/>
    <row r="1807" ht="15.75" customHeight="1" x14ac:dyDescent="0.15"/>
    <row r="1808" ht="15.75" customHeight="1" x14ac:dyDescent="0.15"/>
    <row r="1809" ht="15.75" customHeight="1" x14ac:dyDescent="0.15"/>
    <row r="1810" ht="15.75" customHeight="1" x14ac:dyDescent="0.15"/>
    <row r="1811" ht="15.75" customHeight="1" x14ac:dyDescent="0.15"/>
    <row r="1812" ht="15.75" customHeight="1" x14ac:dyDescent="0.15"/>
    <row r="1813" ht="15.75" customHeight="1" x14ac:dyDescent="0.15"/>
    <row r="1814" ht="15.75" customHeight="1" x14ac:dyDescent="0.15"/>
    <row r="1815" ht="15.75" customHeight="1" x14ac:dyDescent="0.15"/>
    <row r="1816" ht="15.75" customHeight="1" x14ac:dyDescent="0.15"/>
    <row r="1817" ht="15.75" customHeight="1" x14ac:dyDescent="0.15"/>
    <row r="1818" ht="15.75" customHeight="1" x14ac:dyDescent="0.15"/>
    <row r="1819" ht="15.75" customHeight="1" x14ac:dyDescent="0.15"/>
    <row r="1820" ht="15.75" customHeight="1" x14ac:dyDescent="0.15"/>
    <row r="1821" ht="15.75" customHeight="1" x14ac:dyDescent="0.15"/>
    <row r="1822" ht="15.75" customHeight="1" x14ac:dyDescent="0.15"/>
    <row r="1823" ht="15.75" customHeight="1" x14ac:dyDescent="0.15"/>
    <row r="1824" ht="15.75" customHeight="1" x14ac:dyDescent="0.15"/>
    <row r="1825" ht="15.75" customHeight="1" x14ac:dyDescent="0.15"/>
    <row r="1826" ht="15.75" customHeight="1" x14ac:dyDescent="0.15"/>
    <row r="1827" ht="15.75" customHeight="1" x14ac:dyDescent="0.15"/>
    <row r="1828" ht="15.75" customHeight="1" x14ac:dyDescent="0.15"/>
    <row r="1829" ht="15.75" customHeight="1" x14ac:dyDescent="0.15"/>
    <row r="1830" ht="15.75" customHeight="1" x14ac:dyDescent="0.15"/>
    <row r="1831" ht="15.75" customHeight="1" x14ac:dyDescent="0.15"/>
    <row r="1832" ht="15.75" customHeight="1" x14ac:dyDescent="0.15"/>
    <row r="1833" ht="15.75" customHeight="1" x14ac:dyDescent="0.15"/>
    <row r="1834" ht="15.75" customHeight="1" x14ac:dyDescent="0.15"/>
    <row r="1835" ht="15.75" customHeight="1" x14ac:dyDescent="0.15"/>
    <row r="1836" ht="15.75" customHeight="1" x14ac:dyDescent="0.15"/>
    <row r="1837" ht="15.75" customHeight="1" x14ac:dyDescent="0.15"/>
    <row r="1838" ht="15.75" customHeight="1" x14ac:dyDescent="0.15"/>
    <row r="1839" ht="15.75" customHeight="1" x14ac:dyDescent="0.15"/>
    <row r="1840" ht="15.75" customHeight="1" x14ac:dyDescent="0.15"/>
    <row r="1841" ht="15.75" customHeight="1" x14ac:dyDescent="0.15"/>
    <row r="1842" ht="15.75" customHeight="1" x14ac:dyDescent="0.15"/>
    <row r="1843" ht="15.75" customHeight="1" x14ac:dyDescent="0.15"/>
    <row r="1844" ht="15.75" customHeight="1" x14ac:dyDescent="0.15"/>
    <row r="1845" ht="15.75" customHeight="1" x14ac:dyDescent="0.15"/>
    <row r="1846" ht="15.75" customHeight="1" x14ac:dyDescent="0.15"/>
    <row r="1847" ht="15.75" customHeight="1" x14ac:dyDescent="0.15"/>
    <row r="1848" ht="15.75" customHeight="1" x14ac:dyDescent="0.15"/>
    <row r="1849" ht="15.75" customHeight="1" x14ac:dyDescent="0.15"/>
    <row r="1850" ht="15.75" customHeight="1" x14ac:dyDescent="0.15"/>
    <row r="1851" ht="15.75" customHeight="1" x14ac:dyDescent="0.15"/>
    <row r="1852" ht="15.75" customHeight="1" x14ac:dyDescent="0.15"/>
    <row r="1853" ht="15.75" customHeight="1" x14ac:dyDescent="0.15"/>
    <row r="1854" ht="15.75" customHeight="1" x14ac:dyDescent="0.15"/>
    <row r="1855" ht="15.75" customHeight="1" x14ac:dyDescent="0.15"/>
    <row r="1856" ht="15.75" customHeight="1" x14ac:dyDescent="0.15"/>
    <row r="1857" ht="15.75" customHeight="1" x14ac:dyDescent="0.15"/>
    <row r="1858" ht="15.75" customHeight="1" x14ac:dyDescent="0.15"/>
    <row r="1859" ht="15.75" customHeight="1" x14ac:dyDescent="0.15"/>
    <row r="1860" ht="15.75" customHeight="1" x14ac:dyDescent="0.15"/>
    <row r="1861" ht="15.75" customHeight="1" x14ac:dyDescent="0.15"/>
    <row r="1862" ht="15.75" customHeight="1" x14ac:dyDescent="0.15"/>
    <row r="1863" ht="15.75" customHeight="1" x14ac:dyDescent="0.15"/>
    <row r="1864" ht="15.75" customHeight="1" x14ac:dyDescent="0.15"/>
    <row r="1865" ht="15.75" customHeight="1" x14ac:dyDescent="0.15"/>
    <row r="1866" ht="15.75" customHeight="1" x14ac:dyDescent="0.15"/>
    <row r="1867" ht="15.75" customHeight="1" x14ac:dyDescent="0.15"/>
    <row r="1868" ht="15.75" customHeight="1" x14ac:dyDescent="0.15"/>
    <row r="1869" ht="15.75" customHeight="1" x14ac:dyDescent="0.15"/>
    <row r="1870" ht="15.75" customHeight="1" x14ac:dyDescent="0.15"/>
    <row r="1871" ht="15.75" customHeight="1" x14ac:dyDescent="0.15"/>
    <row r="1872" ht="15.75" customHeight="1" x14ac:dyDescent="0.15"/>
    <row r="1873" ht="15.75" customHeight="1" x14ac:dyDescent="0.15"/>
    <row r="1874" ht="15.75" customHeight="1" x14ac:dyDescent="0.15"/>
    <row r="1875" ht="15.75" customHeight="1" x14ac:dyDescent="0.15"/>
    <row r="1876" ht="15.75" customHeight="1" x14ac:dyDescent="0.15"/>
    <row r="1877" ht="15.75" customHeight="1" x14ac:dyDescent="0.15"/>
    <row r="1878" ht="15.75" customHeight="1" x14ac:dyDescent="0.15"/>
    <row r="1879" ht="15.75" customHeight="1" x14ac:dyDescent="0.15"/>
    <row r="1880" ht="15.75" customHeight="1" x14ac:dyDescent="0.15"/>
    <row r="1881" ht="15.75" customHeight="1" x14ac:dyDescent="0.15"/>
    <row r="1882" ht="15.75" customHeight="1" x14ac:dyDescent="0.15"/>
    <row r="1883" ht="15.75" customHeight="1" x14ac:dyDescent="0.15"/>
    <row r="1884" ht="15.75" customHeight="1" x14ac:dyDescent="0.15"/>
    <row r="1885" ht="15.75" customHeight="1" x14ac:dyDescent="0.15"/>
    <row r="1886" ht="15.75" customHeight="1" x14ac:dyDescent="0.15"/>
    <row r="1887" ht="15.75" customHeight="1" x14ac:dyDescent="0.15"/>
    <row r="1888" ht="15.75" customHeight="1" x14ac:dyDescent="0.15"/>
    <row r="1889" ht="15.75" customHeight="1" x14ac:dyDescent="0.15"/>
    <row r="1890" ht="15.75" customHeight="1" x14ac:dyDescent="0.15"/>
    <row r="1891" ht="15.75" customHeight="1" x14ac:dyDescent="0.15"/>
    <row r="1892" ht="15.75" customHeight="1" x14ac:dyDescent="0.15"/>
    <row r="1893" ht="15.75" customHeight="1" x14ac:dyDescent="0.15"/>
    <row r="1894" ht="15.75" customHeight="1" x14ac:dyDescent="0.15"/>
    <row r="1895" ht="15.75" customHeight="1" x14ac:dyDescent="0.15"/>
    <row r="1896" ht="15.75" customHeight="1" x14ac:dyDescent="0.15"/>
    <row r="1897" ht="15.75" customHeight="1" x14ac:dyDescent="0.15"/>
    <row r="1898" ht="15.75" customHeight="1" x14ac:dyDescent="0.15"/>
    <row r="1899" ht="15.75" customHeight="1" x14ac:dyDescent="0.15"/>
    <row r="1900" ht="15.75" customHeight="1" x14ac:dyDescent="0.15"/>
    <row r="1901" ht="15.75" customHeight="1" x14ac:dyDescent="0.15"/>
    <row r="1902" ht="15.75" customHeight="1" x14ac:dyDescent="0.15"/>
    <row r="1903" ht="15.75" customHeight="1" x14ac:dyDescent="0.15"/>
    <row r="1904" ht="15.75" customHeight="1" x14ac:dyDescent="0.15"/>
    <row r="1905" ht="15.75" customHeight="1" x14ac:dyDescent="0.15"/>
    <row r="1906" ht="15.75" customHeight="1" x14ac:dyDescent="0.15"/>
    <row r="1907" ht="15.75" customHeight="1" x14ac:dyDescent="0.15"/>
    <row r="1908" ht="15.75" customHeight="1" x14ac:dyDescent="0.15"/>
    <row r="1909" ht="15.75" customHeight="1" x14ac:dyDescent="0.15"/>
    <row r="1910" ht="15.75" customHeight="1" x14ac:dyDescent="0.15"/>
    <row r="1911" ht="15.75" customHeight="1" x14ac:dyDescent="0.15"/>
    <row r="1912" ht="15.75" customHeight="1" x14ac:dyDescent="0.15"/>
    <row r="1913" ht="15.75" customHeight="1" x14ac:dyDescent="0.15"/>
    <row r="1914" ht="15.75" customHeight="1" x14ac:dyDescent="0.15"/>
    <row r="1915" ht="15.75" customHeight="1" x14ac:dyDescent="0.15"/>
    <row r="1916" ht="15.75" customHeight="1" x14ac:dyDescent="0.15"/>
    <row r="1917" ht="15.75" customHeight="1" x14ac:dyDescent="0.15"/>
    <row r="1918" ht="15.75" customHeight="1" x14ac:dyDescent="0.15"/>
    <row r="1919" ht="15.75" customHeight="1" x14ac:dyDescent="0.15"/>
    <row r="1920" ht="15.75" customHeight="1" x14ac:dyDescent="0.15"/>
    <row r="1921" ht="15.75" customHeight="1" x14ac:dyDescent="0.15"/>
    <row r="1922" ht="15.75" customHeight="1" x14ac:dyDescent="0.15"/>
    <row r="1923" ht="15.75" customHeight="1" x14ac:dyDescent="0.15"/>
    <row r="1924" ht="15.75" customHeight="1" x14ac:dyDescent="0.15"/>
    <row r="1925" ht="15.75" customHeight="1" x14ac:dyDescent="0.15"/>
    <row r="1926" ht="15.75" customHeight="1" x14ac:dyDescent="0.15"/>
    <row r="1927" ht="15.75" customHeight="1" x14ac:dyDescent="0.15"/>
    <row r="1928" ht="15.75" customHeight="1" x14ac:dyDescent="0.15"/>
    <row r="1929" ht="15.75" customHeight="1" x14ac:dyDescent="0.15"/>
    <row r="1930" ht="15.75" customHeight="1" x14ac:dyDescent="0.15"/>
    <row r="1931" ht="15.75" customHeight="1" x14ac:dyDescent="0.15"/>
    <row r="1932" ht="15.75" customHeight="1" x14ac:dyDescent="0.15"/>
    <row r="1933" ht="15.75" customHeight="1" x14ac:dyDescent="0.15"/>
    <row r="1934" ht="15.75" customHeight="1" x14ac:dyDescent="0.15"/>
    <row r="1935" ht="15.75" customHeight="1" x14ac:dyDescent="0.15"/>
    <row r="1936" ht="15.75" customHeight="1" x14ac:dyDescent="0.15"/>
    <row r="1937" ht="15.75" customHeight="1" x14ac:dyDescent="0.15"/>
    <row r="1938" ht="15.75" customHeight="1" x14ac:dyDescent="0.15"/>
    <row r="1939" ht="15.75" customHeight="1" x14ac:dyDescent="0.15"/>
    <row r="1940" ht="15.75" customHeight="1" x14ac:dyDescent="0.15"/>
    <row r="1941" ht="15.75" customHeight="1" x14ac:dyDescent="0.15"/>
    <row r="1942" ht="15.75" customHeight="1" x14ac:dyDescent="0.15"/>
    <row r="1943" ht="15.75" customHeight="1" x14ac:dyDescent="0.15"/>
    <row r="1944" ht="15.75" customHeight="1" x14ac:dyDescent="0.15"/>
    <row r="1945" ht="15.75" customHeight="1" x14ac:dyDescent="0.15"/>
    <row r="1946" ht="15.75" customHeight="1" x14ac:dyDescent="0.15"/>
    <row r="1947" ht="15.75" customHeight="1" x14ac:dyDescent="0.15"/>
    <row r="1948" ht="15.75" customHeight="1" x14ac:dyDescent="0.15"/>
    <row r="1949" ht="15.75" customHeight="1" x14ac:dyDescent="0.15"/>
    <row r="1950" ht="15.75" customHeight="1" x14ac:dyDescent="0.15"/>
    <row r="1951" ht="15.75" customHeight="1" x14ac:dyDescent="0.15"/>
    <row r="1952" ht="15.75" customHeight="1" x14ac:dyDescent="0.15"/>
    <row r="1953" ht="15.75" customHeight="1" x14ac:dyDescent="0.15"/>
    <row r="1954" ht="15.75" customHeight="1" x14ac:dyDescent="0.15"/>
    <row r="1955" ht="15.75" customHeight="1" x14ac:dyDescent="0.15"/>
    <row r="1956" ht="15.75" customHeight="1" x14ac:dyDescent="0.15"/>
    <row r="1957" ht="15.75" customHeight="1" x14ac:dyDescent="0.15"/>
    <row r="1958" ht="15.75" customHeight="1" x14ac:dyDescent="0.15"/>
    <row r="1959" ht="15.75" customHeight="1" x14ac:dyDescent="0.15"/>
    <row r="1960" ht="15.75" customHeight="1" x14ac:dyDescent="0.15"/>
    <row r="1961" ht="15.75" customHeight="1" x14ac:dyDescent="0.15"/>
    <row r="1962" ht="15.75" customHeight="1" x14ac:dyDescent="0.15"/>
    <row r="1963" ht="15.75" customHeight="1" x14ac:dyDescent="0.15"/>
    <row r="1964" ht="15.75" customHeight="1" x14ac:dyDescent="0.15"/>
    <row r="1965" ht="15.75" customHeight="1" x14ac:dyDescent="0.15"/>
    <row r="1966" ht="15.75" customHeight="1" x14ac:dyDescent="0.15"/>
    <row r="1967" ht="15.75" customHeight="1" x14ac:dyDescent="0.15"/>
    <row r="1968" ht="15.75" customHeight="1" x14ac:dyDescent="0.15"/>
    <row r="1969" ht="15.75" customHeight="1" x14ac:dyDescent="0.15"/>
    <row r="1970" ht="15.75" customHeight="1" x14ac:dyDescent="0.15"/>
    <row r="1971" ht="15.75" customHeight="1" x14ac:dyDescent="0.15"/>
    <row r="1972" ht="15.75" customHeight="1" x14ac:dyDescent="0.15"/>
    <row r="1973" ht="15.75" customHeight="1" x14ac:dyDescent="0.15"/>
    <row r="1974" ht="15.75" customHeight="1" x14ac:dyDescent="0.15"/>
    <row r="1975" ht="15.75" customHeight="1" x14ac:dyDescent="0.15"/>
    <row r="1976" ht="15.75" customHeight="1" x14ac:dyDescent="0.15"/>
    <row r="1977" ht="15.75" customHeight="1" x14ac:dyDescent="0.15"/>
    <row r="1978" ht="15.75" customHeight="1" x14ac:dyDescent="0.15"/>
    <row r="1979" ht="15.75" customHeight="1" x14ac:dyDescent="0.15"/>
    <row r="1980" ht="15.75" customHeight="1" x14ac:dyDescent="0.15"/>
    <row r="1981" ht="15.75" customHeight="1" x14ac:dyDescent="0.15"/>
    <row r="1982" ht="15.75" customHeight="1" x14ac:dyDescent="0.15"/>
    <row r="1983" ht="15.75" customHeight="1" x14ac:dyDescent="0.15"/>
    <row r="1984" ht="15.75" customHeight="1" x14ac:dyDescent="0.15"/>
    <row r="1985" ht="15.75" customHeight="1" x14ac:dyDescent="0.15"/>
    <row r="1986" ht="15.75" customHeight="1" x14ac:dyDescent="0.15"/>
    <row r="1987" ht="15.75" customHeight="1" x14ac:dyDescent="0.15"/>
    <row r="1988" ht="15.75" customHeight="1" x14ac:dyDescent="0.15"/>
    <row r="1989" ht="15.75" customHeight="1" x14ac:dyDescent="0.15"/>
    <row r="1990" ht="15.75" customHeight="1" x14ac:dyDescent="0.15"/>
    <row r="1991" ht="15.75" customHeight="1" x14ac:dyDescent="0.15"/>
    <row r="1992" ht="15.75" customHeight="1" x14ac:dyDescent="0.15"/>
    <row r="1993" ht="15.75" customHeight="1" x14ac:dyDescent="0.15"/>
    <row r="1994" ht="15.75" customHeight="1" x14ac:dyDescent="0.15"/>
    <row r="1995" ht="15.75" customHeight="1" x14ac:dyDescent="0.15"/>
    <row r="1996" ht="15.75" customHeight="1" x14ac:dyDescent="0.15"/>
    <row r="1997" ht="15.75" customHeight="1" x14ac:dyDescent="0.15"/>
    <row r="1998" ht="15.75" customHeight="1" x14ac:dyDescent="0.15"/>
    <row r="1999" ht="15.75" customHeight="1" x14ac:dyDescent="0.15"/>
    <row r="2000" ht="15.75" customHeight="1" x14ac:dyDescent="0.15"/>
    <row r="2001" ht="15.75" customHeight="1" x14ac:dyDescent="0.15"/>
    <row r="2002" ht="15.75" customHeight="1" x14ac:dyDescent="0.15"/>
    <row r="2003" ht="15.75" customHeight="1" x14ac:dyDescent="0.15"/>
    <row r="2004" ht="15.75" customHeight="1" x14ac:dyDescent="0.15"/>
    <row r="2005" ht="15.75" customHeight="1" x14ac:dyDescent="0.15"/>
    <row r="2006" ht="15.75" customHeight="1" x14ac:dyDescent="0.15"/>
    <row r="2007" ht="15.75" customHeight="1" x14ac:dyDescent="0.15"/>
    <row r="2008" ht="15.75" customHeight="1" x14ac:dyDescent="0.15"/>
    <row r="2009" ht="15.75" customHeight="1" x14ac:dyDescent="0.15"/>
    <row r="2010" ht="15.75" customHeight="1" x14ac:dyDescent="0.15"/>
    <row r="2011" ht="15.75" customHeight="1" x14ac:dyDescent="0.15"/>
    <row r="2012" ht="15.75" customHeight="1" x14ac:dyDescent="0.15"/>
    <row r="2013" ht="15.75" customHeight="1" x14ac:dyDescent="0.15"/>
    <row r="2014" ht="15.75" customHeight="1" x14ac:dyDescent="0.15"/>
    <row r="2015" ht="15.75" customHeight="1" x14ac:dyDescent="0.15"/>
    <row r="2016" ht="15.75" customHeight="1" x14ac:dyDescent="0.15"/>
    <row r="2017" ht="15.75" customHeight="1" x14ac:dyDescent="0.15"/>
    <row r="2018" ht="15.75" customHeight="1" x14ac:dyDescent="0.15"/>
    <row r="2019" ht="15.75" customHeight="1" x14ac:dyDescent="0.15"/>
    <row r="2020" ht="15.75" customHeight="1" x14ac:dyDescent="0.15"/>
    <row r="2021" ht="15.75" customHeight="1" x14ac:dyDescent="0.15"/>
    <row r="2022" ht="15.75" customHeight="1" x14ac:dyDescent="0.15"/>
    <row r="2023" ht="15.75" customHeight="1" x14ac:dyDescent="0.15"/>
    <row r="2024" ht="15.75" customHeight="1" x14ac:dyDescent="0.15"/>
    <row r="2025" ht="15.75" customHeight="1" x14ac:dyDescent="0.15"/>
    <row r="2026" ht="15.75" customHeight="1" x14ac:dyDescent="0.15"/>
    <row r="2027" ht="15.75" customHeight="1" x14ac:dyDescent="0.15"/>
    <row r="2028" ht="15.75" customHeight="1" x14ac:dyDescent="0.15"/>
    <row r="2029" ht="15.75" customHeight="1" x14ac:dyDescent="0.15"/>
    <row r="2030" ht="15.75" customHeight="1" x14ac:dyDescent="0.15"/>
    <row r="2031" ht="15.75" customHeight="1" x14ac:dyDescent="0.15"/>
    <row r="2032" ht="15.75" customHeight="1" x14ac:dyDescent="0.15"/>
    <row r="2033" ht="15.75" customHeight="1" x14ac:dyDescent="0.15"/>
    <row r="2034" ht="15.75" customHeight="1" x14ac:dyDescent="0.15"/>
    <row r="2035" ht="15.75" customHeight="1" x14ac:dyDescent="0.15"/>
    <row r="2036" ht="15.75" customHeight="1" x14ac:dyDescent="0.15"/>
    <row r="2037" ht="15.75" customHeight="1" x14ac:dyDescent="0.15"/>
    <row r="2038" ht="15.75" customHeight="1" x14ac:dyDescent="0.15"/>
    <row r="2039" ht="15.75" customHeight="1" x14ac:dyDescent="0.15"/>
    <row r="2040" ht="15.75" customHeight="1" x14ac:dyDescent="0.15"/>
    <row r="2041" ht="15.75" customHeight="1" x14ac:dyDescent="0.15"/>
    <row r="2042" ht="15.75" customHeight="1" x14ac:dyDescent="0.15"/>
    <row r="2043" ht="15.75" customHeight="1" x14ac:dyDescent="0.15"/>
    <row r="2044" ht="15.75" customHeight="1" x14ac:dyDescent="0.15"/>
    <row r="2045" ht="15.75" customHeight="1" x14ac:dyDescent="0.15"/>
    <row r="2046" ht="15.75" customHeight="1" x14ac:dyDescent="0.15"/>
    <row r="2047" ht="15.75" customHeight="1" x14ac:dyDescent="0.15"/>
    <row r="2048" ht="15.75" customHeight="1" x14ac:dyDescent="0.15"/>
    <row r="2049" ht="15.75" customHeight="1" x14ac:dyDescent="0.15"/>
    <row r="2050" ht="15.75" customHeight="1" x14ac:dyDescent="0.15"/>
    <row r="2051" ht="15.75" customHeight="1" x14ac:dyDescent="0.15"/>
    <row r="2052" ht="15.75" customHeight="1" x14ac:dyDescent="0.15"/>
    <row r="2053" ht="15.75" customHeight="1" x14ac:dyDescent="0.15"/>
    <row r="2054" ht="15.75" customHeight="1" x14ac:dyDescent="0.15"/>
    <row r="2055" ht="15.75" customHeight="1" x14ac:dyDescent="0.15"/>
    <row r="2056" ht="15.75" customHeight="1" x14ac:dyDescent="0.15"/>
    <row r="2057" ht="15.75" customHeight="1" x14ac:dyDescent="0.15"/>
    <row r="2058" ht="15.75" customHeight="1" x14ac:dyDescent="0.15"/>
    <row r="2059" ht="15.75" customHeight="1" x14ac:dyDescent="0.15"/>
    <row r="2060" ht="15.75" customHeight="1" x14ac:dyDescent="0.15"/>
    <row r="2061" ht="15.75" customHeight="1" x14ac:dyDescent="0.15"/>
    <row r="2062" ht="15.75" customHeight="1" x14ac:dyDescent="0.15"/>
    <row r="2063" ht="15.75" customHeight="1" x14ac:dyDescent="0.15"/>
    <row r="2064" ht="15.75" customHeight="1" x14ac:dyDescent="0.15"/>
    <row r="2065" ht="15.75" customHeight="1" x14ac:dyDescent="0.15"/>
    <row r="2066" ht="15.75" customHeight="1" x14ac:dyDescent="0.15"/>
    <row r="2067" ht="15.75" customHeight="1" x14ac:dyDescent="0.15"/>
    <row r="2068" ht="15.75" customHeight="1" x14ac:dyDescent="0.15"/>
    <row r="2069" ht="15.75" customHeight="1" x14ac:dyDescent="0.15"/>
    <row r="2070" ht="15.75" customHeight="1" x14ac:dyDescent="0.15"/>
    <row r="2071" ht="15.75" customHeight="1" x14ac:dyDescent="0.15"/>
    <row r="2072" ht="15.75" customHeight="1" x14ac:dyDescent="0.15"/>
    <row r="2073" ht="15.75" customHeight="1" x14ac:dyDescent="0.15"/>
    <row r="2074" ht="15.75" customHeight="1" x14ac:dyDescent="0.15"/>
    <row r="2075" ht="15.75" customHeight="1" x14ac:dyDescent="0.15"/>
    <row r="2076" ht="15.75" customHeight="1" x14ac:dyDescent="0.15"/>
    <row r="2077" ht="15.75" customHeight="1" x14ac:dyDescent="0.15"/>
    <row r="2078" ht="15.75" customHeight="1" x14ac:dyDescent="0.15"/>
    <row r="2079" ht="15.75" customHeight="1" x14ac:dyDescent="0.15"/>
    <row r="2080" ht="15.75" customHeight="1" x14ac:dyDescent="0.15"/>
    <row r="2081" ht="15.75" customHeight="1" x14ac:dyDescent="0.15"/>
    <row r="2082" ht="15.75" customHeight="1" x14ac:dyDescent="0.15"/>
    <row r="2083" ht="15.75" customHeight="1" x14ac:dyDescent="0.15"/>
    <row r="2084" ht="15.75" customHeight="1" x14ac:dyDescent="0.15"/>
    <row r="2085" ht="15.75" customHeight="1" x14ac:dyDescent="0.15"/>
    <row r="2086" ht="15.75" customHeight="1" x14ac:dyDescent="0.15"/>
    <row r="2087" ht="15.75" customHeight="1" x14ac:dyDescent="0.15"/>
    <row r="2088" ht="15.75" customHeight="1" x14ac:dyDescent="0.15"/>
    <row r="2089" ht="15.75" customHeight="1" x14ac:dyDescent="0.15"/>
    <row r="2090" ht="15.75" customHeight="1" x14ac:dyDescent="0.15"/>
    <row r="2091" ht="15.75" customHeight="1" x14ac:dyDescent="0.15"/>
    <row r="2092" ht="15.75" customHeight="1" x14ac:dyDescent="0.15"/>
    <row r="2093" ht="15.75" customHeight="1" x14ac:dyDescent="0.15"/>
    <row r="2094" ht="15.75" customHeight="1" x14ac:dyDescent="0.15"/>
    <row r="2095" ht="15.75" customHeight="1" x14ac:dyDescent="0.15"/>
    <row r="2096" ht="15.75" customHeight="1" x14ac:dyDescent="0.15"/>
    <row r="2097" ht="15.75" customHeight="1" x14ac:dyDescent="0.15"/>
    <row r="2098" ht="15.75" customHeight="1" x14ac:dyDescent="0.15"/>
    <row r="2099" ht="15.75" customHeight="1" x14ac:dyDescent="0.15"/>
    <row r="2100" ht="15.75" customHeight="1" x14ac:dyDescent="0.15"/>
    <row r="2101" ht="15.75" customHeight="1" x14ac:dyDescent="0.15"/>
    <row r="2102" ht="15.75" customHeight="1" x14ac:dyDescent="0.15"/>
    <row r="2103" ht="15.75" customHeight="1" x14ac:dyDescent="0.15"/>
    <row r="2104" ht="15.75" customHeight="1" x14ac:dyDescent="0.15"/>
    <row r="2105" ht="15.75" customHeight="1" x14ac:dyDescent="0.15"/>
    <row r="2106" ht="15.75" customHeight="1" x14ac:dyDescent="0.15"/>
    <row r="2107" ht="15.75" customHeight="1" x14ac:dyDescent="0.15"/>
    <row r="2108" ht="15.75" customHeight="1" x14ac:dyDescent="0.15"/>
    <row r="2109" ht="15.75" customHeight="1" x14ac:dyDescent="0.15"/>
    <row r="2110" ht="15.75" customHeight="1" x14ac:dyDescent="0.15"/>
    <row r="2111" ht="15.75" customHeight="1" x14ac:dyDescent="0.15"/>
    <row r="2112" ht="15.75" customHeight="1" x14ac:dyDescent="0.15"/>
    <row r="2113" ht="15.75" customHeight="1" x14ac:dyDescent="0.15"/>
    <row r="2114" ht="15.75" customHeight="1" x14ac:dyDescent="0.15"/>
    <row r="2115" ht="15.75" customHeight="1" x14ac:dyDescent="0.15"/>
    <row r="2116" ht="15.75" customHeight="1" x14ac:dyDescent="0.15"/>
    <row r="2117" ht="15.75" customHeight="1" x14ac:dyDescent="0.15"/>
    <row r="2118" ht="15.75" customHeight="1" x14ac:dyDescent="0.15"/>
    <row r="2119" ht="15.75" customHeight="1" x14ac:dyDescent="0.15"/>
    <row r="2120" ht="15.75" customHeight="1" x14ac:dyDescent="0.15"/>
    <row r="2121" ht="15.75" customHeight="1" x14ac:dyDescent="0.15"/>
    <row r="2122" ht="15.75" customHeight="1" x14ac:dyDescent="0.15"/>
    <row r="2123" ht="15.75" customHeight="1" x14ac:dyDescent="0.15"/>
    <row r="2124" ht="15.75" customHeight="1" x14ac:dyDescent="0.15"/>
    <row r="2125" ht="15.75" customHeight="1" x14ac:dyDescent="0.15"/>
    <row r="2126" ht="15.75" customHeight="1" x14ac:dyDescent="0.15"/>
    <row r="2127" ht="15.75" customHeight="1" x14ac:dyDescent="0.15"/>
    <row r="2128" ht="15.75" customHeight="1" x14ac:dyDescent="0.15"/>
    <row r="2129" ht="15.75" customHeight="1" x14ac:dyDescent="0.15"/>
    <row r="2130" ht="15.75" customHeight="1" x14ac:dyDescent="0.15"/>
    <row r="2131" ht="15.75" customHeight="1" x14ac:dyDescent="0.15"/>
    <row r="2132" ht="15.75" customHeight="1" x14ac:dyDescent="0.15"/>
    <row r="2133" ht="15.75" customHeight="1" x14ac:dyDescent="0.15"/>
    <row r="2134" ht="15.75" customHeight="1" x14ac:dyDescent="0.15"/>
  </sheetData>
  <autoFilter ref="A4:G4"/>
  <sortState ref="A3:H1141">
    <sortCondition ref="F3:F1141"/>
  </sortState>
  <phoneticPr fontI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男子ＧＳ</vt:lpstr>
      <vt:lpstr>男子ＧＳ!Print_Area</vt:lpstr>
      <vt:lpstr>男子ＧＳ!Print_Titles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NewSAT4</cp:lastModifiedBy>
  <cp:lastPrinted>2017-02-26T01:49:04Z</cp:lastPrinted>
  <dcterms:created xsi:type="dcterms:W3CDTF">2017-02-25T13:33:24Z</dcterms:created>
  <dcterms:modified xsi:type="dcterms:W3CDTF">2017-02-28T03:16:44Z</dcterms:modified>
</cp:coreProperties>
</file>