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t_server2016\disk1\SAT_server2016（Ｕ：共有）\★各本部(総務・競技・教育)\競技本部\2017ー\2016-17アルペンポイントリストNO.3\"/>
    </mc:Choice>
  </mc:AlternateContent>
  <bookViews>
    <workbookView xWindow="0" yWindow="0" windowWidth="20250" windowHeight="10890"/>
  </bookViews>
  <sheets>
    <sheet name="男子ＳＬ" sheetId="4" r:id="rId1"/>
  </sheets>
  <definedNames>
    <definedName name="_xlnm._FilterDatabase" localSheetId="0" hidden="1">男子ＳＬ!$A$2:$AA$1087</definedName>
  </definedNames>
  <calcPr calcId="171027"/>
</workbook>
</file>

<file path=xl/calcChain.xml><?xml version="1.0" encoding="utf-8"?>
<calcChain xmlns="http://schemas.openxmlformats.org/spreadsheetml/2006/main">
  <c r="R1087" i="4" l="1"/>
  <c r="E1087" i="4"/>
  <c r="R1086" i="4"/>
  <c r="E1086" i="4"/>
  <c r="H1085" i="4"/>
  <c r="E1085" i="4"/>
  <c r="R1084" i="4"/>
  <c r="E1084" i="4"/>
  <c r="R1083" i="4"/>
  <c r="E1083" i="4"/>
  <c r="H1082" i="4"/>
  <c r="E1082" i="4"/>
  <c r="R1081" i="4"/>
  <c r="E1081" i="4"/>
  <c r="R1080" i="4"/>
  <c r="E1080" i="4"/>
  <c r="R1079" i="4"/>
  <c r="E1079" i="4"/>
  <c r="R1078" i="4"/>
  <c r="O1078" i="4"/>
  <c r="E1078" i="4"/>
  <c r="R1077" i="4"/>
  <c r="E1077" i="4"/>
  <c r="Y1076" i="4"/>
  <c r="R1076" i="4"/>
  <c r="E1076" i="4"/>
  <c r="R1075" i="4"/>
  <c r="H1075" i="4"/>
  <c r="E1075" i="4"/>
  <c r="R1074" i="4"/>
  <c r="E1074" i="4"/>
  <c r="R1073" i="4"/>
  <c r="E1073" i="4"/>
  <c r="R1072" i="4"/>
  <c r="H1072" i="4"/>
  <c r="E1072" i="4"/>
  <c r="R1071" i="4"/>
  <c r="E1071" i="4"/>
  <c r="R1070" i="4"/>
  <c r="E1070" i="4"/>
  <c r="R1069" i="4"/>
  <c r="E1069" i="4"/>
  <c r="R1068" i="4"/>
  <c r="E1068" i="4"/>
  <c r="R1067" i="4"/>
  <c r="E1067" i="4"/>
  <c r="R1066" i="4"/>
  <c r="O1066" i="4"/>
  <c r="E1066" i="4"/>
  <c r="R1065" i="4"/>
  <c r="E1065" i="4"/>
  <c r="V1064" i="4"/>
  <c r="R1064" i="4"/>
  <c r="E1064" i="4"/>
  <c r="H1063" i="4"/>
  <c r="E1063" i="4"/>
  <c r="R1062" i="4"/>
  <c r="E1062" i="4"/>
  <c r="R1061" i="4"/>
  <c r="E1061" i="4"/>
  <c r="R1060" i="4"/>
  <c r="E1060" i="4"/>
  <c r="H1059" i="4"/>
  <c r="E1059" i="4"/>
  <c r="R1058" i="4"/>
  <c r="E1058" i="4"/>
  <c r="H1057" i="4"/>
  <c r="E1057" i="4"/>
  <c r="R1056" i="4"/>
  <c r="E1056" i="4"/>
  <c r="Y1055" i="4"/>
  <c r="R1055" i="4"/>
  <c r="E1055" i="4"/>
  <c r="H1054" i="4"/>
  <c r="E1054" i="4"/>
  <c r="R1053" i="4"/>
  <c r="E1053" i="4"/>
  <c r="R1052" i="4"/>
  <c r="E1052" i="4"/>
  <c r="R1051" i="4"/>
  <c r="E1051" i="4"/>
  <c r="R1050" i="4"/>
  <c r="H1050" i="4"/>
  <c r="E1050" i="4"/>
  <c r="R1049" i="4"/>
  <c r="E1049" i="4"/>
  <c r="R1048" i="4"/>
  <c r="E1048" i="4"/>
  <c r="R1047" i="4"/>
  <c r="E1047" i="4"/>
  <c r="R1046" i="4"/>
  <c r="H1046" i="4"/>
  <c r="E1046" i="4"/>
  <c r="R1045" i="4"/>
  <c r="H1045" i="4"/>
  <c r="E1045" i="4"/>
  <c r="R1044" i="4"/>
  <c r="E1044" i="4"/>
  <c r="R1043" i="4"/>
  <c r="H1043" i="4"/>
  <c r="E1043" i="4"/>
  <c r="Y1042" i="4"/>
  <c r="R1042" i="4"/>
  <c r="E1042" i="4"/>
  <c r="R1041" i="4"/>
  <c r="E1041" i="4"/>
  <c r="H1040" i="4"/>
  <c r="E1040" i="4"/>
  <c r="H1039" i="4"/>
  <c r="E1039" i="4"/>
  <c r="R1038" i="4"/>
  <c r="E1038" i="4"/>
  <c r="R1037" i="4"/>
  <c r="H1037" i="4"/>
  <c r="E1037" i="4"/>
  <c r="R1036" i="4"/>
  <c r="H1036" i="4"/>
  <c r="E1036" i="4"/>
  <c r="R1035" i="4"/>
  <c r="E1035" i="4"/>
  <c r="Y1034" i="4"/>
  <c r="R1034" i="4"/>
  <c r="E1034" i="4"/>
  <c r="R1033" i="4"/>
  <c r="H1033" i="4"/>
  <c r="E1033" i="4"/>
  <c r="V1032" i="4"/>
  <c r="R1032" i="4"/>
  <c r="E1032" i="4"/>
  <c r="H1031" i="4"/>
  <c r="E1031" i="4"/>
  <c r="R1030" i="4"/>
  <c r="H1030" i="4"/>
  <c r="E1030" i="4"/>
  <c r="Z1029" i="4"/>
  <c r="E1029" i="4"/>
  <c r="R1028" i="4"/>
  <c r="H1028" i="4"/>
  <c r="E1028" i="4"/>
  <c r="R1027" i="4"/>
  <c r="H1027" i="4"/>
  <c r="E1027" i="4"/>
  <c r="R1026" i="4"/>
  <c r="H1026" i="4"/>
  <c r="E1026" i="4"/>
  <c r="R1025" i="4"/>
  <c r="H1025" i="4"/>
  <c r="E1025" i="4"/>
  <c r="R1024" i="4"/>
  <c r="O1024" i="4"/>
  <c r="H1024" i="4"/>
  <c r="E1024" i="4"/>
  <c r="R1023" i="4"/>
  <c r="H1023" i="4"/>
  <c r="E1023" i="4"/>
  <c r="H1022" i="4"/>
  <c r="E1022" i="4"/>
  <c r="R1021" i="4"/>
  <c r="H1021" i="4"/>
  <c r="E1021" i="4"/>
  <c r="H1020" i="4"/>
  <c r="E1020" i="4"/>
  <c r="R1019" i="4"/>
  <c r="O1019" i="4"/>
  <c r="E1019" i="4"/>
  <c r="R1018" i="4"/>
  <c r="H1018" i="4"/>
  <c r="E1018" i="4"/>
  <c r="R1017" i="4"/>
  <c r="E1017" i="4"/>
  <c r="H1016" i="4"/>
  <c r="E1016" i="4"/>
  <c r="R1015" i="4"/>
  <c r="E1015" i="4"/>
  <c r="Y1014" i="4"/>
  <c r="R1014" i="4"/>
  <c r="H1014" i="4"/>
  <c r="E1014" i="4"/>
  <c r="H1013" i="4"/>
  <c r="E1013" i="4"/>
  <c r="R1012" i="4"/>
  <c r="H1012" i="4"/>
  <c r="E1012" i="4"/>
  <c r="Z1011" i="4"/>
  <c r="R1011" i="4"/>
  <c r="E1011" i="4"/>
  <c r="R1010" i="4"/>
  <c r="H1010" i="4"/>
  <c r="E1010" i="4"/>
  <c r="M1009" i="4"/>
  <c r="H1009" i="4"/>
  <c r="E1009" i="4"/>
  <c r="R1008" i="4"/>
  <c r="H1008" i="4"/>
  <c r="E1008" i="4"/>
  <c r="R1007" i="4"/>
  <c r="O1007" i="4"/>
  <c r="E1007" i="4"/>
  <c r="Y1006" i="4"/>
  <c r="R1006" i="4"/>
  <c r="H1006" i="4"/>
  <c r="E1006" i="4"/>
  <c r="Z1005" i="4"/>
  <c r="R1005" i="4"/>
  <c r="H1005" i="4"/>
  <c r="E1005" i="4"/>
  <c r="H1004" i="4"/>
  <c r="E1004" i="4"/>
  <c r="O1003" i="4"/>
  <c r="E1003" i="4"/>
  <c r="Y1002" i="4"/>
  <c r="R1002" i="4"/>
  <c r="H1002" i="4"/>
  <c r="E1002" i="4"/>
  <c r="H1001" i="4"/>
  <c r="E1001" i="4"/>
  <c r="R1000" i="4"/>
  <c r="H1000" i="4"/>
  <c r="E1000" i="4"/>
  <c r="R999" i="4"/>
  <c r="H999" i="4"/>
  <c r="E999" i="4"/>
  <c r="H998" i="4"/>
  <c r="E998" i="4"/>
  <c r="Z997" i="4"/>
  <c r="R997" i="4"/>
  <c r="E997" i="4"/>
  <c r="R996" i="4"/>
  <c r="H996" i="4"/>
  <c r="E996" i="4"/>
  <c r="Y995" i="4"/>
  <c r="R995" i="4"/>
  <c r="H995" i="4"/>
  <c r="E995" i="4"/>
  <c r="R994" i="4"/>
  <c r="O994" i="4"/>
  <c r="H994" i="4"/>
  <c r="E994" i="4"/>
  <c r="Y993" i="4"/>
  <c r="R993" i="4"/>
  <c r="H993" i="4"/>
  <c r="E993" i="4"/>
  <c r="H992" i="4"/>
  <c r="E992" i="4"/>
  <c r="Y991" i="4"/>
  <c r="R991" i="4"/>
  <c r="H991" i="4"/>
  <c r="E991" i="4"/>
  <c r="Y990" i="4"/>
  <c r="R990" i="4"/>
  <c r="E990" i="4"/>
  <c r="H989" i="4"/>
  <c r="E989" i="4"/>
  <c r="Z988" i="4"/>
  <c r="R988" i="4"/>
  <c r="H988" i="4"/>
  <c r="E988" i="4"/>
  <c r="H987" i="4"/>
  <c r="E987" i="4"/>
  <c r="Z986" i="4"/>
  <c r="E986" i="4"/>
  <c r="S985" i="4"/>
  <c r="E985" i="4"/>
  <c r="R984" i="4"/>
  <c r="O984" i="4"/>
  <c r="E984" i="4"/>
  <c r="H983" i="4"/>
  <c r="E983" i="4"/>
  <c r="H982" i="4"/>
  <c r="E982" i="4"/>
  <c r="R981" i="4"/>
  <c r="E981" i="4"/>
  <c r="H980" i="4"/>
  <c r="E980" i="4"/>
  <c r="Z979" i="4"/>
  <c r="R979" i="4"/>
  <c r="H979" i="4"/>
  <c r="E979" i="4"/>
  <c r="V978" i="4"/>
  <c r="R978" i="4"/>
  <c r="E978" i="4"/>
  <c r="M977" i="4"/>
  <c r="E977" i="4"/>
  <c r="H976" i="4"/>
  <c r="E976" i="4"/>
  <c r="M975" i="4"/>
  <c r="H975" i="4"/>
  <c r="E975" i="4"/>
  <c r="H974" i="4"/>
  <c r="E974" i="4"/>
  <c r="Z973" i="4"/>
  <c r="S973" i="4"/>
  <c r="E973" i="4"/>
  <c r="Y972" i="4"/>
  <c r="R972" i="4"/>
  <c r="H972" i="4"/>
  <c r="E972" i="4"/>
  <c r="R971" i="4"/>
  <c r="O971" i="4"/>
  <c r="H971" i="4"/>
  <c r="E971" i="4"/>
  <c r="Z970" i="4"/>
  <c r="S970" i="4"/>
  <c r="E970" i="4"/>
  <c r="Z969" i="4"/>
  <c r="R969" i="4"/>
  <c r="H969" i="4"/>
  <c r="E969" i="4"/>
  <c r="H968" i="4"/>
  <c r="E968" i="4"/>
  <c r="Z967" i="4"/>
  <c r="R967" i="4"/>
  <c r="H967" i="4"/>
  <c r="E967" i="4"/>
  <c r="H966" i="4"/>
  <c r="E966" i="4"/>
  <c r="S965" i="4"/>
  <c r="H965" i="4"/>
  <c r="E965" i="4"/>
  <c r="H964" i="4"/>
  <c r="E964" i="4"/>
  <c r="R963" i="4"/>
  <c r="H963" i="4"/>
  <c r="E963" i="4"/>
  <c r="H962" i="4"/>
  <c r="E962" i="4"/>
  <c r="O961" i="4"/>
  <c r="H961" i="4"/>
  <c r="E961" i="4"/>
  <c r="Z960" i="4"/>
  <c r="S960" i="4"/>
  <c r="E960" i="4"/>
  <c r="Z959" i="4"/>
  <c r="O959" i="4"/>
  <c r="H959" i="4"/>
  <c r="E959" i="4"/>
  <c r="M958" i="4"/>
  <c r="E958" i="4"/>
  <c r="S957" i="4"/>
  <c r="E957" i="4"/>
  <c r="Z956" i="4"/>
  <c r="I956" i="4"/>
  <c r="H956" i="4"/>
  <c r="E956" i="4"/>
  <c r="H955" i="4"/>
  <c r="E955" i="4"/>
  <c r="R954" i="4"/>
  <c r="H954" i="4"/>
  <c r="E954" i="4"/>
  <c r="U953" i="4"/>
  <c r="R953" i="4"/>
  <c r="H953" i="4"/>
  <c r="E953" i="4"/>
  <c r="R952" i="4"/>
  <c r="H952" i="4"/>
  <c r="E952" i="4"/>
  <c r="Z951" i="4"/>
  <c r="E951" i="4"/>
  <c r="Z950" i="4"/>
  <c r="R950" i="4"/>
  <c r="H950" i="4"/>
  <c r="E950" i="4"/>
  <c r="H949" i="4"/>
  <c r="E949" i="4"/>
  <c r="I948" i="4"/>
  <c r="H948" i="4"/>
  <c r="E948" i="4"/>
  <c r="Z947" i="4"/>
  <c r="R947" i="4"/>
  <c r="H947" i="4"/>
  <c r="E947" i="4"/>
  <c r="Y946" i="4"/>
  <c r="R946" i="4"/>
  <c r="H946" i="4"/>
  <c r="E946" i="4"/>
  <c r="R945" i="4"/>
  <c r="H945" i="4"/>
  <c r="E945" i="4"/>
  <c r="J944" i="4"/>
  <c r="I944" i="4"/>
  <c r="H944" i="4"/>
  <c r="E944" i="4"/>
  <c r="Z943" i="4"/>
  <c r="S943" i="4"/>
  <c r="E943" i="4"/>
  <c r="S942" i="4"/>
  <c r="E942" i="4"/>
  <c r="H941" i="4"/>
  <c r="E941" i="4"/>
  <c r="S940" i="4"/>
  <c r="E940" i="4"/>
  <c r="Z939" i="4"/>
  <c r="S939" i="4"/>
  <c r="E939" i="4"/>
  <c r="Z938" i="4"/>
  <c r="I938" i="4"/>
  <c r="E938" i="4"/>
  <c r="O937" i="4"/>
  <c r="E937" i="4"/>
  <c r="Z936" i="4"/>
  <c r="E936" i="4"/>
  <c r="Z935" i="4"/>
  <c r="E935" i="4"/>
  <c r="R934" i="4"/>
  <c r="H934" i="4"/>
  <c r="E934" i="4"/>
  <c r="Y933" i="4"/>
  <c r="R933" i="4"/>
  <c r="H933" i="4"/>
  <c r="E933" i="4"/>
  <c r="H932" i="4"/>
  <c r="E932" i="4"/>
  <c r="H931" i="4"/>
  <c r="E931" i="4"/>
  <c r="S930" i="4"/>
  <c r="H930" i="4"/>
  <c r="E930" i="4"/>
  <c r="I929" i="4"/>
  <c r="H929" i="4"/>
  <c r="E929" i="4"/>
  <c r="H928" i="4"/>
  <c r="E928" i="4"/>
  <c r="Y927" i="4"/>
  <c r="R927" i="4"/>
  <c r="H927" i="4"/>
  <c r="E927" i="4"/>
  <c r="Z926" i="4"/>
  <c r="H926" i="4"/>
  <c r="E926" i="4"/>
  <c r="S925" i="4"/>
  <c r="I925" i="4"/>
  <c r="H925" i="4"/>
  <c r="E925" i="4"/>
  <c r="M924" i="4"/>
  <c r="E924" i="4"/>
  <c r="H923" i="4"/>
  <c r="E923" i="4"/>
  <c r="M922" i="4"/>
  <c r="E922" i="4"/>
  <c r="Z921" i="4"/>
  <c r="S921" i="4"/>
  <c r="E921" i="4"/>
  <c r="H920" i="4"/>
  <c r="E920" i="4"/>
  <c r="Z919" i="4"/>
  <c r="E919" i="4"/>
  <c r="S918" i="4"/>
  <c r="I918" i="4"/>
  <c r="H918" i="4"/>
  <c r="E918" i="4"/>
  <c r="Z917" i="4"/>
  <c r="E917" i="4"/>
  <c r="S916" i="4"/>
  <c r="E916" i="4"/>
  <c r="Z915" i="4"/>
  <c r="J915" i="4"/>
  <c r="I915" i="4"/>
  <c r="H915" i="4"/>
  <c r="E915" i="4"/>
  <c r="S914" i="4"/>
  <c r="H914" i="4"/>
  <c r="E914" i="4"/>
  <c r="Z913" i="4"/>
  <c r="X913" i="4"/>
  <c r="I913" i="4"/>
  <c r="E913" i="4"/>
  <c r="R912" i="4"/>
  <c r="O912" i="4"/>
  <c r="H912" i="4"/>
  <c r="E912" i="4"/>
  <c r="Z911" i="4"/>
  <c r="E911" i="4"/>
  <c r="H910" i="4"/>
  <c r="E910" i="4"/>
  <c r="Z909" i="4"/>
  <c r="H909" i="4"/>
  <c r="E909" i="4"/>
  <c r="Z908" i="4"/>
  <c r="S908" i="4"/>
  <c r="E908" i="4"/>
  <c r="S907" i="4"/>
  <c r="H907" i="4"/>
  <c r="E907" i="4"/>
  <c r="Z906" i="4"/>
  <c r="S906" i="4"/>
  <c r="E906" i="4"/>
  <c r="Q905" i="4"/>
  <c r="H905" i="4"/>
  <c r="E905" i="4"/>
  <c r="H904" i="4"/>
  <c r="E904" i="4"/>
  <c r="Z903" i="4"/>
  <c r="I903" i="4"/>
  <c r="E903" i="4"/>
  <c r="Z902" i="4"/>
  <c r="J902" i="4"/>
  <c r="I902" i="4"/>
  <c r="H902" i="4"/>
  <c r="E902" i="4"/>
  <c r="O901" i="4"/>
  <c r="E901" i="4"/>
  <c r="Z900" i="4"/>
  <c r="S900" i="4"/>
  <c r="I900" i="4"/>
  <c r="E900" i="4"/>
  <c r="H899" i="4"/>
  <c r="E899" i="4"/>
  <c r="H898" i="4"/>
  <c r="E898" i="4"/>
  <c r="H897" i="4"/>
  <c r="E897" i="4"/>
  <c r="V896" i="4"/>
  <c r="J896" i="4"/>
  <c r="I896" i="4"/>
  <c r="E896" i="4"/>
  <c r="J895" i="4"/>
  <c r="I895" i="4"/>
  <c r="H895" i="4"/>
  <c r="E895" i="4"/>
  <c r="Z894" i="4"/>
  <c r="I894" i="4"/>
  <c r="E894" i="4"/>
  <c r="Z893" i="4"/>
  <c r="S893" i="4"/>
  <c r="E893" i="4"/>
  <c r="Z892" i="4"/>
  <c r="S892" i="4"/>
  <c r="E892" i="4"/>
  <c r="H891" i="4"/>
  <c r="E891" i="4"/>
  <c r="M890" i="4"/>
  <c r="E890" i="4"/>
  <c r="J889" i="4"/>
  <c r="I889" i="4"/>
  <c r="H889" i="4"/>
  <c r="E889" i="4"/>
  <c r="H888" i="4"/>
  <c r="E888" i="4"/>
  <c r="H887" i="4"/>
  <c r="E887" i="4"/>
  <c r="H886" i="4"/>
  <c r="E886" i="4"/>
  <c r="H885" i="4"/>
  <c r="E885" i="4"/>
  <c r="R884" i="4"/>
  <c r="O884" i="4"/>
  <c r="H884" i="4"/>
  <c r="E884" i="4"/>
  <c r="J883" i="4"/>
  <c r="I883" i="4"/>
  <c r="H883" i="4"/>
  <c r="E883" i="4"/>
  <c r="J882" i="4"/>
  <c r="I882" i="4"/>
  <c r="H882" i="4"/>
  <c r="E882" i="4"/>
  <c r="Y881" i="4"/>
  <c r="R881" i="4"/>
  <c r="H881" i="4"/>
  <c r="E881" i="4"/>
  <c r="Z880" i="4"/>
  <c r="S880" i="4"/>
  <c r="E880" i="4"/>
  <c r="H879" i="4"/>
  <c r="E879" i="4"/>
  <c r="Y878" i="4"/>
  <c r="E878" i="4"/>
  <c r="H877" i="4"/>
  <c r="E877" i="4"/>
  <c r="Z876" i="4"/>
  <c r="S876" i="4"/>
  <c r="I876" i="4"/>
  <c r="E876" i="4"/>
  <c r="Z875" i="4"/>
  <c r="E875" i="4"/>
  <c r="I874" i="4"/>
  <c r="H874" i="4"/>
  <c r="E874" i="4"/>
  <c r="M873" i="4"/>
  <c r="H873" i="4"/>
  <c r="E873" i="4"/>
  <c r="Z872" i="4"/>
  <c r="S872" i="4"/>
  <c r="E872" i="4"/>
  <c r="Y871" i="4"/>
  <c r="R871" i="4"/>
  <c r="H871" i="4"/>
  <c r="E871" i="4"/>
  <c r="H870" i="4"/>
  <c r="E870" i="4"/>
  <c r="Z869" i="4"/>
  <c r="S869" i="4"/>
  <c r="E869" i="4"/>
  <c r="Z868" i="4"/>
  <c r="S868" i="4"/>
  <c r="E868" i="4"/>
  <c r="Z867" i="4"/>
  <c r="R867" i="4"/>
  <c r="H867" i="4"/>
  <c r="E867" i="4"/>
  <c r="H866" i="4"/>
  <c r="E866" i="4"/>
  <c r="H865" i="4"/>
  <c r="E865" i="4"/>
  <c r="Z864" i="4"/>
  <c r="Y864" i="4"/>
  <c r="R864" i="4"/>
  <c r="E864" i="4"/>
  <c r="H863" i="4"/>
  <c r="E863" i="4"/>
  <c r="H862" i="4"/>
  <c r="E862" i="4"/>
  <c r="Z861" i="4"/>
  <c r="E861" i="4"/>
  <c r="U860" i="4"/>
  <c r="E860" i="4"/>
  <c r="R859" i="4"/>
  <c r="O859" i="4"/>
  <c r="H859" i="4"/>
  <c r="E859" i="4"/>
  <c r="M858" i="4"/>
  <c r="E858" i="4"/>
  <c r="M857" i="4"/>
  <c r="E857" i="4"/>
  <c r="S856" i="4"/>
  <c r="J856" i="4"/>
  <c r="I856" i="4"/>
  <c r="H856" i="4"/>
  <c r="E856" i="4"/>
  <c r="Z855" i="4"/>
  <c r="S855" i="4"/>
  <c r="E855" i="4"/>
  <c r="S854" i="4"/>
  <c r="E854" i="4"/>
  <c r="X853" i="4"/>
  <c r="H853" i="4"/>
  <c r="E853" i="4"/>
  <c r="R852" i="4"/>
  <c r="H852" i="4"/>
  <c r="E852" i="4"/>
  <c r="H851" i="4"/>
  <c r="E851" i="4"/>
  <c r="H850" i="4"/>
  <c r="E850" i="4"/>
  <c r="H849" i="4"/>
  <c r="E849" i="4"/>
  <c r="M848" i="4"/>
  <c r="E848" i="4"/>
  <c r="T847" i="4"/>
  <c r="S847" i="4"/>
  <c r="H847" i="4"/>
  <c r="E847" i="4"/>
  <c r="H846" i="4"/>
  <c r="E846" i="4"/>
  <c r="H845" i="4"/>
  <c r="E845" i="4"/>
  <c r="H844" i="4"/>
  <c r="E844" i="4"/>
  <c r="V843" i="4"/>
  <c r="H843" i="4"/>
  <c r="E843" i="4"/>
  <c r="Z842" i="4"/>
  <c r="I842" i="4"/>
  <c r="E842" i="4"/>
  <c r="H841" i="4"/>
  <c r="E841" i="4"/>
  <c r="H840" i="4"/>
  <c r="E840" i="4"/>
  <c r="H839" i="4"/>
  <c r="E839" i="4"/>
  <c r="M838" i="4"/>
  <c r="H838" i="4"/>
  <c r="E838" i="4"/>
  <c r="S837" i="4"/>
  <c r="H837" i="4"/>
  <c r="E837" i="4"/>
  <c r="Z836" i="4"/>
  <c r="S836" i="4"/>
  <c r="H836" i="4"/>
  <c r="E836" i="4"/>
  <c r="J835" i="4"/>
  <c r="I835" i="4"/>
  <c r="H835" i="4"/>
  <c r="E835" i="4"/>
  <c r="Z834" i="4"/>
  <c r="R834" i="4"/>
  <c r="O834" i="4"/>
  <c r="H834" i="4"/>
  <c r="E834" i="4"/>
  <c r="M833" i="4"/>
  <c r="H833" i="4"/>
  <c r="E833" i="4"/>
  <c r="H832" i="4"/>
  <c r="E832" i="4"/>
  <c r="H831" i="4"/>
  <c r="E831" i="4"/>
  <c r="Z830" i="4"/>
  <c r="E830" i="4"/>
  <c r="Z829" i="4"/>
  <c r="S829" i="4"/>
  <c r="E829" i="4"/>
  <c r="I828" i="4"/>
  <c r="H828" i="4"/>
  <c r="E828" i="4"/>
  <c r="M827" i="4"/>
  <c r="H827" i="4"/>
  <c r="E827" i="4"/>
  <c r="J826" i="4"/>
  <c r="I826" i="4"/>
  <c r="H826" i="4"/>
  <c r="E826" i="4"/>
  <c r="Y825" i="4"/>
  <c r="R825" i="4"/>
  <c r="H825" i="4"/>
  <c r="E825" i="4"/>
  <c r="U824" i="4"/>
  <c r="R824" i="4"/>
  <c r="O824" i="4"/>
  <c r="H824" i="4"/>
  <c r="E824" i="4"/>
  <c r="M823" i="4"/>
  <c r="E823" i="4"/>
  <c r="S822" i="4"/>
  <c r="E822" i="4"/>
  <c r="U821" i="4"/>
  <c r="R821" i="4"/>
  <c r="N821" i="4"/>
  <c r="E821" i="4"/>
  <c r="H820" i="4"/>
  <c r="E820" i="4"/>
  <c r="I819" i="4"/>
  <c r="H819" i="4"/>
  <c r="E819" i="4"/>
  <c r="V818" i="4"/>
  <c r="M818" i="4"/>
  <c r="H818" i="4"/>
  <c r="E818" i="4"/>
  <c r="V817" i="4"/>
  <c r="R817" i="4"/>
  <c r="H817" i="4"/>
  <c r="E817" i="4"/>
  <c r="J816" i="4"/>
  <c r="I816" i="4"/>
  <c r="H816" i="4"/>
  <c r="E816" i="4"/>
  <c r="H815" i="4"/>
  <c r="E815" i="4"/>
  <c r="T814" i="4"/>
  <c r="S814" i="4"/>
  <c r="H814" i="4"/>
  <c r="E814" i="4"/>
  <c r="Z813" i="4"/>
  <c r="S813" i="4"/>
  <c r="H813" i="4"/>
  <c r="E813" i="4"/>
  <c r="H812" i="4"/>
  <c r="E812" i="4"/>
  <c r="H811" i="4"/>
  <c r="E811" i="4"/>
  <c r="Z810" i="4"/>
  <c r="I810" i="4"/>
  <c r="E810" i="4"/>
  <c r="Z809" i="4"/>
  <c r="S809" i="4"/>
  <c r="I809" i="4"/>
  <c r="H809" i="4"/>
  <c r="E809" i="4"/>
  <c r="H808" i="4"/>
  <c r="E808" i="4"/>
  <c r="R807" i="4"/>
  <c r="H807" i="4"/>
  <c r="E807" i="4"/>
  <c r="I806" i="4"/>
  <c r="E806" i="4"/>
  <c r="H805" i="4"/>
  <c r="E805" i="4"/>
  <c r="H804" i="4"/>
  <c r="E804" i="4"/>
  <c r="S803" i="4"/>
  <c r="H803" i="4"/>
  <c r="E803" i="4"/>
  <c r="S802" i="4"/>
  <c r="I802" i="4"/>
  <c r="E802" i="4"/>
  <c r="H801" i="4"/>
  <c r="E801" i="4"/>
  <c r="H800" i="4"/>
  <c r="E800" i="4"/>
  <c r="T799" i="4"/>
  <c r="H799" i="4"/>
  <c r="E799" i="4"/>
  <c r="J798" i="4"/>
  <c r="I798" i="4"/>
  <c r="H798" i="4"/>
  <c r="E798" i="4"/>
  <c r="S797" i="4"/>
  <c r="J797" i="4"/>
  <c r="I797" i="4"/>
  <c r="H797" i="4"/>
  <c r="E797" i="4"/>
  <c r="J796" i="4"/>
  <c r="H796" i="4"/>
  <c r="E796" i="4"/>
  <c r="H795" i="4"/>
  <c r="E795" i="4"/>
  <c r="H794" i="4"/>
  <c r="E794" i="4"/>
  <c r="S793" i="4"/>
  <c r="E793" i="4"/>
  <c r="U792" i="4"/>
  <c r="H792" i="4"/>
  <c r="E792" i="4"/>
  <c r="Z791" i="4"/>
  <c r="E791" i="4"/>
  <c r="H790" i="4"/>
  <c r="E790" i="4"/>
  <c r="X789" i="4"/>
  <c r="S789" i="4"/>
  <c r="H789" i="4"/>
  <c r="E789" i="4"/>
  <c r="Y788" i="4"/>
  <c r="E788" i="4"/>
  <c r="X787" i="4"/>
  <c r="H787" i="4"/>
  <c r="E787" i="4"/>
  <c r="S786" i="4"/>
  <c r="E786" i="4"/>
  <c r="H785" i="4"/>
  <c r="E785" i="4"/>
  <c r="M784" i="4"/>
  <c r="H784" i="4"/>
  <c r="E784" i="4"/>
  <c r="X783" i="4"/>
  <c r="S783" i="4"/>
  <c r="I783" i="4"/>
  <c r="H783" i="4"/>
  <c r="E783" i="4"/>
  <c r="H782" i="4"/>
  <c r="E782" i="4"/>
  <c r="T781" i="4"/>
  <c r="S781" i="4"/>
  <c r="J781" i="4"/>
  <c r="I781" i="4"/>
  <c r="H781" i="4"/>
  <c r="E781" i="4"/>
  <c r="H780" i="4"/>
  <c r="E780" i="4"/>
  <c r="H779" i="4"/>
  <c r="E779" i="4"/>
  <c r="H778" i="4"/>
  <c r="E778" i="4"/>
  <c r="Z777" i="4"/>
  <c r="S777" i="4"/>
  <c r="I777" i="4"/>
  <c r="H777" i="4"/>
  <c r="E777" i="4"/>
  <c r="H776" i="4"/>
  <c r="E776" i="4"/>
  <c r="H775" i="4"/>
  <c r="E775" i="4"/>
  <c r="H774" i="4"/>
  <c r="E774" i="4"/>
  <c r="U773" i="4"/>
  <c r="P773" i="4"/>
  <c r="H773" i="4"/>
  <c r="E773" i="4"/>
  <c r="Z772" i="4"/>
  <c r="S772" i="4"/>
  <c r="J772" i="4"/>
  <c r="I772" i="4"/>
  <c r="E772" i="4"/>
  <c r="S771" i="4"/>
  <c r="H771" i="4"/>
  <c r="E771" i="4"/>
  <c r="H770" i="4"/>
  <c r="E770" i="4"/>
  <c r="H769" i="4"/>
  <c r="E769" i="4"/>
  <c r="U768" i="4"/>
  <c r="H768" i="4"/>
  <c r="E768" i="4"/>
  <c r="H767" i="4"/>
  <c r="E767" i="4"/>
  <c r="H766" i="4"/>
  <c r="E766" i="4"/>
  <c r="H765" i="4"/>
  <c r="E765" i="4"/>
  <c r="H764" i="4"/>
  <c r="E764" i="4"/>
  <c r="V763" i="4"/>
  <c r="H763" i="4"/>
  <c r="E763" i="4"/>
  <c r="T762" i="4"/>
  <c r="S762" i="4"/>
  <c r="J762" i="4"/>
  <c r="I762" i="4"/>
  <c r="H762" i="4"/>
  <c r="E762" i="4"/>
  <c r="J761" i="4"/>
  <c r="I761" i="4"/>
  <c r="H761" i="4"/>
  <c r="E761" i="4"/>
  <c r="U760" i="4"/>
  <c r="E760" i="4"/>
  <c r="Q759" i="4"/>
  <c r="H759" i="4"/>
  <c r="E759" i="4"/>
  <c r="H758" i="4"/>
  <c r="E758" i="4"/>
  <c r="H757" i="4"/>
  <c r="E757" i="4"/>
  <c r="S756" i="4"/>
  <c r="J756" i="4"/>
  <c r="I756" i="4"/>
  <c r="H756" i="4"/>
  <c r="E756" i="4"/>
  <c r="S755" i="4"/>
  <c r="J755" i="4"/>
  <c r="I755" i="4"/>
  <c r="H755" i="4"/>
  <c r="E755" i="4"/>
  <c r="R754" i="4"/>
  <c r="H754" i="4"/>
  <c r="E754" i="4"/>
  <c r="U753" i="4"/>
  <c r="E753" i="4"/>
  <c r="H752" i="4"/>
  <c r="E752" i="4"/>
  <c r="H751" i="4"/>
  <c r="E751" i="4"/>
  <c r="W750" i="4"/>
  <c r="H750" i="4"/>
  <c r="E750" i="4"/>
  <c r="J749" i="4"/>
  <c r="I749" i="4"/>
  <c r="H749" i="4"/>
  <c r="E749" i="4"/>
  <c r="T748" i="4"/>
  <c r="S748" i="4"/>
  <c r="J748" i="4"/>
  <c r="I748" i="4"/>
  <c r="H748" i="4"/>
  <c r="E748" i="4"/>
  <c r="U747" i="4"/>
  <c r="E747" i="4"/>
  <c r="Z746" i="4"/>
  <c r="T746" i="4"/>
  <c r="S746" i="4"/>
  <c r="J746" i="4"/>
  <c r="I746" i="4"/>
  <c r="H746" i="4"/>
  <c r="E746" i="4"/>
  <c r="S745" i="4"/>
  <c r="H745" i="4"/>
  <c r="E745" i="4"/>
  <c r="H744" i="4"/>
  <c r="E744" i="4"/>
  <c r="X743" i="4"/>
  <c r="H743" i="4"/>
  <c r="E743" i="4"/>
  <c r="R742" i="4"/>
  <c r="H742" i="4"/>
  <c r="E742" i="4"/>
  <c r="U741" i="4"/>
  <c r="E741" i="4"/>
  <c r="X740" i="4"/>
  <c r="S740" i="4"/>
  <c r="J740" i="4"/>
  <c r="I740" i="4"/>
  <c r="H740" i="4"/>
  <c r="E740" i="4"/>
  <c r="X739" i="4"/>
  <c r="T739" i="4"/>
  <c r="S739" i="4"/>
  <c r="J739" i="4"/>
  <c r="I739" i="4"/>
  <c r="E739" i="4"/>
  <c r="Q738" i="4"/>
  <c r="H738" i="4"/>
  <c r="E738" i="4"/>
  <c r="H737" i="4"/>
  <c r="E737" i="4"/>
  <c r="U736" i="4"/>
  <c r="R736" i="4"/>
  <c r="E736" i="4"/>
  <c r="H735" i="4"/>
  <c r="E735" i="4"/>
  <c r="S734" i="4"/>
  <c r="I734" i="4"/>
  <c r="H734" i="4"/>
  <c r="E734" i="4"/>
  <c r="M733" i="4"/>
  <c r="H733" i="4"/>
  <c r="E733" i="4"/>
  <c r="T732" i="4"/>
  <c r="S732" i="4"/>
  <c r="H732" i="4"/>
  <c r="E732" i="4"/>
  <c r="H731" i="4"/>
  <c r="E731" i="4"/>
  <c r="Q730" i="4"/>
  <c r="H730" i="4"/>
  <c r="E730" i="4"/>
  <c r="H729" i="4"/>
  <c r="E729" i="4"/>
  <c r="H728" i="4"/>
  <c r="E728" i="4"/>
  <c r="H727" i="4"/>
  <c r="E727" i="4"/>
  <c r="Y726" i="4"/>
  <c r="R726" i="4"/>
  <c r="O726" i="4"/>
  <c r="H726" i="4"/>
  <c r="E726" i="4"/>
  <c r="Z725" i="4"/>
  <c r="I725" i="4"/>
  <c r="H725" i="4"/>
  <c r="E725" i="4"/>
  <c r="Z724" i="4"/>
  <c r="Y724" i="4"/>
  <c r="R724" i="4"/>
  <c r="H724" i="4"/>
  <c r="E724" i="4"/>
  <c r="S723" i="4"/>
  <c r="E723" i="4"/>
  <c r="Z722" i="4"/>
  <c r="S722" i="4"/>
  <c r="E722" i="4"/>
  <c r="H721" i="4"/>
  <c r="E721" i="4"/>
  <c r="U720" i="4"/>
  <c r="H720" i="4"/>
  <c r="E720" i="4"/>
  <c r="H719" i="4"/>
  <c r="E719" i="4"/>
  <c r="M718" i="4"/>
  <c r="H718" i="4"/>
  <c r="E718" i="4"/>
  <c r="S717" i="4"/>
  <c r="I717" i="4"/>
  <c r="H717" i="4"/>
  <c r="E717" i="4"/>
  <c r="L716" i="4"/>
  <c r="H716" i="4"/>
  <c r="E716" i="4"/>
  <c r="J715" i="4"/>
  <c r="H715" i="4"/>
  <c r="E715" i="4"/>
  <c r="Q714" i="4"/>
  <c r="H714" i="4"/>
  <c r="E714" i="4"/>
  <c r="Q713" i="4"/>
  <c r="H713" i="4"/>
  <c r="E713" i="4"/>
  <c r="H712" i="4"/>
  <c r="E712" i="4"/>
  <c r="U711" i="4"/>
  <c r="H711" i="4"/>
  <c r="E711" i="4"/>
  <c r="Z710" i="4"/>
  <c r="Y710" i="4"/>
  <c r="R710" i="4"/>
  <c r="H710" i="4"/>
  <c r="E710" i="4"/>
  <c r="V709" i="4"/>
  <c r="U709" i="4"/>
  <c r="H709" i="4"/>
  <c r="E709" i="4"/>
  <c r="V708" i="4"/>
  <c r="E708" i="4"/>
  <c r="H707" i="4"/>
  <c r="E707" i="4"/>
  <c r="H706" i="4"/>
  <c r="E706" i="4"/>
  <c r="H705" i="4"/>
  <c r="E705" i="4"/>
  <c r="I704" i="4"/>
  <c r="H704" i="4"/>
  <c r="E704" i="4"/>
  <c r="M703" i="4"/>
  <c r="H703" i="4"/>
  <c r="E703" i="4"/>
  <c r="X702" i="4"/>
  <c r="E702" i="4"/>
  <c r="Y701" i="4"/>
  <c r="R701" i="4"/>
  <c r="E701" i="4"/>
  <c r="L700" i="4"/>
  <c r="H700" i="4"/>
  <c r="E700" i="4"/>
  <c r="AA699" i="4"/>
  <c r="Z699" i="4"/>
  <c r="R699" i="4"/>
  <c r="E699" i="4"/>
  <c r="S698" i="4"/>
  <c r="E698" i="4"/>
  <c r="H697" i="4"/>
  <c r="E697" i="4"/>
  <c r="M696" i="4"/>
  <c r="H696" i="4"/>
  <c r="E696" i="4"/>
  <c r="H695" i="4"/>
  <c r="E695" i="4"/>
  <c r="AA694" i="4"/>
  <c r="Z694" i="4"/>
  <c r="I694" i="4"/>
  <c r="H694" i="4"/>
  <c r="E694" i="4"/>
  <c r="T693" i="4"/>
  <c r="S693" i="4"/>
  <c r="I693" i="4"/>
  <c r="H693" i="4"/>
  <c r="E693" i="4"/>
  <c r="Z692" i="4"/>
  <c r="Y692" i="4"/>
  <c r="R692" i="4"/>
  <c r="H692" i="4"/>
  <c r="E692" i="4"/>
  <c r="H691" i="4"/>
  <c r="E691" i="4"/>
  <c r="AA690" i="4"/>
  <c r="Z690" i="4"/>
  <c r="I690" i="4"/>
  <c r="H690" i="4"/>
  <c r="E690" i="4"/>
  <c r="AA689" i="4"/>
  <c r="Z689" i="4"/>
  <c r="S689" i="4"/>
  <c r="J689" i="4"/>
  <c r="I689" i="4"/>
  <c r="H689" i="4"/>
  <c r="E689" i="4"/>
  <c r="R688" i="4"/>
  <c r="H688" i="4"/>
  <c r="E688" i="4"/>
  <c r="H687" i="4"/>
  <c r="E687" i="4"/>
  <c r="T686" i="4"/>
  <c r="S686" i="4"/>
  <c r="I686" i="4"/>
  <c r="H686" i="4"/>
  <c r="E686" i="4"/>
  <c r="R685" i="4"/>
  <c r="O685" i="4"/>
  <c r="N685" i="4"/>
  <c r="H685" i="4"/>
  <c r="E685" i="4"/>
  <c r="T684" i="4"/>
  <c r="S684" i="4"/>
  <c r="I684" i="4"/>
  <c r="H684" i="4"/>
  <c r="E684" i="4"/>
  <c r="H683" i="4"/>
  <c r="E683" i="4"/>
  <c r="Y682" i="4"/>
  <c r="R682" i="4"/>
  <c r="O682" i="4"/>
  <c r="N682" i="4"/>
  <c r="H682" i="4"/>
  <c r="E682" i="4"/>
  <c r="H681" i="4"/>
  <c r="E681" i="4"/>
  <c r="H680" i="4"/>
  <c r="E680" i="4"/>
  <c r="L679" i="4"/>
  <c r="H679" i="4"/>
  <c r="E679" i="4"/>
  <c r="Z678" i="4"/>
  <c r="J678" i="4"/>
  <c r="I678" i="4"/>
  <c r="H678" i="4"/>
  <c r="E678" i="4"/>
  <c r="H677" i="4"/>
  <c r="E677" i="4"/>
  <c r="O676" i="4"/>
  <c r="H676" i="4"/>
  <c r="E676" i="4"/>
  <c r="U675" i="4"/>
  <c r="M675" i="4"/>
  <c r="H675" i="4"/>
  <c r="E675" i="4"/>
  <c r="H674" i="4"/>
  <c r="E674" i="4"/>
  <c r="P673" i="4"/>
  <c r="H673" i="4"/>
  <c r="E673" i="4"/>
  <c r="AA672" i="4"/>
  <c r="Z672" i="4"/>
  <c r="T672" i="4"/>
  <c r="S672" i="4"/>
  <c r="H672" i="4"/>
  <c r="E672" i="4"/>
  <c r="H671" i="4"/>
  <c r="E671" i="4"/>
  <c r="S670" i="4"/>
  <c r="J670" i="4"/>
  <c r="I670" i="4"/>
  <c r="H670" i="4"/>
  <c r="E670" i="4"/>
  <c r="H669" i="4"/>
  <c r="E669" i="4"/>
  <c r="P668" i="4"/>
  <c r="H668" i="4"/>
  <c r="E668" i="4"/>
  <c r="H667" i="4"/>
  <c r="E667" i="4"/>
  <c r="T666" i="4"/>
  <c r="S666" i="4"/>
  <c r="J666" i="4"/>
  <c r="I666" i="4"/>
  <c r="H666" i="4"/>
  <c r="E666" i="4"/>
  <c r="H665" i="4"/>
  <c r="E665" i="4"/>
  <c r="H664" i="4"/>
  <c r="E664" i="4"/>
  <c r="L663" i="4"/>
  <c r="H663" i="4"/>
  <c r="E663" i="4"/>
  <c r="H662" i="4"/>
  <c r="E662" i="4"/>
  <c r="X661" i="4"/>
  <c r="T661" i="4"/>
  <c r="S661" i="4"/>
  <c r="J661" i="4"/>
  <c r="I661" i="4"/>
  <c r="H661" i="4"/>
  <c r="E661" i="4"/>
  <c r="AA660" i="4"/>
  <c r="Z660" i="4"/>
  <c r="H660" i="4"/>
  <c r="E660" i="4"/>
  <c r="V659" i="4"/>
  <c r="E659" i="4"/>
  <c r="AA658" i="4"/>
  <c r="Z658" i="4"/>
  <c r="S658" i="4"/>
  <c r="J658" i="4"/>
  <c r="I658" i="4"/>
  <c r="E658" i="4"/>
  <c r="AA657" i="4"/>
  <c r="Z657" i="4"/>
  <c r="R657" i="4"/>
  <c r="H657" i="4"/>
  <c r="E657" i="4"/>
  <c r="H656" i="4"/>
  <c r="E656" i="4"/>
  <c r="M655" i="4"/>
  <c r="H655" i="4"/>
  <c r="E655" i="4"/>
  <c r="S654" i="4"/>
  <c r="J654" i="4"/>
  <c r="I654" i="4"/>
  <c r="H654" i="4"/>
  <c r="E654" i="4"/>
  <c r="Y653" i="4"/>
  <c r="R653" i="4"/>
  <c r="H653" i="4"/>
  <c r="E653" i="4"/>
  <c r="T652" i="4"/>
  <c r="S652" i="4"/>
  <c r="H652" i="4"/>
  <c r="E652" i="4"/>
  <c r="Y651" i="4"/>
  <c r="H651" i="4"/>
  <c r="E651" i="4"/>
  <c r="AA650" i="4"/>
  <c r="Z650" i="4"/>
  <c r="T650" i="4"/>
  <c r="S650" i="4"/>
  <c r="E650" i="4"/>
  <c r="H649" i="4"/>
  <c r="E649" i="4"/>
  <c r="J648" i="4"/>
  <c r="I648" i="4"/>
  <c r="H648" i="4"/>
  <c r="E648" i="4"/>
  <c r="T647" i="4"/>
  <c r="H647" i="4"/>
  <c r="E647" i="4"/>
  <c r="H646" i="4"/>
  <c r="E646" i="4"/>
  <c r="X645" i="4"/>
  <c r="H645" i="4"/>
  <c r="E645" i="4"/>
  <c r="Z644" i="4"/>
  <c r="Y644" i="4"/>
  <c r="R644" i="4"/>
  <c r="H644" i="4"/>
  <c r="E644" i="4"/>
  <c r="Q643" i="4"/>
  <c r="H643" i="4"/>
  <c r="E643" i="4"/>
  <c r="S642" i="4"/>
  <c r="E642" i="4"/>
  <c r="AA641" i="4"/>
  <c r="Z641" i="4"/>
  <c r="R641" i="4"/>
  <c r="H641" i="4"/>
  <c r="E641" i="4"/>
  <c r="T640" i="4"/>
  <c r="S640" i="4"/>
  <c r="J640" i="4"/>
  <c r="I640" i="4"/>
  <c r="H640" i="4"/>
  <c r="E640" i="4"/>
  <c r="H639" i="4"/>
  <c r="E639" i="4"/>
  <c r="AA638" i="4"/>
  <c r="Z638" i="4"/>
  <c r="T638" i="4"/>
  <c r="S638" i="4"/>
  <c r="H638" i="4"/>
  <c r="E638" i="4"/>
  <c r="U637" i="4"/>
  <c r="H637" i="4"/>
  <c r="E637" i="4"/>
  <c r="W636" i="4"/>
  <c r="Q636" i="4"/>
  <c r="L636" i="4"/>
  <c r="H636" i="4"/>
  <c r="E636" i="4"/>
  <c r="AA635" i="4"/>
  <c r="Z635" i="4"/>
  <c r="S635" i="4"/>
  <c r="H635" i="4"/>
  <c r="E635" i="4"/>
  <c r="U634" i="4"/>
  <c r="H634" i="4"/>
  <c r="E634" i="4"/>
  <c r="Z633" i="4"/>
  <c r="Y633" i="4"/>
  <c r="R633" i="4"/>
  <c r="H633" i="4"/>
  <c r="E633" i="4"/>
  <c r="H632" i="4"/>
  <c r="E632" i="4"/>
  <c r="AA631" i="4"/>
  <c r="Z631" i="4"/>
  <c r="R631" i="4"/>
  <c r="H631" i="4"/>
  <c r="E631" i="4"/>
  <c r="V630" i="4"/>
  <c r="R630" i="4"/>
  <c r="N630" i="4"/>
  <c r="H630" i="4"/>
  <c r="E630" i="4"/>
  <c r="H629" i="4"/>
  <c r="E629" i="4"/>
  <c r="P628" i="4"/>
  <c r="H628" i="4"/>
  <c r="E628" i="4"/>
  <c r="Y627" i="4"/>
  <c r="R627" i="4"/>
  <c r="O627" i="4"/>
  <c r="E627" i="4"/>
  <c r="X626" i="4"/>
  <c r="U626" i="4"/>
  <c r="P626" i="4"/>
  <c r="H626" i="4"/>
  <c r="E626" i="4"/>
  <c r="U625" i="4"/>
  <c r="H625" i="4"/>
  <c r="E625" i="4"/>
  <c r="W624" i="4"/>
  <c r="L624" i="4"/>
  <c r="H624" i="4"/>
  <c r="E624" i="4"/>
  <c r="AA623" i="4"/>
  <c r="Z623" i="4"/>
  <c r="S623" i="4"/>
  <c r="E623" i="4"/>
  <c r="Q622" i="4"/>
  <c r="H622" i="4"/>
  <c r="E622" i="4"/>
  <c r="T621" i="4"/>
  <c r="S621" i="4"/>
  <c r="I621" i="4"/>
  <c r="H621" i="4"/>
  <c r="E621" i="4"/>
  <c r="H620" i="4"/>
  <c r="E620" i="4"/>
  <c r="Z619" i="4"/>
  <c r="Y619" i="4"/>
  <c r="V619" i="4"/>
  <c r="H619" i="4"/>
  <c r="E619" i="4"/>
  <c r="H618" i="4"/>
  <c r="E618" i="4"/>
  <c r="H617" i="4"/>
  <c r="E617" i="4"/>
  <c r="AA616" i="4"/>
  <c r="Z616" i="4"/>
  <c r="S616" i="4"/>
  <c r="H616" i="4"/>
  <c r="E616" i="4"/>
  <c r="AA615" i="4"/>
  <c r="Z615" i="4"/>
  <c r="U615" i="4"/>
  <c r="I615" i="4"/>
  <c r="H615" i="4"/>
  <c r="E615" i="4"/>
  <c r="H614" i="4"/>
  <c r="E614" i="4"/>
  <c r="H613" i="4"/>
  <c r="E613" i="4"/>
  <c r="U612" i="4"/>
  <c r="H612" i="4"/>
  <c r="E612" i="4"/>
  <c r="L611" i="4"/>
  <c r="H611" i="4"/>
  <c r="E611" i="4"/>
  <c r="R610" i="4"/>
  <c r="O610" i="4"/>
  <c r="N610" i="4"/>
  <c r="K610" i="4"/>
  <c r="E610" i="4"/>
  <c r="J609" i="4"/>
  <c r="H609" i="4"/>
  <c r="E609" i="4"/>
  <c r="Z608" i="4"/>
  <c r="T608" i="4"/>
  <c r="S608" i="4"/>
  <c r="H608" i="4"/>
  <c r="E608" i="4"/>
  <c r="AA607" i="4"/>
  <c r="Z607" i="4"/>
  <c r="Y607" i="4"/>
  <c r="H607" i="4"/>
  <c r="E607" i="4"/>
  <c r="H606" i="4"/>
  <c r="E606" i="4"/>
  <c r="M605" i="4"/>
  <c r="H605" i="4"/>
  <c r="E605" i="4"/>
  <c r="P604" i="4"/>
  <c r="E604" i="4"/>
  <c r="H603" i="4"/>
  <c r="E603" i="4"/>
  <c r="T602" i="4"/>
  <c r="S602" i="4"/>
  <c r="J602" i="4"/>
  <c r="I602" i="4"/>
  <c r="H602" i="4"/>
  <c r="E602" i="4"/>
  <c r="AA601" i="4"/>
  <c r="Z601" i="4"/>
  <c r="S601" i="4"/>
  <c r="H601" i="4"/>
  <c r="E601" i="4"/>
  <c r="H600" i="4"/>
  <c r="E600" i="4"/>
  <c r="AA599" i="4"/>
  <c r="Z599" i="4"/>
  <c r="T599" i="4"/>
  <c r="S599" i="4"/>
  <c r="H599" i="4"/>
  <c r="E599" i="4"/>
  <c r="U598" i="4"/>
  <c r="H598" i="4"/>
  <c r="E598" i="4"/>
  <c r="H597" i="4"/>
  <c r="E597" i="4"/>
  <c r="W596" i="4"/>
  <c r="Q596" i="4"/>
  <c r="H596" i="4"/>
  <c r="E596" i="4"/>
  <c r="H595" i="4"/>
  <c r="E595" i="4"/>
  <c r="T594" i="4"/>
  <c r="S594" i="4"/>
  <c r="H594" i="4"/>
  <c r="E594" i="4"/>
  <c r="W593" i="4"/>
  <c r="H593" i="4"/>
  <c r="E593" i="4"/>
  <c r="H592" i="4"/>
  <c r="E592" i="4"/>
  <c r="H591" i="4"/>
  <c r="E591" i="4"/>
  <c r="L590" i="4"/>
  <c r="H590" i="4"/>
  <c r="E590" i="4"/>
  <c r="Z589" i="4"/>
  <c r="X589" i="4"/>
  <c r="U589" i="4"/>
  <c r="H589" i="4"/>
  <c r="E589" i="4"/>
  <c r="H588" i="4"/>
  <c r="E588" i="4"/>
  <c r="AA587" i="4"/>
  <c r="Z587" i="4"/>
  <c r="O587" i="4"/>
  <c r="H587" i="4"/>
  <c r="E587" i="4"/>
  <c r="T586" i="4"/>
  <c r="S586" i="4"/>
  <c r="I586" i="4"/>
  <c r="H586" i="4"/>
  <c r="E586" i="4"/>
  <c r="H585" i="4"/>
  <c r="E585" i="4"/>
  <c r="Y584" i="4"/>
  <c r="U584" i="4"/>
  <c r="E584" i="4"/>
  <c r="H583" i="4"/>
  <c r="E583" i="4"/>
  <c r="H582" i="4"/>
  <c r="E582" i="4"/>
  <c r="L581" i="4"/>
  <c r="H581" i="4"/>
  <c r="E581" i="4"/>
  <c r="H580" i="4"/>
  <c r="E580" i="4"/>
  <c r="N579" i="4"/>
  <c r="H579" i="4"/>
  <c r="E579" i="4"/>
  <c r="Y578" i="4"/>
  <c r="O578" i="4"/>
  <c r="H578" i="4"/>
  <c r="E578" i="4"/>
  <c r="H577" i="4"/>
  <c r="E577" i="4"/>
  <c r="Z576" i="4"/>
  <c r="H576" i="4"/>
  <c r="E576" i="4"/>
  <c r="X575" i="4"/>
  <c r="H575" i="4"/>
  <c r="E575" i="4"/>
  <c r="H574" i="4"/>
  <c r="E574" i="4"/>
  <c r="T573" i="4"/>
  <c r="S573" i="4"/>
  <c r="I573" i="4"/>
  <c r="H573" i="4"/>
  <c r="E573" i="4"/>
  <c r="H572" i="4"/>
  <c r="E572" i="4"/>
  <c r="H571" i="4"/>
  <c r="E571" i="4"/>
  <c r="H570" i="4"/>
  <c r="E570" i="4"/>
  <c r="H569" i="4"/>
  <c r="E569" i="4"/>
  <c r="X568" i="4"/>
  <c r="S568" i="4"/>
  <c r="I568" i="4"/>
  <c r="H568" i="4"/>
  <c r="E568" i="4"/>
  <c r="V567" i="4"/>
  <c r="H567" i="4"/>
  <c r="E567" i="4"/>
  <c r="H566" i="4"/>
  <c r="E566" i="4"/>
  <c r="W565" i="4"/>
  <c r="L565" i="4"/>
  <c r="H565" i="4"/>
  <c r="E565" i="4"/>
  <c r="S564" i="4"/>
  <c r="H564" i="4"/>
  <c r="E564" i="4"/>
  <c r="AA563" i="4"/>
  <c r="Z563" i="4"/>
  <c r="R563" i="4"/>
  <c r="H563" i="4"/>
  <c r="E563" i="4"/>
  <c r="AA562" i="4"/>
  <c r="Z562" i="4"/>
  <c r="E562" i="4"/>
  <c r="V561" i="4"/>
  <c r="U561" i="4"/>
  <c r="H561" i="4"/>
  <c r="E561" i="4"/>
  <c r="H560" i="4"/>
  <c r="E560" i="4"/>
  <c r="H559" i="4"/>
  <c r="E559" i="4"/>
  <c r="H558" i="4"/>
  <c r="E558" i="4"/>
  <c r="AA557" i="4"/>
  <c r="Z557" i="4"/>
  <c r="T557" i="4"/>
  <c r="S557" i="4"/>
  <c r="E557" i="4"/>
  <c r="H556" i="4"/>
  <c r="E556" i="4"/>
  <c r="K555" i="4"/>
  <c r="H555" i="4"/>
  <c r="E555" i="4"/>
  <c r="V554" i="4"/>
  <c r="E554" i="4"/>
  <c r="Z553" i="4"/>
  <c r="S553" i="4"/>
  <c r="H553" i="4"/>
  <c r="E553" i="4"/>
  <c r="H552" i="4"/>
  <c r="E552" i="4"/>
  <c r="O551" i="4"/>
  <c r="H551" i="4"/>
  <c r="E551" i="4"/>
  <c r="R550" i="4"/>
  <c r="O550" i="4"/>
  <c r="H550" i="4"/>
  <c r="E550" i="4"/>
  <c r="H549" i="4"/>
  <c r="E549" i="4"/>
  <c r="V548" i="4"/>
  <c r="E548" i="4"/>
  <c r="AA547" i="4"/>
  <c r="Z547" i="4"/>
  <c r="T547" i="4"/>
  <c r="S547" i="4"/>
  <c r="I547" i="4"/>
  <c r="H547" i="4"/>
  <c r="E547" i="4"/>
  <c r="H546" i="4"/>
  <c r="E546" i="4"/>
  <c r="S545" i="4"/>
  <c r="H545" i="4"/>
  <c r="E545" i="4"/>
  <c r="Q544" i="4"/>
  <c r="H544" i="4"/>
  <c r="E544" i="4"/>
  <c r="S543" i="4"/>
  <c r="I543" i="4"/>
  <c r="H543" i="4"/>
  <c r="E543" i="4"/>
  <c r="X542" i="4"/>
  <c r="P542" i="4"/>
  <c r="H542" i="4"/>
  <c r="E542" i="4"/>
  <c r="AA541" i="4"/>
  <c r="Z541" i="4"/>
  <c r="S541" i="4"/>
  <c r="H541" i="4"/>
  <c r="E541" i="4"/>
  <c r="Q540" i="4"/>
  <c r="L540" i="4"/>
  <c r="H540" i="4"/>
  <c r="E540" i="4"/>
  <c r="M539" i="4"/>
  <c r="E539" i="4"/>
  <c r="H538" i="4"/>
  <c r="E538" i="4"/>
  <c r="H537" i="4"/>
  <c r="E537" i="4"/>
  <c r="L536" i="4"/>
  <c r="H536" i="4"/>
  <c r="E536" i="4"/>
  <c r="H535" i="4"/>
  <c r="E535" i="4"/>
  <c r="H534" i="4"/>
  <c r="E534" i="4"/>
  <c r="H533" i="4"/>
  <c r="E533" i="4"/>
  <c r="L532" i="4"/>
  <c r="H532" i="4"/>
  <c r="E532" i="4"/>
  <c r="H531" i="4"/>
  <c r="E531" i="4"/>
  <c r="V530" i="4"/>
  <c r="K530" i="4"/>
  <c r="I530" i="4"/>
  <c r="H530" i="4"/>
  <c r="E530" i="4"/>
  <c r="Q529" i="4"/>
  <c r="H529" i="4"/>
  <c r="E529" i="4"/>
  <c r="W528" i="4"/>
  <c r="L528" i="4"/>
  <c r="H528" i="4"/>
  <c r="E528" i="4"/>
  <c r="H527" i="4"/>
  <c r="E527" i="4"/>
  <c r="L526" i="4"/>
  <c r="H526" i="4"/>
  <c r="E526" i="4"/>
  <c r="H525" i="4"/>
  <c r="E525" i="4"/>
  <c r="AA524" i="4"/>
  <c r="Z524" i="4"/>
  <c r="S524" i="4"/>
  <c r="H524" i="4"/>
  <c r="E524" i="4"/>
  <c r="H523" i="4"/>
  <c r="E523" i="4"/>
  <c r="H480" i="4"/>
  <c r="H522" i="4"/>
  <c r="E522" i="4"/>
  <c r="Y521" i="4"/>
  <c r="R521" i="4"/>
  <c r="O521" i="4"/>
  <c r="N521" i="4"/>
  <c r="E521" i="4"/>
  <c r="T520" i="4"/>
  <c r="S520" i="4"/>
  <c r="H520" i="4"/>
  <c r="E520" i="4"/>
  <c r="L519" i="4"/>
  <c r="H519" i="4"/>
  <c r="E519" i="4"/>
  <c r="V518" i="4"/>
  <c r="U518" i="4"/>
  <c r="H518" i="4"/>
  <c r="E518" i="4"/>
  <c r="M517" i="4"/>
  <c r="H517" i="4"/>
  <c r="E517" i="4"/>
  <c r="H516" i="4"/>
  <c r="E516" i="4"/>
  <c r="H515" i="4"/>
  <c r="E515" i="4"/>
  <c r="H514" i="4"/>
  <c r="E514" i="4"/>
  <c r="H513" i="4"/>
  <c r="E513" i="4"/>
  <c r="H512" i="4"/>
  <c r="E512" i="4"/>
  <c r="AA511" i="4"/>
  <c r="Z511" i="4"/>
  <c r="R511" i="4"/>
  <c r="H511" i="4"/>
  <c r="E511" i="4"/>
  <c r="H510" i="4"/>
  <c r="E510" i="4"/>
  <c r="AA509" i="4"/>
  <c r="Z509" i="4"/>
  <c r="T509" i="4"/>
  <c r="S509" i="4"/>
  <c r="J509" i="4"/>
  <c r="I509" i="4"/>
  <c r="H509" i="4"/>
  <c r="E509" i="4"/>
  <c r="H508" i="4"/>
  <c r="E508" i="4"/>
  <c r="H507" i="4"/>
  <c r="E507" i="4"/>
  <c r="H506" i="4"/>
  <c r="E506" i="4"/>
  <c r="S505" i="4"/>
  <c r="J505" i="4"/>
  <c r="I505" i="4"/>
  <c r="H505" i="4"/>
  <c r="E505" i="4"/>
  <c r="I504" i="4"/>
  <c r="H504" i="4"/>
  <c r="E504" i="4"/>
  <c r="H503" i="4"/>
  <c r="E503" i="4"/>
  <c r="X502" i="4"/>
  <c r="L502" i="4"/>
  <c r="H502" i="4"/>
  <c r="E502" i="4"/>
  <c r="AA501" i="4"/>
  <c r="Z501" i="4"/>
  <c r="Y501" i="4"/>
  <c r="R501" i="4"/>
  <c r="H501" i="4"/>
  <c r="E501" i="4"/>
  <c r="H500" i="4"/>
  <c r="E500" i="4"/>
  <c r="V499" i="4"/>
  <c r="H499" i="4"/>
  <c r="E499" i="4"/>
  <c r="H498" i="4"/>
  <c r="E498" i="4"/>
  <c r="M497" i="4"/>
  <c r="H497" i="4"/>
  <c r="E497" i="4"/>
  <c r="AA496" i="4"/>
  <c r="Z496" i="4"/>
  <c r="T496" i="4"/>
  <c r="S496" i="4"/>
  <c r="I496" i="4"/>
  <c r="H496" i="4"/>
  <c r="E496" i="4"/>
  <c r="Z495" i="4"/>
  <c r="I495" i="4"/>
  <c r="H495" i="4"/>
  <c r="E495" i="4"/>
  <c r="H494" i="4"/>
  <c r="E494" i="4"/>
  <c r="Q493" i="4"/>
  <c r="H493" i="4"/>
  <c r="E493" i="4"/>
  <c r="V492" i="4"/>
  <c r="H492" i="4"/>
  <c r="E492" i="4"/>
  <c r="Q491" i="4"/>
  <c r="H491" i="4"/>
  <c r="E491" i="4"/>
  <c r="W490" i="4"/>
  <c r="Q490" i="4"/>
  <c r="H490" i="4"/>
  <c r="E490" i="4"/>
  <c r="U489" i="4"/>
  <c r="H489" i="4"/>
  <c r="E489" i="4"/>
  <c r="L488" i="4"/>
  <c r="H488" i="4"/>
  <c r="E488" i="4"/>
  <c r="T487" i="4"/>
  <c r="J487" i="4"/>
  <c r="H487" i="4"/>
  <c r="E487" i="4"/>
  <c r="T486" i="4"/>
  <c r="S486" i="4"/>
  <c r="J486" i="4"/>
  <c r="I486" i="4"/>
  <c r="H486" i="4"/>
  <c r="E486" i="4"/>
  <c r="K485" i="4"/>
  <c r="H485" i="4"/>
  <c r="E485" i="4"/>
  <c r="AA484" i="4"/>
  <c r="Z484" i="4"/>
  <c r="V484" i="4"/>
  <c r="R484" i="4"/>
  <c r="H484" i="4"/>
  <c r="E484" i="4"/>
  <c r="H483" i="4"/>
  <c r="E483" i="4"/>
  <c r="H482" i="4"/>
  <c r="E482" i="4"/>
  <c r="J481" i="4"/>
  <c r="I481" i="4"/>
  <c r="H481" i="4"/>
  <c r="E481" i="4"/>
  <c r="AA479" i="4"/>
  <c r="Z479" i="4"/>
  <c r="T479" i="4"/>
  <c r="S479" i="4"/>
  <c r="H479" i="4"/>
  <c r="E479" i="4"/>
  <c r="H478" i="4"/>
  <c r="E478" i="4"/>
  <c r="H477" i="4"/>
  <c r="E477" i="4"/>
  <c r="V476" i="4"/>
  <c r="H476" i="4"/>
  <c r="E476" i="4"/>
  <c r="H475" i="4"/>
  <c r="E475" i="4"/>
  <c r="H474" i="4"/>
  <c r="E474" i="4"/>
  <c r="U473" i="4"/>
  <c r="R473" i="4"/>
  <c r="O473" i="4"/>
  <c r="H473" i="4"/>
  <c r="E473" i="4"/>
  <c r="H472" i="4"/>
  <c r="E472" i="4"/>
  <c r="H471" i="4"/>
  <c r="E471" i="4"/>
  <c r="X470" i="4"/>
  <c r="Q470" i="4"/>
  <c r="H470" i="4"/>
  <c r="E470" i="4"/>
  <c r="AA469" i="4"/>
  <c r="Z469" i="4"/>
  <c r="T469" i="4"/>
  <c r="S469" i="4"/>
  <c r="J469" i="4"/>
  <c r="I469" i="4"/>
  <c r="H469" i="4"/>
  <c r="E469" i="4"/>
  <c r="Z468" i="4"/>
  <c r="E468" i="4"/>
  <c r="AA467" i="4"/>
  <c r="Z467" i="4"/>
  <c r="T467" i="4"/>
  <c r="S467" i="4"/>
  <c r="J467" i="4"/>
  <c r="I467" i="4"/>
  <c r="E467" i="4"/>
  <c r="H466" i="4"/>
  <c r="E466" i="4"/>
  <c r="T465" i="4"/>
  <c r="J465" i="4"/>
  <c r="H465" i="4"/>
  <c r="E465" i="4"/>
  <c r="U464" i="4"/>
  <c r="K464" i="4"/>
  <c r="H464" i="4"/>
  <c r="E464" i="4"/>
  <c r="H463" i="4"/>
  <c r="E463" i="4"/>
  <c r="T462" i="4"/>
  <c r="S462" i="4"/>
  <c r="H462" i="4"/>
  <c r="E462" i="4"/>
  <c r="H461" i="4"/>
  <c r="E461" i="4"/>
  <c r="H460" i="4"/>
  <c r="E460" i="4"/>
  <c r="H459" i="4"/>
  <c r="E459" i="4"/>
  <c r="U458" i="4"/>
  <c r="H458" i="4"/>
  <c r="E458" i="4"/>
  <c r="H457" i="4"/>
  <c r="E457" i="4"/>
  <c r="AA456" i="4"/>
  <c r="Z456" i="4"/>
  <c r="R456" i="4"/>
  <c r="H456" i="4"/>
  <c r="E456" i="4"/>
  <c r="U455" i="4"/>
  <c r="H455" i="4"/>
  <c r="E455" i="4"/>
  <c r="H454" i="4"/>
  <c r="E454" i="4"/>
  <c r="H453" i="4"/>
  <c r="E453" i="4"/>
  <c r="T452" i="4"/>
  <c r="S452" i="4"/>
  <c r="J452" i="4"/>
  <c r="I452" i="4"/>
  <c r="H452" i="4"/>
  <c r="E452" i="4"/>
  <c r="H451" i="4"/>
  <c r="E451" i="4"/>
  <c r="H450" i="4"/>
  <c r="E450" i="4"/>
  <c r="U449" i="4"/>
  <c r="K449" i="4"/>
  <c r="H449" i="4"/>
  <c r="E449" i="4"/>
  <c r="Y448" i="4"/>
  <c r="H448" i="4"/>
  <c r="E448" i="4"/>
  <c r="H447" i="4"/>
  <c r="E447" i="4"/>
  <c r="T446" i="4"/>
  <c r="S446" i="4"/>
  <c r="E446" i="4"/>
  <c r="H445" i="4"/>
  <c r="E445" i="4"/>
  <c r="Y444" i="4"/>
  <c r="M444" i="4"/>
  <c r="H444" i="4"/>
  <c r="E444" i="4"/>
  <c r="H443" i="4"/>
  <c r="E443" i="4"/>
  <c r="Q442" i="4"/>
  <c r="L442" i="4"/>
  <c r="H442" i="4"/>
  <c r="E442" i="4"/>
  <c r="H441" i="4"/>
  <c r="E441" i="4"/>
  <c r="L440" i="4"/>
  <c r="H440" i="4"/>
  <c r="E440" i="4"/>
  <c r="H439" i="4"/>
  <c r="E439" i="4"/>
  <c r="H438" i="4"/>
  <c r="E438" i="4"/>
  <c r="H437" i="4"/>
  <c r="E437" i="4"/>
  <c r="H436" i="4"/>
  <c r="E436" i="4"/>
  <c r="Z435" i="4"/>
  <c r="H435" i="4"/>
  <c r="E435" i="4"/>
  <c r="H434" i="4"/>
  <c r="E434" i="4"/>
  <c r="P433" i="4"/>
  <c r="K433" i="4"/>
  <c r="H433" i="4"/>
  <c r="E433" i="4"/>
  <c r="H432" i="4"/>
  <c r="E432" i="4"/>
  <c r="T431" i="4"/>
  <c r="S431" i="4"/>
  <c r="H431" i="4"/>
  <c r="E431" i="4"/>
  <c r="H430" i="4"/>
  <c r="E430" i="4"/>
  <c r="L429" i="4"/>
  <c r="H429" i="4"/>
  <c r="E429" i="4"/>
  <c r="H428" i="4"/>
  <c r="E428" i="4"/>
  <c r="K427" i="4"/>
  <c r="H427" i="4"/>
  <c r="E427" i="4"/>
  <c r="M426" i="4"/>
  <c r="H426" i="4"/>
  <c r="E426" i="4"/>
  <c r="X425" i="4"/>
  <c r="V425" i="4"/>
  <c r="H425" i="4"/>
  <c r="E425" i="4"/>
  <c r="T424" i="4"/>
  <c r="J424" i="4"/>
  <c r="H424" i="4"/>
  <c r="E424" i="4"/>
  <c r="Q423" i="4"/>
  <c r="L423" i="4"/>
  <c r="H423" i="4"/>
  <c r="E423" i="4"/>
  <c r="U422" i="4"/>
  <c r="H422" i="4"/>
  <c r="E422" i="4"/>
  <c r="AA421" i="4"/>
  <c r="Z421" i="4"/>
  <c r="U421" i="4"/>
  <c r="J421" i="4"/>
  <c r="I421" i="4"/>
  <c r="H421" i="4"/>
  <c r="E421" i="4"/>
  <c r="U420" i="4"/>
  <c r="H420" i="4"/>
  <c r="E420" i="4"/>
  <c r="M419" i="4"/>
  <c r="H419" i="4"/>
  <c r="E419" i="4"/>
  <c r="V418" i="4"/>
  <c r="U418" i="4"/>
  <c r="K418" i="4"/>
  <c r="H418" i="4"/>
  <c r="E418" i="4"/>
  <c r="S417" i="4"/>
  <c r="H417" i="4"/>
  <c r="E417" i="4"/>
  <c r="V416" i="4"/>
  <c r="H416" i="4"/>
  <c r="E416" i="4"/>
  <c r="P415" i="4"/>
  <c r="H415" i="4"/>
  <c r="E415" i="4"/>
  <c r="L414" i="4"/>
  <c r="H414" i="4"/>
  <c r="E414" i="4"/>
  <c r="H413" i="4"/>
  <c r="E413" i="4"/>
  <c r="H412" i="4"/>
  <c r="E412" i="4"/>
  <c r="U411" i="4"/>
  <c r="K411" i="4"/>
  <c r="H411" i="4"/>
  <c r="E411" i="4"/>
  <c r="H410" i="4"/>
  <c r="E410" i="4"/>
  <c r="AA409" i="4"/>
  <c r="Z409" i="4"/>
  <c r="R409" i="4"/>
  <c r="O409" i="4"/>
  <c r="H409" i="4"/>
  <c r="E409" i="4"/>
  <c r="H408" i="4"/>
  <c r="E408" i="4"/>
  <c r="K407" i="4"/>
  <c r="H407" i="4"/>
  <c r="E407" i="4"/>
  <c r="H406" i="4"/>
  <c r="E406" i="4"/>
  <c r="R405" i="4"/>
  <c r="O405" i="4"/>
  <c r="N405" i="4"/>
  <c r="H405" i="4"/>
  <c r="E405" i="4"/>
  <c r="H404" i="4"/>
  <c r="E404" i="4"/>
  <c r="Y403" i="4"/>
  <c r="E403" i="4"/>
  <c r="H402" i="4"/>
  <c r="E402" i="4"/>
  <c r="X401" i="4"/>
  <c r="V401" i="4"/>
  <c r="J401" i="4"/>
  <c r="H401" i="4"/>
  <c r="E401" i="4"/>
  <c r="L400" i="4"/>
  <c r="H400" i="4"/>
  <c r="E400" i="4"/>
  <c r="H399" i="4"/>
  <c r="E399" i="4"/>
  <c r="H398" i="4"/>
  <c r="E398" i="4"/>
  <c r="H397" i="4"/>
  <c r="E397" i="4"/>
  <c r="L396" i="4"/>
  <c r="E396" i="4"/>
  <c r="H395" i="4"/>
  <c r="E395" i="4"/>
  <c r="H394" i="4"/>
  <c r="E394" i="4"/>
  <c r="J393" i="4"/>
  <c r="H393" i="4"/>
  <c r="E393" i="4"/>
  <c r="H392" i="4"/>
  <c r="E392" i="4"/>
  <c r="H391" i="4"/>
  <c r="E391" i="4"/>
  <c r="H390" i="4"/>
  <c r="E390" i="4"/>
  <c r="Q389" i="4"/>
  <c r="L389" i="4"/>
  <c r="H389" i="4"/>
  <c r="E389" i="4"/>
  <c r="W388" i="4"/>
  <c r="H388" i="4"/>
  <c r="E388" i="4"/>
  <c r="H387" i="4"/>
  <c r="E387" i="4"/>
  <c r="H386" i="4"/>
  <c r="E386" i="4"/>
  <c r="L385" i="4"/>
  <c r="H385" i="4"/>
  <c r="E385" i="4"/>
  <c r="T384" i="4"/>
  <c r="S384" i="4"/>
  <c r="J384" i="4"/>
  <c r="I384" i="4"/>
  <c r="H384" i="4"/>
  <c r="E384" i="4"/>
  <c r="H383" i="4"/>
  <c r="E383" i="4"/>
  <c r="T382" i="4"/>
  <c r="H382" i="4"/>
  <c r="E382" i="4"/>
  <c r="H381" i="4"/>
  <c r="E381" i="4"/>
  <c r="H380" i="4"/>
  <c r="E380" i="4"/>
  <c r="H379" i="4"/>
  <c r="E379" i="4"/>
  <c r="Q378" i="4"/>
  <c r="L378" i="4"/>
  <c r="E378" i="4"/>
  <c r="H377" i="4"/>
  <c r="E377" i="4"/>
  <c r="L376" i="4"/>
  <c r="H376" i="4"/>
  <c r="E376" i="4"/>
  <c r="H375" i="4"/>
  <c r="E375" i="4"/>
  <c r="H374" i="4"/>
  <c r="E374" i="4"/>
  <c r="H373" i="4"/>
  <c r="E373" i="4"/>
  <c r="M372" i="4"/>
  <c r="H372" i="4"/>
  <c r="E372" i="4"/>
  <c r="AA371" i="4"/>
  <c r="Z371" i="4"/>
  <c r="Y371" i="4"/>
  <c r="R371" i="4"/>
  <c r="H371" i="4"/>
  <c r="E371" i="4"/>
  <c r="V370" i="4"/>
  <c r="U370" i="4"/>
  <c r="H370" i="4"/>
  <c r="E370" i="4"/>
  <c r="V369" i="4"/>
  <c r="U369" i="4"/>
  <c r="P369" i="4"/>
  <c r="H369" i="4"/>
  <c r="E369" i="4"/>
  <c r="H368" i="4"/>
  <c r="E368" i="4"/>
  <c r="P367" i="4"/>
  <c r="H367" i="4"/>
  <c r="E367" i="4"/>
  <c r="H366" i="4"/>
  <c r="E366" i="4"/>
  <c r="H365" i="4"/>
  <c r="E365" i="4"/>
  <c r="H364" i="4"/>
  <c r="E364" i="4"/>
  <c r="U363" i="4"/>
  <c r="K363" i="4"/>
  <c r="H363" i="4"/>
  <c r="E363" i="4"/>
  <c r="AA362" i="4"/>
  <c r="Z362" i="4"/>
  <c r="X362" i="4"/>
  <c r="J362" i="4"/>
  <c r="I362" i="4"/>
  <c r="H362" i="4"/>
  <c r="E362" i="4"/>
  <c r="V361" i="4"/>
  <c r="M361" i="4"/>
  <c r="H361" i="4"/>
  <c r="E361" i="4"/>
  <c r="T360" i="4"/>
  <c r="S360" i="4"/>
  <c r="J360" i="4"/>
  <c r="I360" i="4"/>
  <c r="H360" i="4"/>
  <c r="E360" i="4"/>
  <c r="S359" i="4"/>
  <c r="J359" i="4"/>
  <c r="I359" i="4"/>
  <c r="H359" i="4"/>
  <c r="E359" i="4"/>
  <c r="AA358" i="4"/>
  <c r="Z358" i="4"/>
  <c r="R358" i="4"/>
  <c r="H358" i="4"/>
  <c r="E358" i="4"/>
  <c r="AA357" i="4"/>
  <c r="Z357" i="4"/>
  <c r="R357" i="4"/>
  <c r="O357" i="4"/>
  <c r="H357" i="4"/>
  <c r="E357" i="4"/>
  <c r="U356" i="4"/>
  <c r="K356" i="4"/>
  <c r="H356" i="4"/>
  <c r="E356" i="4"/>
  <c r="W355" i="4"/>
  <c r="L355" i="4"/>
  <c r="H355" i="4"/>
  <c r="E355" i="4"/>
  <c r="X354" i="4"/>
  <c r="U354" i="4"/>
  <c r="P354" i="4"/>
  <c r="H354" i="4"/>
  <c r="E354" i="4"/>
  <c r="X353" i="4"/>
  <c r="E353" i="4"/>
  <c r="H352" i="4"/>
  <c r="E352" i="4"/>
  <c r="P351" i="4"/>
  <c r="K351" i="4"/>
  <c r="H351" i="4"/>
  <c r="E351" i="4"/>
  <c r="L350" i="4"/>
  <c r="H350" i="4"/>
  <c r="E350" i="4"/>
  <c r="H349" i="4"/>
  <c r="E349" i="4"/>
  <c r="H348" i="4"/>
  <c r="E348" i="4"/>
  <c r="H347" i="4"/>
  <c r="E347" i="4"/>
  <c r="AA346" i="4"/>
  <c r="J346" i="4"/>
  <c r="H346" i="4"/>
  <c r="E346" i="4"/>
  <c r="H345" i="4"/>
  <c r="E345" i="4"/>
  <c r="H344" i="4"/>
  <c r="E344" i="4"/>
  <c r="M343" i="4"/>
  <c r="H343" i="4"/>
  <c r="E343" i="4"/>
  <c r="U342" i="4"/>
  <c r="H342" i="4"/>
  <c r="E342" i="4"/>
  <c r="R341" i="4"/>
  <c r="H341" i="4"/>
  <c r="E341" i="4"/>
  <c r="U340" i="4"/>
  <c r="H340" i="4"/>
  <c r="E340" i="4"/>
  <c r="X339" i="4"/>
  <c r="V339" i="4"/>
  <c r="U339" i="4"/>
  <c r="P339" i="4"/>
  <c r="H339" i="4"/>
  <c r="E339" i="4"/>
  <c r="H338" i="4"/>
  <c r="E338" i="4"/>
  <c r="S337" i="4"/>
  <c r="J337" i="4"/>
  <c r="I337" i="4"/>
  <c r="H337" i="4"/>
  <c r="E337" i="4"/>
  <c r="K336" i="4"/>
  <c r="H336" i="4"/>
  <c r="E336" i="4"/>
  <c r="H335" i="4"/>
  <c r="E335" i="4"/>
  <c r="Y334" i="4"/>
  <c r="U334" i="4"/>
  <c r="H334" i="4"/>
  <c r="E334" i="4"/>
  <c r="H333" i="4"/>
  <c r="E333" i="4"/>
  <c r="U332" i="4"/>
  <c r="O332" i="4"/>
  <c r="N332" i="4"/>
  <c r="E332" i="4"/>
  <c r="H331" i="4"/>
  <c r="E331" i="4"/>
  <c r="H330" i="4"/>
  <c r="E330" i="4"/>
  <c r="H329" i="4"/>
  <c r="E329" i="4"/>
  <c r="H328" i="4"/>
  <c r="E328" i="4"/>
  <c r="AA327" i="4"/>
  <c r="Z327" i="4"/>
  <c r="T327" i="4"/>
  <c r="S327" i="4"/>
  <c r="J327" i="4"/>
  <c r="I327" i="4"/>
  <c r="H327" i="4"/>
  <c r="E327" i="4"/>
  <c r="H326" i="4"/>
  <c r="E326" i="4"/>
  <c r="H325" i="4"/>
  <c r="E325" i="4"/>
  <c r="H324" i="4"/>
  <c r="E324" i="4"/>
  <c r="H323" i="4"/>
  <c r="E323" i="4"/>
  <c r="Z322" i="4"/>
  <c r="T322" i="4"/>
  <c r="S322" i="4"/>
  <c r="H322" i="4"/>
  <c r="E322" i="4"/>
  <c r="AA321" i="4"/>
  <c r="Z321" i="4"/>
  <c r="S321" i="4"/>
  <c r="E321" i="4"/>
  <c r="H320" i="4"/>
  <c r="E320" i="4"/>
  <c r="X319" i="4"/>
  <c r="P319" i="4"/>
  <c r="H319" i="4"/>
  <c r="E319" i="4"/>
  <c r="Q318" i="4"/>
  <c r="L318" i="4"/>
  <c r="H318" i="4"/>
  <c r="E318" i="4"/>
  <c r="H317" i="4"/>
  <c r="E317" i="4"/>
  <c r="H316" i="4"/>
  <c r="E316" i="4"/>
  <c r="V315" i="4"/>
  <c r="U315" i="4"/>
  <c r="K315" i="4"/>
  <c r="H315" i="4"/>
  <c r="E315" i="4"/>
  <c r="H314" i="4"/>
  <c r="E314" i="4"/>
  <c r="Q313" i="4"/>
  <c r="L313" i="4"/>
  <c r="H313" i="4"/>
  <c r="E313" i="4"/>
  <c r="H312" i="4"/>
  <c r="E312" i="4"/>
  <c r="X311" i="4"/>
  <c r="H311" i="4"/>
  <c r="E311" i="4"/>
  <c r="P310" i="4"/>
  <c r="E310" i="4"/>
  <c r="H309" i="4"/>
  <c r="E309" i="4"/>
  <c r="H308" i="4"/>
  <c r="E308" i="4"/>
  <c r="V307" i="4"/>
  <c r="P307" i="4"/>
  <c r="K307" i="4"/>
  <c r="H307" i="4"/>
  <c r="E307" i="4"/>
  <c r="H306" i="4"/>
  <c r="E306" i="4"/>
  <c r="H305" i="4"/>
  <c r="E305" i="4"/>
  <c r="H304" i="4"/>
  <c r="E304" i="4"/>
  <c r="U303" i="4"/>
  <c r="P303" i="4"/>
  <c r="H303" i="4"/>
  <c r="E303" i="4"/>
  <c r="AA302" i="4"/>
  <c r="Z302" i="4"/>
  <c r="S302" i="4"/>
  <c r="I302" i="4"/>
  <c r="H302" i="4"/>
  <c r="E302" i="4"/>
  <c r="K301" i="4"/>
  <c r="H301" i="4"/>
  <c r="E301" i="4"/>
  <c r="H300" i="4"/>
  <c r="E300" i="4"/>
  <c r="H299" i="4"/>
  <c r="E299" i="4"/>
  <c r="U298" i="4"/>
  <c r="K298" i="4"/>
  <c r="H298" i="4"/>
  <c r="E298" i="4"/>
  <c r="T297" i="4"/>
  <c r="J297" i="4"/>
  <c r="H297" i="4"/>
  <c r="E297" i="4"/>
  <c r="H296" i="4"/>
  <c r="E296" i="4"/>
  <c r="P295" i="4"/>
  <c r="H295" i="4"/>
  <c r="E295" i="4"/>
  <c r="M294" i="4"/>
  <c r="H294" i="4"/>
  <c r="E294" i="4"/>
  <c r="H293" i="4"/>
  <c r="E293" i="4"/>
  <c r="H292" i="4"/>
  <c r="E292" i="4"/>
  <c r="W291" i="4"/>
  <c r="Q291" i="4"/>
  <c r="H291" i="4"/>
  <c r="E291" i="4"/>
  <c r="Y290" i="4"/>
  <c r="U290" i="4"/>
  <c r="R290" i="4"/>
  <c r="H290" i="4"/>
  <c r="E290" i="4"/>
  <c r="H289" i="4"/>
  <c r="E289" i="4"/>
  <c r="Z288" i="4"/>
  <c r="S288" i="4"/>
  <c r="J288" i="4"/>
  <c r="I288" i="4"/>
  <c r="E288" i="4"/>
  <c r="U287" i="4"/>
  <c r="K287" i="4"/>
  <c r="H287" i="4"/>
  <c r="E287" i="4"/>
  <c r="U286" i="4"/>
  <c r="H286" i="4"/>
  <c r="E286" i="4"/>
  <c r="X285" i="4"/>
  <c r="L285" i="4"/>
  <c r="H285" i="4"/>
  <c r="E285" i="4"/>
  <c r="H284" i="4"/>
  <c r="E284" i="4"/>
  <c r="AA283" i="4"/>
  <c r="Z283" i="4"/>
  <c r="T283" i="4"/>
  <c r="S283" i="4"/>
  <c r="H283" i="4"/>
  <c r="E283" i="4"/>
  <c r="H282" i="4"/>
  <c r="E282" i="4"/>
  <c r="K281" i="4"/>
  <c r="E281" i="4"/>
  <c r="K280" i="4"/>
  <c r="H280" i="4"/>
  <c r="E280" i="4"/>
  <c r="J279" i="4"/>
  <c r="H279" i="4"/>
  <c r="E279" i="4"/>
  <c r="K278" i="4"/>
  <c r="H278" i="4"/>
  <c r="E278" i="4"/>
  <c r="AA277" i="4"/>
  <c r="H277" i="4"/>
  <c r="E277" i="4"/>
  <c r="V276" i="4"/>
  <c r="P276" i="4"/>
  <c r="K276" i="4"/>
  <c r="H276" i="4"/>
  <c r="E276" i="4"/>
  <c r="U275" i="4"/>
  <c r="R275" i="4"/>
  <c r="N275" i="4"/>
  <c r="H275" i="4"/>
  <c r="E275" i="4"/>
  <c r="H274" i="4"/>
  <c r="E274" i="4"/>
  <c r="P273" i="4"/>
  <c r="H273" i="4"/>
  <c r="E273" i="4"/>
  <c r="J272" i="4"/>
  <c r="H272" i="4"/>
  <c r="E272" i="4"/>
  <c r="K271" i="4"/>
  <c r="H271" i="4"/>
  <c r="E271" i="4"/>
  <c r="AA270" i="4"/>
  <c r="Z270" i="4"/>
  <c r="T270" i="4"/>
  <c r="S270" i="4"/>
  <c r="J270" i="4"/>
  <c r="I270" i="4"/>
  <c r="H270" i="4"/>
  <c r="E270" i="4"/>
  <c r="AA269" i="4"/>
  <c r="X269" i="4"/>
  <c r="K269" i="4"/>
  <c r="H269" i="4"/>
  <c r="E269" i="4"/>
  <c r="L268" i="4"/>
  <c r="H268" i="4"/>
  <c r="E268" i="4"/>
  <c r="X267" i="4"/>
  <c r="H267" i="4"/>
  <c r="E267" i="4"/>
  <c r="AA266" i="4"/>
  <c r="T266" i="4"/>
  <c r="J266" i="4"/>
  <c r="H266" i="4"/>
  <c r="E266" i="4"/>
  <c r="V265" i="4"/>
  <c r="H265" i="4"/>
  <c r="E265" i="4"/>
  <c r="H264" i="4"/>
  <c r="E264" i="4"/>
  <c r="H263" i="4"/>
  <c r="E263" i="4"/>
  <c r="P262" i="4"/>
  <c r="H262" i="4"/>
  <c r="E262" i="4"/>
  <c r="X261" i="4"/>
  <c r="H261" i="4"/>
  <c r="E261" i="4"/>
  <c r="H260" i="4"/>
  <c r="E260" i="4"/>
  <c r="P259" i="4"/>
  <c r="K259" i="4"/>
  <c r="H259" i="4"/>
  <c r="E259" i="4"/>
  <c r="AA258" i="4"/>
  <c r="J258" i="4"/>
  <c r="H258" i="4"/>
  <c r="E258" i="4"/>
  <c r="X257" i="4"/>
  <c r="U257" i="4"/>
  <c r="P257" i="4"/>
  <c r="K257" i="4"/>
  <c r="H257" i="4"/>
  <c r="E257" i="4"/>
  <c r="H256" i="4"/>
  <c r="E256" i="4"/>
  <c r="H255" i="4"/>
  <c r="E255" i="4"/>
  <c r="AA254" i="4"/>
  <c r="Z254" i="4"/>
  <c r="R254" i="4"/>
  <c r="H254" i="4"/>
  <c r="E254" i="4"/>
  <c r="L253" i="4"/>
  <c r="E253" i="4"/>
  <c r="Q252" i="4"/>
  <c r="L252" i="4"/>
  <c r="E252" i="4"/>
  <c r="P251" i="4"/>
  <c r="H251" i="4"/>
  <c r="E251" i="4"/>
  <c r="P250" i="4"/>
  <c r="H250" i="4"/>
  <c r="E250" i="4"/>
  <c r="L249" i="4"/>
  <c r="H249" i="4"/>
  <c r="E249" i="4"/>
  <c r="U248" i="4"/>
  <c r="H248" i="4"/>
  <c r="E248" i="4"/>
  <c r="Z247" i="4"/>
  <c r="U247" i="4"/>
  <c r="R247" i="4"/>
  <c r="N247" i="4"/>
  <c r="H247" i="4"/>
  <c r="E247" i="4"/>
  <c r="X246" i="4"/>
  <c r="P246" i="4"/>
  <c r="H246" i="4"/>
  <c r="E246" i="4"/>
  <c r="H245" i="4"/>
  <c r="E245" i="4"/>
  <c r="T244" i="4"/>
  <c r="S244" i="4"/>
  <c r="J244" i="4"/>
  <c r="I244" i="4"/>
  <c r="H244" i="4"/>
  <c r="E244" i="4"/>
  <c r="P243" i="4"/>
  <c r="K243" i="4"/>
  <c r="H243" i="4"/>
  <c r="E243" i="4"/>
  <c r="H242" i="4"/>
  <c r="E242" i="4"/>
  <c r="U241" i="4"/>
  <c r="K241" i="4"/>
  <c r="H241" i="4"/>
  <c r="E241" i="4"/>
  <c r="Y240" i="4"/>
  <c r="H240" i="4"/>
  <c r="E240" i="4"/>
  <c r="P239" i="4"/>
  <c r="L239" i="4"/>
  <c r="H239" i="4"/>
  <c r="E239" i="4"/>
  <c r="K238" i="4"/>
  <c r="H238" i="4"/>
  <c r="E238" i="4"/>
  <c r="U237" i="4"/>
  <c r="H237" i="4"/>
  <c r="E237" i="4"/>
  <c r="AA236" i="4"/>
  <c r="R236" i="4"/>
  <c r="O236" i="4"/>
  <c r="H236" i="4"/>
  <c r="E236" i="4"/>
  <c r="J235" i="4"/>
  <c r="H235" i="4"/>
  <c r="E235" i="4"/>
  <c r="H234" i="4"/>
  <c r="E234" i="4"/>
  <c r="V233" i="4"/>
  <c r="H233" i="4"/>
  <c r="E233" i="4"/>
  <c r="H232" i="4"/>
  <c r="E232" i="4"/>
  <c r="AA231" i="4"/>
  <c r="X231" i="4"/>
  <c r="T231" i="4"/>
  <c r="J231" i="4"/>
  <c r="H231" i="4"/>
  <c r="E231" i="4"/>
  <c r="AA230" i="4"/>
  <c r="Z230" i="4"/>
  <c r="Y230" i="4"/>
  <c r="U230" i="4"/>
  <c r="R230" i="4"/>
  <c r="H230" i="4"/>
  <c r="E230" i="4"/>
  <c r="H229" i="4"/>
  <c r="E229" i="4"/>
  <c r="Z228" i="4"/>
  <c r="S228" i="4"/>
  <c r="H228" i="4"/>
  <c r="E228" i="4"/>
  <c r="X227" i="4"/>
  <c r="H227" i="4"/>
  <c r="E227" i="4"/>
  <c r="T226" i="4"/>
  <c r="J226" i="4"/>
  <c r="H226" i="4"/>
  <c r="E226" i="4"/>
  <c r="H225" i="4"/>
  <c r="E225" i="4"/>
  <c r="P224" i="4"/>
  <c r="H224" i="4"/>
  <c r="E224" i="4"/>
  <c r="H223" i="4"/>
  <c r="E223" i="4"/>
  <c r="U222" i="4"/>
  <c r="K222" i="4"/>
  <c r="E222" i="4"/>
  <c r="U221" i="4"/>
  <c r="K221" i="4"/>
  <c r="H221" i="4"/>
  <c r="E221" i="4"/>
  <c r="P220" i="4"/>
  <c r="E220" i="4"/>
  <c r="X219" i="4"/>
  <c r="H219" i="4"/>
  <c r="E219" i="4"/>
  <c r="H218" i="4"/>
  <c r="E218" i="4"/>
  <c r="W217" i="4"/>
  <c r="H217" i="4"/>
  <c r="E217" i="4"/>
  <c r="L216" i="4"/>
  <c r="H216" i="4"/>
  <c r="E216" i="4"/>
  <c r="H215" i="4"/>
  <c r="E215" i="4"/>
  <c r="U214" i="4"/>
  <c r="K214" i="4"/>
  <c r="H214" i="4"/>
  <c r="E214" i="4"/>
  <c r="U213" i="4"/>
  <c r="P213" i="4"/>
  <c r="H213" i="4"/>
  <c r="E213" i="4"/>
  <c r="AA212" i="4"/>
  <c r="H212" i="4"/>
  <c r="E212" i="4"/>
  <c r="H211" i="4"/>
  <c r="E211" i="4"/>
  <c r="U210" i="4"/>
  <c r="R210" i="4"/>
  <c r="O210" i="4"/>
  <c r="N210" i="4"/>
  <c r="K210" i="4"/>
  <c r="H210" i="4"/>
  <c r="E210" i="4"/>
  <c r="U209" i="4"/>
  <c r="H209" i="4"/>
  <c r="E209" i="4"/>
  <c r="H208" i="4"/>
  <c r="E208" i="4"/>
  <c r="P207" i="4"/>
  <c r="H207" i="4"/>
  <c r="E207" i="4"/>
  <c r="M206" i="4"/>
  <c r="H206" i="4"/>
  <c r="E206" i="4"/>
  <c r="X205" i="4"/>
  <c r="H205" i="4"/>
  <c r="E205" i="4"/>
  <c r="P204" i="4"/>
  <c r="H204" i="4"/>
  <c r="E204" i="4"/>
  <c r="T203" i="4"/>
  <c r="S203" i="4"/>
  <c r="H203" i="4"/>
  <c r="E203" i="4"/>
  <c r="H202" i="4"/>
  <c r="E202" i="4"/>
  <c r="L201" i="4"/>
  <c r="H201" i="4"/>
  <c r="E201" i="4"/>
  <c r="H200" i="4"/>
  <c r="E200" i="4"/>
  <c r="H199" i="4"/>
  <c r="E199" i="4"/>
  <c r="V198" i="4"/>
  <c r="U198" i="4"/>
  <c r="K198" i="4"/>
  <c r="H198" i="4"/>
  <c r="E198" i="4"/>
  <c r="H197" i="4"/>
  <c r="E197" i="4"/>
  <c r="K196" i="4"/>
  <c r="H196" i="4"/>
  <c r="E196" i="4"/>
  <c r="X195" i="4"/>
  <c r="R195" i="4"/>
  <c r="H195" i="4"/>
  <c r="E195" i="4"/>
  <c r="K194" i="4"/>
  <c r="H194" i="4"/>
  <c r="E194" i="4"/>
  <c r="V193" i="4"/>
  <c r="U193" i="4"/>
  <c r="K193" i="4"/>
  <c r="H193" i="4"/>
  <c r="E193" i="4"/>
  <c r="U192" i="4"/>
  <c r="E192" i="4"/>
  <c r="L191" i="4"/>
  <c r="H191" i="4"/>
  <c r="E191" i="4"/>
  <c r="R190" i="4"/>
  <c r="H190" i="4"/>
  <c r="E190" i="4"/>
  <c r="H189" i="4"/>
  <c r="E189" i="4"/>
  <c r="H188" i="4"/>
  <c r="E188" i="4"/>
  <c r="M187" i="4"/>
  <c r="H187" i="4"/>
  <c r="E187" i="4"/>
  <c r="W186" i="4"/>
  <c r="Q186" i="4"/>
  <c r="L186" i="4"/>
  <c r="H186" i="4"/>
  <c r="E186" i="4"/>
  <c r="Q185" i="4"/>
  <c r="H185" i="4"/>
  <c r="E185" i="4"/>
  <c r="Q184" i="4"/>
  <c r="L184" i="4"/>
  <c r="H184" i="4"/>
  <c r="E184" i="4"/>
  <c r="J183" i="4"/>
  <c r="H183" i="4"/>
  <c r="E183" i="4"/>
  <c r="U182" i="4"/>
  <c r="T182" i="4"/>
  <c r="J182" i="4"/>
  <c r="H182" i="4"/>
  <c r="E182" i="4"/>
  <c r="K181" i="4"/>
  <c r="E181" i="4"/>
  <c r="AA180" i="4"/>
  <c r="Z180" i="4"/>
  <c r="S180" i="4"/>
  <c r="H180" i="4"/>
  <c r="E180" i="4"/>
  <c r="H179" i="4"/>
  <c r="E179" i="4"/>
  <c r="H178" i="4"/>
  <c r="E178" i="4"/>
  <c r="M177" i="4"/>
  <c r="H177" i="4"/>
  <c r="E177" i="4"/>
  <c r="K176" i="4"/>
  <c r="H176" i="4"/>
  <c r="E176" i="4"/>
  <c r="X175" i="4"/>
  <c r="U175" i="4"/>
  <c r="L175" i="4"/>
  <c r="H175" i="4"/>
  <c r="E175" i="4"/>
  <c r="AA174" i="4"/>
  <c r="V174" i="4"/>
  <c r="T174" i="4"/>
  <c r="K174" i="4"/>
  <c r="J174" i="4"/>
  <c r="H174" i="4"/>
  <c r="E174" i="4"/>
  <c r="U173" i="4"/>
  <c r="P173" i="4"/>
  <c r="H173" i="4"/>
  <c r="E173" i="4"/>
  <c r="H172" i="4"/>
  <c r="E172" i="4"/>
  <c r="P171" i="4"/>
  <c r="H171" i="4"/>
  <c r="E171" i="4"/>
  <c r="W170" i="4"/>
  <c r="H170" i="4"/>
  <c r="E170" i="4"/>
  <c r="AA169" i="4"/>
  <c r="Y169" i="4"/>
  <c r="V169" i="4"/>
  <c r="H169" i="4"/>
  <c r="E169" i="4"/>
  <c r="P168" i="4"/>
  <c r="H168" i="4"/>
  <c r="E168" i="4"/>
  <c r="U167" i="4"/>
  <c r="P167" i="4"/>
  <c r="H167" i="4"/>
  <c r="E167" i="4"/>
  <c r="U166" i="4"/>
  <c r="P166" i="4"/>
  <c r="L166" i="4"/>
  <c r="H166" i="4"/>
  <c r="E166" i="4"/>
  <c r="AA165" i="4"/>
  <c r="R165" i="4"/>
  <c r="O165" i="4"/>
  <c r="N165" i="4"/>
  <c r="K165" i="4"/>
  <c r="H165" i="4"/>
  <c r="E165" i="4"/>
  <c r="H164" i="4"/>
  <c r="E164" i="4"/>
  <c r="H163" i="4"/>
  <c r="E163" i="4"/>
  <c r="AA162" i="4"/>
  <c r="Z162" i="4"/>
  <c r="R162" i="4"/>
  <c r="H162" i="4"/>
  <c r="E162" i="4"/>
  <c r="L161" i="4"/>
  <c r="H161" i="4"/>
  <c r="E161" i="4"/>
  <c r="X160" i="4"/>
  <c r="T160" i="4"/>
  <c r="S160" i="4"/>
  <c r="K160" i="4"/>
  <c r="J160" i="4"/>
  <c r="I160" i="4"/>
  <c r="H160" i="4"/>
  <c r="E160" i="4"/>
  <c r="N159" i="4"/>
  <c r="H159" i="4"/>
  <c r="E159" i="4"/>
  <c r="H158" i="4"/>
  <c r="E158" i="4"/>
  <c r="V157" i="4"/>
  <c r="H157" i="4"/>
  <c r="E157" i="4"/>
  <c r="V156" i="4"/>
  <c r="U156" i="4"/>
  <c r="K156" i="4"/>
  <c r="H156" i="4"/>
  <c r="E156" i="4"/>
  <c r="H155" i="4"/>
  <c r="E155" i="4"/>
  <c r="H154" i="4"/>
  <c r="E154" i="4"/>
  <c r="P153" i="4"/>
  <c r="H153" i="4"/>
  <c r="E153" i="4"/>
  <c r="X152" i="4"/>
  <c r="V152" i="4"/>
  <c r="T152" i="4"/>
  <c r="S152" i="4"/>
  <c r="E152" i="4"/>
  <c r="H151" i="4"/>
  <c r="E151" i="4"/>
  <c r="K150" i="4"/>
  <c r="H150" i="4"/>
  <c r="E150" i="4"/>
  <c r="H149" i="4"/>
  <c r="E149" i="4"/>
  <c r="H148" i="4"/>
  <c r="E148" i="4"/>
  <c r="R147" i="4"/>
  <c r="O147" i="4"/>
  <c r="N147" i="4"/>
  <c r="H147" i="4"/>
  <c r="E147" i="4"/>
  <c r="H146" i="4"/>
  <c r="E146" i="4"/>
  <c r="K145" i="4"/>
  <c r="H145" i="4"/>
  <c r="E145" i="4"/>
  <c r="H144" i="4"/>
  <c r="E144" i="4"/>
  <c r="X117" i="4"/>
  <c r="H117" i="4"/>
  <c r="R143" i="4"/>
  <c r="N143" i="4"/>
  <c r="H143" i="4"/>
  <c r="E143" i="4"/>
  <c r="P142" i="4"/>
  <c r="K142" i="4"/>
  <c r="H142" i="4"/>
  <c r="E142" i="4"/>
  <c r="H141" i="4"/>
  <c r="E141" i="4"/>
  <c r="X140" i="4"/>
  <c r="U140" i="4"/>
  <c r="T140" i="4"/>
  <c r="J140" i="4"/>
  <c r="H140" i="4"/>
  <c r="E140" i="4"/>
  <c r="K139" i="4"/>
  <c r="H139" i="4"/>
  <c r="E139" i="4"/>
  <c r="U138" i="4"/>
  <c r="E138" i="4"/>
  <c r="P137" i="4"/>
  <c r="H137" i="4"/>
  <c r="E137" i="4"/>
  <c r="Q136" i="4"/>
  <c r="L136" i="4"/>
  <c r="H136" i="4"/>
  <c r="E136" i="4"/>
  <c r="K135" i="4"/>
  <c r="H135" i="4"/>
  <c r="E135" i="4"/>
  <c r="Y134" i="4"/>
  <c r="U134" i="4"/>
  <c r="O134" i="4"/>
  <c r="H134" i="4"/>
  <c r="E134" i="4"/>
  <c r="K133" i="4"/>
  <c r="H133" i="4"/>
  <c r="E133" i="4"/>
  <c r="R132" i="4"/>
  <c r="N132" i="4"/>
  <c r="H132" i="4"/>
  <c r="E132" i="4"/>
  <c r="W131" i="4"/>
  <c r="H131" i="4"/>
  <c r="E131" i="4"/>
  <c r="T130" i="4"/>
  <c r="J130" i="4"/>
  <c r="H130" i="4"/>
  <c r="E130" i="4"/>
  <c r="V129" i="4"/>
  <c r="K129" i="4"/>
  <c r="H129" i="4"/>
  <c r="E129" i="4"/>
  <c r="U128" i="4"/>
  <c r="L128" i="4"/>
  <c r="H128" i="4"/>
  <c r="E128" i="4"/>
  <c r="H127" i="4"/>
  <c r="E127" i="4"/>
  <c r="AA126" i="4"/>
  <c r="T126" i="4"/>
  <c r="J126" i="4"/>
  <c r="H126" i="4"/>
  <c r="E126" i="4"/>
  <c r="AA125" i="4"/>
  <c r="R125" i="4"/>
  <c r="O125" i="4"/>
  <c r="N125" i="4"/>
  <c r="H125" i="4"/>
  <c r="E125" i="4"/>
  <c r="H124" i="4"/>
  <c r="E124" i="4"/>
  <c r="H95" i="4"/>
  <c r="L123" i="4"/>
  <c r="H123" i="4"/>
  <c r="E123" i="4"/>
  <c r="V122" i="4"/>
  <c r="U122" i="4"/>
  <c r="P122" i="4"/>
  <c r="K122" i="4"/>
  <c r="H122" i="4"/>
  <c r="E122" i="4"/>
  <c r="H121" i="4"/>
  <c r="E121" i="4"/>
  <c r="U120" i="4"/>
  <c r="R120" i="4"/>
  <c r="O120" i="4"/>
  <c r="N120" i="4"/>
  <c r="H120" i="4"/>
  <c r="E120" i="4"/>
  <c r="H119" i="4"/>
  <c r="E119" i="4"/>
  <c r="AA118" i="4"/>
  <c r="T118" i="4"/>
  <c r="J118" i="4"/>
  <c r="H118" i="4"/>
  <c r="E118" i="4"/>
  <c r="P116" i="4"/>
  <c r="K116" i="4"/>
  <c r="H116" i="4"/>
  <c r="E116" i="4"/>
  <c r="Q115" i="4"/>
  <c r="L115" i="4"/>
  <c r="H115" i="4"/>
  <c r="E115" i="4"/>
  <c r="P114" i="4"/>
  <c r="H114" i="4"/>
  <c r="E114" i="4"/>
  <c r="P113" i="4"/>
  <c r="H113" i="4"/>
  <c r="E113" i="4"/>
  <c r="U112" i="4"/>
  <c r="P112" i="4"/>
  <c r="H112" i="4"/>
  <c r="E112" i="4"/>
  <c r="H86" i="4"/>
  <c r="R111" i="4"/>
  <c r="O111" i="4"/>
  <c r="N111" i="4"/>
  <c r="H111" i="4"/>
  <c r="E111" i="4"/>
  <c r="V110" i="4"/>
  <c r="U110" i="4"/>
  <c r="P110" i="4"/>
  <c r="K110" i="4"/>
  <c r="H110" i="4"/>
  <c r="E110" i="4"/>
  <c r="AA109" i="4"/>
  <c r="X109" i="4"/>
  <c r="T109" i="4"/>
  <c r="K109" i="4"/>
  <c r="J109" i="4"/>
  <c r="H109" i="4"/>
  <c r="E109" i="4"/>
  <c r="H108" i="4"/>
  <c r="E108" i="4"/>
  <c r="L107" i="4"/>
  <c r="H107" i="4"/>
  <c r="E107" i="4"/>
  <c r="H106" i="4"/>
  <c r="E106" i="4"/>
  <c r="U105" i="4"/>
  <c r="R105" i="4"/>
  <c r="N105" i="4"/>
  <c r="H105" i="4"/>
  <c r="E105" i="4"/>
  <c r="H104" i="4"/>
  <c r="E104" i="4"/>
  <c r="K103" i="4"/>
  <c r="H103" i="4"/>
  <c r="E103" i="4"/>
  <c r="U102" i="4"/>
  <c r="L102" i="4"/>
  <c r="H102" i="4"/>
  <c r="E102" i="4"/>
  <c r="U101" i="4"/>
  <c r="P101" i="4"/>
  <c r="H101" i="4"/>
  <c r="E101" i="4"/>
  <c r="W100" i="4"/>
  <c r="H100" i="4"/>
  <c r="E100" i="4"/>
  <c r="AA99" i="4"/>
  <c r="X99" i="4"/>
  <c r="R99" i="4"/>
  <c r="N99" i="4"/>
  <c r="H99" i="4"/>
  <c r="E99" i="4"/>
  <c r="X98" i="4"/>
  <c r="H98" i="4"/>
  <c r="E98" i="4"/>
  <c r="X97" i="4"/>
  <c r="U97" i="4"/>
  <c r="P97" i="4"/>
  <c r="H97" i="4"/>
  <c r="E97" i="4"/>
  <c r="U96" i="4"/>
  <c r="K96" i="4"/>
  <c r="H96" i="4"/>
  <c r="E96" i="4"/>
  <c r="L94" i="4"/>
  <c r="H94" i="4"/>
  <c r="E94" i="4"/>
  <c r="H93" i="4"/>
  <c r="E93" i="4"/>
  <c r="K92" i="4"/>
  <c r="H92" i="4"/>
  <c r="E92" i="4"/>
  <c r="AA91" i="4"/>
  <c r="U91" i="4"/>
  <c r="T91" i="4"/>
  <c r="J91" i="4"/>
  <c r="H91" i="4"/>
  <c r="E91" i="4"/>
  <c r="X90" i="4"/>
  <c r="V90" i="4"/>
  <c r="U90" i="4"/>
  <c r="P90" i="4"/>
  <c r="H90" i="4"/>
  <c r="E90" i="4"/>
  <c r="U89" i="4"/>
  <c r="H89" i="4"/>
  <c r="E89" i="4"/>
  <c r="K88" i="4"/>
  <c r="H88" i="4"/>
  <c r="E88" i="4"/>
  <c r="H68" i="4"/>
  <c r="R87" i="4"/>
  <c r="H87" i="4"/>
  <c r="E87" i="4"/>
  <c r="K85" i="4"/>
  <c r="J85" i="4"/>
  <c r="H85" i="4"/>
  <c r="E85" i="4"/>
  <c r="H84" i="4"/>
  <c r="E84" i="4"/>
  <c r="V83" i="4"/>
  <c r="U83" i="4"/>
  <c r="P83" i="4"/>
  <c r="K83" i="4"/>
  <c r="H83" i="4"/>
  <c r="E83" i="4"/>
  <c r="X82" i="4"/>
  <c r="U82" i="4"/>
  <c r="P82" i="4"/>
  <c r="L82" i="4"/>
  <c r="H82" i="4"/>
  <c r="E82" i="4"/>
  <c r="U81" i="4"/>
  <c r="P81" i="4"/>
  <c r="K81" i="4"/>
  <c r="H81" i="4"/>
  <c r="E81" i="4"/>
  <c r="T80" i="4"/>
  <c r="J80" i="4"/>
  <c r="H80" i="4"/>
  <c r="E80" i="4"/>
  <c r="U79" i="4"/>
  <c r="K79" i="4"/>
  <c r="H79" i="4"/>
  <c r="E79" i="4"/>
  <c r="H78" i="4"/>
  <c r="E78" i="4"/>
  <c r="R77" i="4"/>
  <c r="O77" i="4"/>
  <c r="N77" i="4"/>
  <c r="K77" i="4"/>
  <c r="H77" i="4"/>
  <c r="E77" i="4"/>
  <c r="AA76" i="4"/>
  <c r="X76" i="4"/>
  <c r="T76" i="4"/>
  <c r="K76" i="4"/>
  <c r="J76" i="4"/>
  <c r="H76" i="4"/>
  <c r="E76" i="4"/>
  <c r="U75" i="4"/>
  <c r="P75" i="4"/>
  <c r="K75" i="4"/>
  <c r="H75" i="4"/>
  <c r="E75" i="4"/>
  <c r="U74" i="4"/>
  <c r="H74" i="4"/>
  <c r="E74" i="4"/>
  <c r="W73" i="4"/>
  <c r="P73" i="4"/>
  <c r="K73" i="4"/>
  <c r="H73" i="4"/>
  <c r="E73" i="4"/>
  <c r="R72" i="4"/>
  <c r="O72" i="4"/>
  <c r="N72" i="4"/>
  <c r="H72" i="4"/>
  <c r="E72" i="4"/>
  <c r="H71" i="4"/>
  <c r="E71" i="4"/>
  <c r="H70" i="4"/>
  <c r="E70" i="4"/>
  <c r="U69" i="4"/>
  <c r="K69" i="4"/>
  <c r="H69" i="4"/>
  <c r="E69" i="4"/>
  <c r="X67" i="4"/>
  <c r="U67" i="4"/>
  <c r="K67" i="4"/>
  <c r="H67" i="4"/>
  <c r="E67" i="4"/>
  <c r="H66" i="4"/>
  <c r="E66" i="4"/>
  <c r="X65" i="4"/>
  <c r="V65" i="4"/>
  <c r="P65" i="4"/>
  <c r="K65" i="4"/>
  <c r="H65" i="4"/>
  <c r="E65" i="4"/>
  <c r="H64" i="4"/>
  <c r="E64" i="4"/>
  <c r="X63" i="4"/>
  <c r="H63" i="4"/>
  <c r="E63" i="4"/>
  <c r="K62" i="4"/>
  <c r="H62" i="4"/>
  <c r="E62" i="4"/>
  <c r="U61" i="4"/>
  <c r="Q61" i="4"/>
  <c r="K61" i="4"/>
  <c r="H61" i="4"/>
  <c r="E61" i="4"/>
  <c r="X60" i="4"/>
  <c r="K60" i="4"/>
  <c r="H60" i="4"/>
  <c r="E60" i="4"/>
  <c r="V59" i="4"/>
  <c r="U59" i="4"/>
  <c r="K59" i="4"/>
  <c r="H59" i="4"/>
  <c r="E59" i="4"/>
  <c r="X58" i="4"/>
  <c r="U58" i="4"/>
  <c r="H58" i="4"/>
  <c r="E58" i="4"/>
  <c r="L57" i="4"/>
  <c r="H57" i="4"/>
  <c r="E57" i="4"/>
  <c r="U56" i="4"/>
  <c r="H56" i="4"/>
  <c r="E56" i="4"/>
  <c r="R55" i="4"/>
  <c r="O55" i="4"/>
  <c r="N55" i="4"/>
  <c r="H55" i="4"/>
  <c r="E55" i="4"/>
  <c r="AA54" i="4"/>
  <c r="R54" i="4"/>
  <c r="N54" i="4"/>
  <c r="H54" i="4"/>
  <c r="E54" i="4"/>
  <c r="V53" i="4"/>
  <c r="K53" i="4"/>
  <c r="H53" i="4"/>
  <c r="E53" i="4"/>
  <c r="X52" i="4"/>
  <c r="H52" i="4"/>
  <c r="E52" i="4"/>
  <c r="H51" i="4"/>
  <c r="E51" i="4"/>
  <c r="X50" i="4"/>
  <c r="K50" i="4"/>
  <c r="H50" i="4"/>
  <c r="E50" i="4"/>
  <c r="AA49" i="4"/>
  <c r="R49" i="4"/>
  <c r="N49" i="4"/>
  <c r="H49" i="4"/>
  <c r="E49" i="4"/>
  <c r="H48" i="4"/>
  <c r="E48" i="4"/>
  <c r="AA47" i="4"/>
  <c r="U47" i="4"/>
  <c r="O47" i="4"/>
  <c r="N47" i="4"/>
  <c r="J47" i="4"/>
  <c r="H47" i="4"/>
  <c r="E47" i="4"/>
  <c r="P46" i="4"/>
  <c r="L46" i="4"/>
  <c r="H46" i="4"/>
  <c r="E46" i="4"/>
  <c r="H45" i="4"/>
  <c r="E45" i="4"/>
  <c r="R44" i="4"/>
  <c r="N44" i="4"/>
  <c r="K44" i="4"/>
  <c r="H44" i="4"/>
  <c r="E44" i="4"/>
  <c r="K43" i="4"/>
  <c r="H43" i="4"/>
  <c r="E43" i="4"/>
  <c r="H42" i="4"/>
  <c r="E42" i="4"/>
  <c r="H41" i="4"/>
  <c r="E41" i="4"/>
  <c r="H40" i="4"/>
  <c r="E40" i="4"/>
  <c r="J39" i="4"/>
  <c r="H39" i="4"/>
  <c r="E39" i="4"/>
  <c r="K38" i="4"/>
  <c r="H38" i="4"/>
  <c r="E38" i="4"/>
  <c r="K37" i="4"/>
  <c r="H37" i="4"/>
  <c r="E37" i="4"/>
  <c r="V36" i="4"/>
  <c r="K36" i="4"/>
  <c r="H36" i="4"/>
  <c r="E36" i="4"/>
  <c r="AA35" i="4"/>
  <c r="T35" i="4"/>
  <c r="J35" i="4"/>
  <c r="H35" i="4"/>
  <c r="E35" i="4"/>
  <c r="H34" i="4"/>
  <c r="E34" i="4"/>
  <c r="AA33" i="4"/>
  <c r="X33" i="4"/>
  <c r="T33" i="4"/>
  <c r="J33" i="4"/>
  <c r="H33" i="4"/>
  <c r="E33" i="4"/>
  <c r="V32" i="4"/>
  <c r="U32" i="4"/>
  <c r="P32" i="4"/>
  <c r="H32" i="4"/>
  <c r="E32" i="4"/>
  <c r="P31" i="4"/>
  <c r="L31" i="4"/>
  <c r="H31" i="4"/>
  <c r="E31" i="4"/>
  <c r="X30" i="4"/>
  <c r="K30" i="4"/>
  <c r="H30" i="4"/>
  <c r="E30" i="4"/>
  <c r="U29" i="4"/>
  <c r="S29" i="4"/>
  <c r="J29" i="4"/>
  <c r="H29" i="4"/>
  <c r="E29" i="4"/>
  <c r="U28" i="4"/>
  <c r="H28" i="4"/>
  <c r="E28" i="4"/>
  <c r="H27" i="4"/>
  <c r="E27" i="4"/>
  <c r="H26" i="4"/>
  <c r="E26" i="4"/>
  <c r="AA25" i="4"/>
  <c r="T25" i="4"/>
  <c r="J25" i="4"/>
  <c r="H25" i="4"/>
  <c r="E25" i="4"/>
  <c r="V24" i="4"/>
  <c r="U24" i="4"/>
  <c r="T24" i="4"/>
  <c r="S24" i="4"/>
  <c r="J24" i="4"/>
  <c r="H24" i="4"/>
  <c r="E24" i="4"/>
  <c r="X23" i="4"/>
  <c r="H23" i="4"/>
  <c r="E23" i="4"/>
  <c r="AA22" i="4"/>
  <c r="T22" i="4"/>
  <c r="J22" i="4"/>
  <c r="H22" i="4"/>
  <c r="E22" i="4"/>
  <c r="H21" i="4"/>
  <c r="E21" i="4"/>
  <c r="AA20" i="4"/>
  <c r="Z20" i="4"/>
  <c r="U20" i="4"/>
  <c r="J20" i="4"/>
  <c r="H20" i="4"/>
  <c r="E20" i="4"/>
  <c r="T19" i="4"/>
  <c r="S19" i="4"/>
  <c r="J19" i="4"/>
  <c r="I19" i="4"/>
  <c r="H19" i="4"/>
  <c r="E19" i="4"/>
  <c r="AA18" i="4"/>
  <c r="O18" i="4"/>
  <c r="N18" i="4"/>
  <c r="J18" i="4"/>
  <c r="H18" i="4"/>
  <c r="E18" i="4"/>
  <c r="J17" i="4"/>
  <c r="I17" i="4"/>
  <c r="H17" i="4"/>
  <c r="E17" i="4"/>
  <c r="AA16" i="4"/>
  <c r="Z16" i="4"/>
  <c r="J16" i="4"/>
  <c r="H16" i="4"/>
  <c r="E16" i="4"/>
  <c r="AA15" i="4"/>
  <c r="Z15" i="4"/>
  <c r="T15" i="4"/>
  <c r="J15" i="4"/>
  <c r="H15" i="4"/>
  <c r="E15" i="4"/>
  <c r="AA14" i="4"/>
  <c r="T14" i="4"/>
  <c r="S14" i="4"/>
  <c r="J14" i="4"/>
  <c r="H14" i="4"/>
  <c r="E14" i="4"/>
  <c r="K13" i="4"/>
  <c r="H13" i="4"/>
  <c r="E13" i="4"/>
  <c r="AA12" i="4"/>
  <c r="Z12" i="4"/>
  <c r="J12" i="4"/>
  <c r="H12" i="4"/>
  <c r="E12" i="4"/>
  <c r="V11" i="4"/>
  <c r="K11" i="4"/>
  <c r="H11" i="4"/>
  <c r="E11" i="4"/>
  <c r="H10" i="4"/>
  <c r="E10" i="4"/>
  <c r="H9" i="4"/>
  <c r="E9" i="4"/>
  <c r="H8" i="4"/>
  <c r="E8" i="4"/>
  <c r="H7" i="4"/>
  <c r="E7" i="4"/>
  <c r="K6" i="4"/>
  <c r="H6" i="4"/>
  <c r="E6" i="4"/>
  <c r="H5" i="4"/>
  <c r="E5" i="4"/>
  <c r="H4" i="4"/>
  <c r="E4" i="4"/>
  <c r="H3" i="4"/>
  <c r="E3" i="4"/>
</calcChain>
</file>

<file path=xl/sharedStrings.xml><?xml version="1.0" encoding="utf-8"?>
<sst xmlns="http://schemas.openxmlformats.org/spreadsheetml/2006/main" count="2890" uniqueCount="1248">
  <si>
    <t>順位</t>
  </si>
  <si>
    <t>SAT競技者番号</t>
  </si>
  <si>
    <t>選手氏名</t>
  </si>
  <si>
    <t>団体名</t>
  </si>
  <si>
    <t>期末ポイント</t>
  </si>
  <si>
    <t>期末Fig</t>
  </si>
  <si>
    <t>最終登録年度</t>
  </si>
  <si>
    <t>前年度ポイント</t>
  </si>
  <si>
    <t>ラッチ（RACH)</t>
  </si>
  <si>
    <t>①</t>
  </si>
  <si>
    <t>東京都高等学校体育連盟スキー部</t>
  </si>
  <si>
    <t>*</t>
  </si>
  <si>
    <t>カンダハートライブ レーシング</t>
  </si>
  <si>
    <t>サンダーグスキークラブ</t>
  </si>
  <si>
    <t>ＩＣＩ石井スポーツスキークラブ</t>
  </si>
  <si>
    <t>八王子スキー連盟</t>
  </si>
  <si>
    <t>スノースケープ</t>
  </si>
  <si>
    <t>ディップス スキークラブ</t>
  </si>
  <si>
    <t>野辺山スキークラブ</t>
  </si>
  <si>
    <t>東京都中学校体育連盟スキー部</t>
  </si>
  <si>
    <t>武蔵野市スキー連盟</t>
  </si>
  <si>
    <t>ゲインレーシングチーム</t>
  </si>
  <si>
    <t>北区スキー連盟</t>
  </si>
  <si>
    <t>エーデル・スキー・クラブ</t>
  </si>
  <si>
    <t>アスペンスキークラブ</t>
  </si>
  <si>
    <t>エスプーマスキーチーム</t>
  </si>
  <si>
    <t>東京デフスキークラブ</t>
  </si>
  <si>
    <t>ステューピッドスキークラブ</t>
  </si>
  <si>
    <t>ＭＡＸＩＭＵＭスキーチーム</t>
  </si>
  <si>
    <t>ホリディスキークラブ</t>
  </si>
  <si>
    <t>浅貝スキークラブ</t>
  </si>
  <si>
    <t>東京スキー研究会</t>
  </si>
  <si>
    <t>ＵＮＯスキークラブ</t>
  </si>
  <si>
    <t>若葉スキークラブ</t>
  </si>
  <si>
    <t>アカデミースキークラブ</t>
  </si>
  <si>
    <t>チームディーエルベーハースキークラブ</t>
  </si>
  <si>
    <t>東京アマチュア・スキー・クラブ</t>
  </si>
  <si>
    <t>日立製作所本社スキー部</t>
  </si>
  <si>
    <t>練馬区スキー協会</t>
  </si>
  <si>
    <t>チロルスキークラブ</t>
  </si>
  <si>
    <t>大田区役所スキー部</t>
  </si>
  <si>
    <t>ジャスク</t>
  </si>
  <si>
    <t>チーム　ラッシュ</t>
  </si>
  <si>
    <t>スキーチームアスリート</t>
  </si>
  <si>
    <t>丸沼高原レーシングクラブ</t>
  </si>
  <si>
    <t>杉並区スキー連盟</t>
  </si>
  <si>
    <t>世田谷区スキー協会</t>
  </si>
  <si>
    <t>アロースキークラブ</t>
  </si>
  <si>
    <t>ブランシェリースキー クローブ</t>
  </si>
  <si>
    <t>新宿スキークラブ</t>
  </si>
  <si>
    <t>バディスポーツクラブ</t>
  </si>
  <si>
    <t>グランバン・レーシング</t>
  </si>
  <si>
    <t>江東区スキー連盟</t>
  </si>
  <si>
    <t>清瀬スキー倶楽部</t>
  </si>
  <si>
    <t>ウィッツ</t>
  </si>
  <si>
    <t>アールビー　トウキョウ</t>
  </si>
  <si>
    <t>トラームスキークラブ</t>
  </si>
  <si>
    <t>ツィールトウキョウ（Ｚieｌ Tokyo)</t>
  </si>
  <si>
    <t>日本ユニシススキークラブ</t>
  </si>
  <si>
    <t>成城スキークラブ</t>
  </si>
  <si>
    <t>ユーエスエムアール</t>
  </si>
  <si>
    <t>ＮＥＣ府中スキー部</t>
  </si>
  <si>
    <t>エスプリレーシング</t>
  </si>
  <si>
    <t>二十日石アルペンスキークラブ</t>
  </si>
  <si>
    <t>特別区職員文化体育会スキー部</t>
  </si>
  <si>
    <t>三鷹市スキー連盟</t>
  </si>
  <si>
    <t>東京ベーレンスキークラブ</t>
  </si>
  <si>
    <t>ヌプリスキー同人</t>
  </si>
  <si>
    <t>港区スキー連盟</t>
  </si>
  <si>
    <t>フロイデ・シー・グルッペ</t>
  </si>
  <si>
    <t>ベラーク</t>
  </si>
  <si>
    <t>板橋区スキー協会</t>
  </si>
  <si>
    <t>トルベ・コムラード</t>
  </si>
  <si>
    <t>雪桜会</t>
  </si>
  <si>
    <t>チーム・ビートゥー・ゼット</t>
  </si>
  <si>
    <t>渋谷区スキー連盟</t>
  </si>
  <si>
    <t>白馬スキークラブ</t>
  </si>
  <si>
    <t>三田ディモンズクラブ</t>
  </si>
  <si>
    <t>三田リーゼンスキークラブ</t>
  </si>
  <si>
    <t>日本レーシングスキークラブ</t>
  </si>
  <si>
    <t>スポーツファンクション</t>
  </si>
  <si>
    <t>シュアスキークラブ</t>
  </si>
  <si>
    <t>ジーファクトリー</t>
  </si>
  <si>
    <t>Ｓ．Ｃ．コロポックル</t>
  </si>
  <si>
    <t>ヴァイス・ホルン</t>
  </si>
  <si>
    <t>ＫＤＤＩスキークラブ</t>
  </si>
  <si>
    <t>仲山スキークラブ</t>
  </si>
  <si>
    <t>多摩市スキー連盟</t>
  </si>
  <si>
    <t>クラシックスキークラブ</t>
  </si>
  <si>
    <t>アートスポーツスキークラブ</t>
  </si>
  <si>
    <t>日本アルペンスキークラブ</t>
  </si>
  <si>
    <t>東京スポーツマンクラブ</t>
  </si>
  <si>
    <t>野村 希</t>
  </si>
  <si>
    <t>ＮＴＴ東京スキー部</t>
  </si>
  <si>
    <t>アルピナグループ</t>
  </si>
  <si>
    <t>スラロームスキークラブ</t>
  </si>
  <si>
    <t>アシックス・スキークラブ</t>
  </si>
  <si>
    <t>チーム フォン (TEAM VON)</t>
  </si>
  <si>
    <t>鈴木 修太郎</t>
  </si>
  <si>
    <t>一ノ瀬 丞</t>
  </si>
  <si>
    <t>山口 礼雅</t>
  </si>
  <si>
    <t>秋本 健太</t>
  </si>
  <si>
    <t>坂本 貴優</t>
  </si>
  <si>
    <t>田中 亜留羽</t>
  </si>
  <si>
    <t>高原 悠綺</t>
  </si>
  <si>
    <t>Ｚスキークラブ</t>
  </si>
  <si>
    <t>鈴木 一生</t>
  </si>
  <si>
    <t>森下 颯大</t>
  </si>
  <si>
    <t>永田 嵐</t>
  </si>
  <si>
    <t>木村 翔馬</t>
  </si>
  <si>
    <t>平野 颯人</t>
  </si>
  <si>
    <t>岡本 龍</t>
  </si>
  <si>
    <t>奥村 英樹</t>
  </si>
  <si>
    <t>萩生田 純宇</t>
  </si>
  <si>
    <t>鈴木 朋哉</t>
  </si>
  <si>
    <t>萩生田 博之</t>
  </si>
  <si>
    <t>荒井 大地</t>
  </si>
  <si>
    <t>齋木 秀哉</t>
  </si>
  <si>
    <t>市川 隼也</t>
  </si>
  <si>
    <t>康野 皓嗣</t>
  </si>
  <si>
    <t>吉田 裕治</t>
  </si>
  <si>
    <t>篠原 広大</t>
  </si>
  <si>
    <t>市川 岳海</t>
  </si>
  <si>
    <t>工藤 亮太</t>
  </si>
  <si>
    <t>篠木 知</t>
  </si>
  <si>
    <t>窪島 竜太</t>
  </si>
  <si>
    <t>西山 陸斗</t>
  </si>
  <si>
    <t>岡田 勝義</t>
  </si>
  <si>
    <t>増田 蒼</t>
  </si>
  <si>
    <t>荒井 祐治</t>
  </si>
  <si>
    <t>モンタナスキークラブ</t>
  </si>
  <si>
    <t>瓦井 海年</t>
  </si>
  <si>
    <t>鈴木 真</t>
  </si>
  <si>
    <t>ＧＯＤレーシング</t>
  </si>
  <si>
    <t>ファイヤーレーシングチーム</t>
  </si>
  <si>
    <t>平松 直季</t>
  </si>
  <si>
    <t>竹内 明</t>
  </si>
  <si>
    <t>村山 高志</t>
  </si>
  <si>
    <t>湯口 暁</t>
  </si>
  <si>
    <t>黒澤 俊平</t>
  </si>
  <si>
    <t>マイズ（MyS）スキークラブ</t>
  </si>
  <si>
    <t>栗山 一輝</t>
  </si>
  <si>
    <t>ミーナン シーフラ</t>
  </si>
  <si>
    <t>宮脇 駿</t>
  </si>
  <si>
    <t>三原 蔵</t>
  </si>
  <si>
    <t>秋山 航一</t>
  </si>
  <si>
    <t>秋元 嘉幸</t>
  </si>
  <si>
    <t>スノーウインドスキークラブ</t>
  </si>
  <si>
    <t>手塚 達也</t>
  </si>
  <si>
    <t>武井 哲応</t>
  </si>
  <si>
    <t>山内 直己</t>
  </si>
  <si>
    <t>水川 太貴</t>
  </si>
  <si>
    <t>戸祭 修平</t>
  </si>
  <si>
    <t>峰咲 誠弥</t>
  </si>
  <si>
    <t>志村 康太</t>
  </si>
  <si>
    <t>髙井 勇翔</t>
  </si>
  <si>
    <t>片野 景太</t>
  </si>
  <si>
    <t>中村 光宏</t>
  </si>
  <si>
    <t>古川 信行</t>
  </si>
  <si>
    <t>西尾 一輝</t>
  </si>
  <si>
    <t>大平 誠</t>
  </si>
  <si>
    <t>青木 麗雅</t>
  </si>
  <si>
    <t>西原 駿介</t>
  </si>
  <si>
    <t>石渡 亮</t>
  </si>
  <si>
    <t>渕脇 滉太</t>
  </si>
  <si>
    <t>栗原 渉</t>
  </si>
  <si>
    <t>村本 成洋</t>
  </si>
  <si>
    <t>サウンズスキークラブ</t>
  </si>
  <si>
    <t>生形 嘉良</t>
  </si>
  <si>
    <t>前田 湧作</t>
  </si>
  <si>
    <t>山田 裕之</t>
  </si>
  <si>
    <t>大野 兼司</t>
  </si>
  <si>
    <t>荒井 元気</t>
  </si>
  <si>
    <t>河辺 敏郎</t>
  </si>
  <si>
    <t>川又 眞綱</t>
  </si>
  <si>
    <t>片山 亮志</t>
  </si>
  <si>
    <t>浅見 裕</t>
  </si>
  <si>
    <t>内山 祐一</t>
  </si>
  <si>
    <t>沼田 雅人</t>
  </si>
  <si>
    <t>青木 智洋</t>
  </si>
  <si>
    <t>日留川 領介</t>
  </si>
  <si>
    <t>小宮 章弘</t>
  </si>
  <si>
    <t>日紫喜 薫</t>
  </si>
  <si>
    <t>伴 健太郎</t>
  </si>
  <si>
    <t>大江 健嗣</t>
  </si>
  <si>
    <t>吉武 竜輝</t>
  </si>
  <si>
    <t>小松原 誠</t>
  </si>
  <si>
    <t>吉澤 雅晴</t>
  </si>
  <si>
    <t>江頭 至光</t>
  </si>
  <si>
    <t>バモススキークラブ</t>
  </si>
  <si>
    <t>横山 省</t>
  </si>
  <si>
    <t>山中 駿</t>
  </si>
  <si>
    <t>福島 光伸</t>
  </si>
  <si>
    <t>阿部 宗司</t>
  </si>
  <si>
    <t>伊藤 裕行</t>
  </si>
  <si>
    <t>康野 瑛嗣</t>
  </si>
  <si>
    <t>野々山 淳</t>
  </si>
  <si>
    <t>清水 靖男</t>
  </si>
  <si>
    <t>富安 有爾</t>
  </si>
  <si>
    <t>北原 貴太</t>
  </si>
  <si>
    <t>井上 雅王</t>
  </si>
  <si>
    <t>野原 徹雄</t>
  </si>
  <si>
    <t>田中 慈音</t>
  </si>
  <si>
    <t>大髙 裕生</t>
  </si>
  <si>
    <t>木島 秀夫</t>
  </si>
  <si>
    <t>JFEスチールスキー部</t>
  </si>
  <si>
    <t>本山 貴大</t>
  </si>
  <si>
    <t>堀尾 和正</t>
  </si>
  <si>
    <t>ヴェーデルンスキークラブ</t>
  </si>
  <si>
    <t>河野 太郎</t>
  </si>
  <si>
    <t>川手 健太郎</t>
  </si>
  <si>
    <t>村上 雅也</t>
  </si>
  <si>
    <t>服部 正史</t>
  </si>
  <si>
    <t>伴 啓明</t>
  </si>
  <si>
    <t>小平市スキー連盟</t>
  </si>
  <si>
    <t>坂井 智和</t>
  </si>
  <si>
    <t>スノータンネットクラブ</t>
  </si>
  <si>
    <t>岡本 悟</t>
  </si>
  <si>
    <t>川口 一司</t>
  </si>
  <si>
    <t>スキー愛好会プルーク</t>
  </si>
  <si>
    <t>横山 哲也</t>
  </si>
  <si>
    <t>東京アルム・スキークラブ</t>
  </si>
  <si>
    <t>星野 英郎</t>
  </si>
  <si>
    <t>小笠原 世亜</t>
  </si>
  <si>
    <t>浅輪 景一</t>
  </si>
  <si>
    <t>松田 祐兒</t>
  </si>
  <si>
    <t>前田 将宏</t>
  </si>
  <si>
    <t>深澤 伸朗</t>
  </si>
  <si>
    <t>濱野 真之</t>
  </si>
  <si>
    <t>東谷 学由</t>
  </si>
  <si>
    <t>幸得 凌大</t>
  </si>
  <si>
    <t>瀬田 昌彦</t>
  </si>
  <si>
    <t>篠塚 成輝</t>
  </si>
  <si>
    <t>酒井 貴弘</t>
  </si>
  <si>
    <t>中野区スキー協会</t>
  </si>
  <si>
    <t>福岡 大知</t>
  </si>
  <si>
    <t>松田 笙太郎</t>
  </si>
  <si>
    <t>福室 心</t>
  </si>
  <si>
    <t>相馬 悟</t>
  </si>
  <si>
    <t>新名 将也</t>
  </si>
  <si>
    <t>安川 嘉敬</t>
  </si>
  <si>
    <t>高橋 尚暉</t>
  </si>
  <si>
    <t>境 悠太</t>
  </si>
  <si>
    <t>馬場 健哉</t>
  </si>
  <si>
    <t>鈴木 鷹平</t>
  </si>
  <si>
    <t>星野 倭山</t>
  </si>
  <si>
    <t>宮脇 瞭</t>
  </si>
  <si>
    <t>清水 悟</t>
  </si>
  <si>
    <t>シール・クラブ</t>
  </si>
  <si>
    <t>干場 英城</t>
  </si>
  <si>
    <t>福岡 利悦</t>
  </si>
  <si>
    <t>林 幸司</t>
  </si>
  <si>
    <t>スノーマン</t>
  </si>
  <si>
    <t>石川 忠良</t>
  </si>
  <si>
    <t>澤田 健</t>
  </si>
  <si>
    <t>栗林 一成</t>
  </si>
  <si>
    <t>市川 知宏</t>
  </si>
  <si>
    <t>杉浦 仁</t>
  </si>
  <si>
    <t>三浦 雄輝</t>
  </si>
  <si>
    <t>天谷 祥吾</t>
  </si>
  <si>
    <t>亀山 詔一</t>
  </si>
  <si>
    <t>大塚 裕太</t>
  </si>
  <si>
    <t>馬場 雅哉</t>
  </si>
  <si>
    <t>池野 大介</t>
  </si>
  <si>
    <t>林 昭三</t>
  </si>
  <si>
    <t>新出 翔太</t>
  </si>
  <si>
    <t>神蔵 順一朗</t>
  </si>
  <si>
    <t>松野 賢一</t>
  </si>
  <si>
    <t>福田 凌介</t>
  </si>
  <si>
    <t>高橋 廣</t>
  </si>
  <si>
    <t>宇佐見 裕</t>
  </si>
  <si>
    <t>吉田 祥貴</t>
  </si>
  <si>
    <t>高橋 勇太郎</t>
  </si>
  <si>
    <t>上野 歩夢</t>
  </si>
  <si>
    <t>伊藤 肇</t>
  </si>
  <si>
    <t>ペガーズスキークラブ</t>
  </si>
  <si>
    <t>日下部 卓哉</t>
  </si>
  <si>
    <t>入江 哲郎</t>
  </si>
  <si>
    <t>野村 一貴</t>
  </si>
  <si>
    <t>小塩 慶人</t>
  </si>
  <si>
    <t>大高 昇</t>
  </si>
  <si>
    <t>摠谷 怜隼</t>
  </si>
  <si>
    <t>高山 元成</t>
  </si>
  <si>
    <t>片桐 哲夫</t>
  </si>
  <si>
    <t>前波 賢彦</t>
  </si>
  <si>
    <t>大武 正幸</t>
  </si>
  <si>
    <t>上村 黎</t>
  </si>
  <si>
    <t>重光 玄</t>
  </si>
  <si>
    <t>野上 信悟</t>
  </si>
  <si>
    <t>根津 佑介</t>
  </si>
  <si>
    <t>後藤 和海</t>
  </si>
  <si>
    <t>手塚 雅貴</t>
  </si>
  <si>
    <t>清野 雅彦</t>
  </si>
  <si>
    <t>大高 照平</t>
  </si>
  <si>
    <t>斉藤 博幸</t>
  </si>
  <si>
    <t>辻 卓弥</t>
  </si>
  <si>
    <t>吉田 裕</t>
  </si>
  <si>
    <t>有馬 卓郎</t>
  </si>
  <si>
    <t>ふくろうスキークラブ</t>
  </si>
  <si>
    <t>福岡 秀幸</t>
  </si>
  <si>
    <t>大内 武彦</t>
  </si>
  <si>
    <t>須賀 亮太</t>
  </si>
  <si>
    <t>保江 佳克</t>
  </si>
  <si>
    <t>大田 想楽</t>
  </si>
  <si>
    <t>吉川 昌宏</t>
  </si>
  <si>
    <t>丸山 貴宏</t>
  </si>
  <si>
    <t>佐藤 大悟</t>
  </si>
  <si>
    <t>今野 敬行</t>
  </si>
  <si>
    <t>早道 奏喜</t>
  </si>
  <si>
    <t>藤枝 良男</t>
  </si>
  <si>
    <t>竹内 宇音</t>
  </si>
  <si>
    <t>西川 建</t>
  </si>
  <si>
    <t>頼光 竜二郎</t>
  </si>
  <si>
    <t>横田 剛直</t>
  </si>
  <si>
    <t>森川 勉</t>
  </si>
  <si>
    <t>市河 宏章</t>
  </si>
  <si>
    <t>石野 雄一</t>
  </si>
  <si>
    <t>田沢 慎吾</t>
  </si>
  <si>
    <t>岡本 宏和</t>
  </si>
  <si>
    <t>武蔵村山スキー協会</t>
  </si>
  <si>
    <t>福田 博文</t>
  </si>
  <si>
    <t>府中市スキー連盟</t>
  </si>
  <si>
    <t>髙杉 豪</t>
  </si>
  <si>
    <t>スキーサークルスリム</t>
  </si>
  <si>
    <t>小林 弘典</t>
  </si>
  <si>
    <t>加藤 裕</t>
  </si>
  <si>
    <t>柚木 裕明</t>
  </si>
  <si>
    <t>紀 晃太</t>
  </si>
  <si>
    <t>野中 走馬</t>
  </si>
  <si>
    <t>安國 貴彦</t>
  </si>
  <si>
    <t>中島 世生</t>
  </si>
  <si>
    <t>髙橋 雄司</t>
  </si>
  <si>
    <t>今野 太生</t>
  </si>
  <si>
    <t>堂内 憲治</t>
  </si>
  <si>
    <t>中村 英樹</t>
  </si>
  <si>
    <t>大沼 修</t>
  </si>
  <si>
    <t>熊谷 和則</t>
  </si>
  <si>
    <t>小平 健太郎</t>
  </si>
  <si>
    <t>紺谷 克昌</t>
  </si>
  <si>
    <t>高橋 俊晴</t>
  </si>
  <si>
    <t>柳川 誠一郎</t>
  </si>
  <si>
    <t>髙橋 駿太</t>
  </si>
  <si>
    <t>尼崎 義郎</t>
  </si>
  <si>
    <t>須藤 圭一</t>
  </si>
  <si>
    <t>梅原 久</t>
  </si>
  <si>
    <t>加藤 禎博</t>
  </si>
  <si>
    <t>加来 彩人</t>
  </si>
  <si>
    <t>山下 登</t>
  </si>
  <si>
    <t>浦井 芳洋</t>
  </si>
  <si>
    <t>石川 賢</t>
  </si>
  <si>
    <t>上村 爽</t>
  </si>
  <si>
    <t>鈴木 貴大</t>
  </si>
  <si>
    <t>松村 周平</t>
  </si>
  <si>
    <t>蔵前 優生</t>
  </si>
  <si>
    <t>西原 優太</t>
  </si>
  <si>
    <t>秋山 功</t>
  </si>
  <si>
    <t>遠藤 太郎</t>
  </si>
  <si>
    <t>瀬戸崎 健</t>
  </si>
  <si>
    <t>遠藤 正紀</t>
  </si>
  <si>
    <t>斎藤 充</t>
  </si>
  <si>
    <t>竹山 晃司</t>
  </si>
  <si>
    <t>澤田 祐二</t>
  </si>
  <si>
    <t>上野 雄平</t>
  </si>
  <si>
    <t>鈴木 望</t>
  </si>
  <si>
    <t>杉山 幹直</t>
  </si>
  <si>
    <t>髙橋 ヤマト</t>
  </si>
  <si>
    <t>竹内 弘之</t>
  </si>
  <si>
    <t>島田 樹空</t>
  </si>
  <si>
    <t>廣作 拓郎</t>
  </si>
  <si>
    <t>坂崎 一郎</t>
  </si>
  <si>
    <t>高杉 晋治</t>
  </si>
  <si>
    <t>松山 光男</t>
  </si>
  <si>
    <t>鈴木 脩斗</t>
  </si>
  <si>
    <t>遠藤 裕太</t>
  </si>
  <si>
    <t>山本 拓磨</t>
  </si>
  <si>
    <t>小野 雄一</t>
  </si>
  <si>
    <t>今村 郁男</t>
  </si>
  <si>
    <t>吉野 尚恭</t>
  </si>
  <si>
    <t>ジューディッチ ロメオ</t>
  </si>
  <si>
    <t>島田 喜久則</t>
  </si>
  <si>
    <t>中川 圭介</t>
  </si>
  <si>
    <t>大湯 正彦</t>
  </si>
  <si>
    <t>横山 周人</t>
  </si>
  <si>
    <t>須藤 公貴</t>
  </si>
  <si>
    <t>荻生 紳太郎</t>
  </si>
  <si>
    <t>古川 浩次</t>
  </si>
  <si>
    <t>広瀬 逸郎</t>
  </si>
  <si>
    <t>大木 寛人</t>
  </si>
  <si>
    <t>谷延 愼司</t>
  </si>
  <si>
    <t>海山 智九</t>
  </si>
  <si>
    <t>清水 則雪</t>
  </si>
  <si>
    <t>青木 祐介</t>
  </si>
  <si>
    <t>福室 直志</t>
  </si>
  <si>
    <t>粕谷 岳洋</t>
  </si>
  <si>
    <t>藤 皓貴</t>
  </si>
  <si>
    <t>田中 智樹</t>
  </si>
  <si>
    <t>福嶋 剛</t>
  </si>
  <si>
    <t>長尾 峻治</t>
  </si>
  <si>
    <t>板羽 佑樹</t>
  </si>
  <si>
    <t>阿部 祐三</t>
  </si>
  <si>
    <t>東京消防庁スキー部</t>
  </si>
  <si>
    <t>篠 誠</t>
  </si>
  <si>
    <t>赤尾 豪宜</t>
  </si>
  <si>
    <t>川上 光一</t>
  </si>
  <si>
    <t>木村 久一</t>
  </si>
  <si>
    <t>髙橋 大喜</t>
  </si>
  <si>
    <t>坂内 友岳</t>
  </si>
  <si>
    <t>平岡 一志</t>
  </si>
  <si>
    <t>吉川 剛志</t>
  </si>
  <si>
    <t>福田 智弘</t>
  </si>
  <si>
    <t>酒井 直希</t>
  </si>
  <si>
    <t>木所 雅征</t>
  </si>
  <si>
    <t>十河 義勝</t>
  </si>
  <si>
    <t>横山 真太郎</t>
  </si>
  <si>
    <t>瀬戸 信治</t>
  </si>
  <si>
    <t>香取 優斗</t>
  </si>
  <si>
    <t>神尾 昴雅</t>
  </si>
  <si>
    <t>黒越 亮史</t>
  </si>
  <si>
    <t>山田 範秀</t>
  </si>
  <si>
    <t>久和野 純也</t>
  </si>
  <si>
    <t>増田 卓郎</t>
  </si>
  <si>
    <t>小林 東次</t>
  </si>
  <si>
    <t>山田 孝夫</t>
  </si>
  <si>
    <t>石崎 英文</t>
  </si>
  <si>
    <t>森北 和志</t>
  </si>
  <si>
    <t>小野木 直人</t>
  </si>
  <si>
    <t>大橋 拓真</t>
  </si>
  <si>
    <t>飯塚 修平</t>
  </si>
  <si>
    <t>吉野 康博</t>
  </si>
  <si>
    <t>東京ミタカファーストスキークラブ</t>
  </si>
  <si>
    <t>阿部 謙一</t>
  </si>
  <si>
    <t>海部 圭史</t>
  </si>
  <si>
    <t>長瀬 好幸</t>
  </si>
  <si>
    <t>川崎 俊輔</t>
  </si>
  <si>
    <t>菊池 立身</t>
  </si>
  <si>
    <t>河村 達哉</t>
  </si>
  <si>
    <t>杉本 明俊</t>
  </si>
  <si>
    <t>遊佐 詔一</t>
  </si>
  <si>
    <t>渡会 一成</t>
  </si>
  <si>
    <t>廣田 香有</t>
  </si>
  <si>
    <t>宮崎 浩</t>
  </si>
  <si>
    <t>小沼 雄暉</t>
  </si>
  <si>
    <t>阿部 光一郎</t>
  </si>
  <si>
    <t>中野 義達</t>
  </si>
  <si>
    <t>無量小路 俊輔</t>
  </si>
  <si>
    <t>是枝 祐太</t>
  </si>
  <si>
    <t>吉澤 采佑</t>
  </si>
  <si>
    <t>高橋 貞史</t>
  </si>
  <si>
    <t>東京都庁体育会スキー部</t>
  </si>
  <si>
    <t>金子 大翔</t>
  </si>
  <si>
    <t>田中 敏明</t>
  </si>
  <si>
    <t>神田 友義</t>
  </si>
  <si>
    <t>田中 基</t>
  </si>
  <si>
    <t>武井 雅大</t>
  </si>
  <si>
    <t>熊沢 明</t>
  </si>
  <si>
    <t>吉川 慶治郎</t>
  </si>
  <si>
    <t>竹本 圭佑</t>
  </si>
  <si>
    <t>ブルース クロフォード</t>
  </si>
  <si>
    <t>榎本 雄高</t>
  </si>
  <si>
    <t>窪田 哲也</t>
  </si>
  <si>
    <t>鳥居 正行</t>
  </si>
  <si>
    <t>吉田 哲平</t>
  </si>
  <si>
    <t>伊藤 拓美</t>
  </si>
  <si>
    <t>吉田 尭</t>
  </si>
  <si>
    <t>立野 博之</t>
  </si>
  <si>
    <t>黒崎 信之</t>
  </si>
  <si>
    <t>飯山 堅介</t>
  </si>
  <si>
    <t>中田 祐希</t>
  </si>
  <si>
    <t>梶原 龍之佑</t>
  </si>
  <si>
    <t>三井 伸一</t>
  </si>
  <si>
    <t>秋元 俊祐</t>
  </si>
  <si>
    <t>柴崎 功士</t>
  </si>
  <si>
    <t>中山 健史</t>
  </si>
  <si>
    <t>山崎 湧太</t>
  </si>
  <si>
    <t>山田 勝巳</t>
  </si>
  <si>
    <t>ホワイト・ベア・クラブ</t>
  </si>
  <si>
    <t>小川 ルーク</t>
  </si>
  <si>
    <t>佐藤 稜</t>
  </si>
  <si>
    <t>武井 克己</t>
  </si>
  <si>
    <t>秦 義史</t>
  </si>
  <si>
    <t>粟津 健太</t>
  </si>
  <si>
    <t>佐々木 健一</t>
  </si>
  <si>
    <t>石井 哲也</t>
  </si>
  <si>
    <t>馬越 太朗</t>
  </si>
  <si>
    <t>笛木 正一</t>
  </si>
  <si>
    <t>石井 啓太</t>
  </si>
  <si>
    <t>永田 俊太郎</t>
  </si>
  <si>
    <t>市村 隼人</t>
  </si>
  <si>
    <t>殿塚 崇央</t>
  </si>
  <si>
    <t>金井 均</t>
  </si>
  <si>
    <t>川田 誠</t>
  </si>
  <si>
    <t>中島 史晶</t>
  </si>
  <si>
    <t>谷 善樹</t>
  </si>
  <si>
    <t>榎本 来飛</t>
  </si>
  <si>
    <t>岡島 茂</t>
  </si>
  <si>
    <t>ノースウィンド  スキークラブ</t>
  </si>
  <si>
    <t>田中 勇太朗</t>
  </si>
  <si>
    <t>新村 末雄</t>
  </si>
  <si>
    <t>西崎 大悟</t>
  </si>
  <si>
    <t>三明 拓也</t>
  </si>
  <si>
    <t>渡辺 大悟</t>
  </si>
  <si>
    <t>豊野 悠次</t>
  </si>
  <si>
    <t>大月 暁信</t>
  </si>
  <si>
    <t>畑中 真一</t>
  </si>
  <si>
    <t>エコー・コムラード</t>
  </si>
  <si>
    <t>朝比奈 秀樹</t>
  </si>
  <si>
    <t>金子 晟三</t>
  </si>
  <si>
    <t>宮坂 優希</t>
  </si>
  <si>
    <t>横内 善雄</t>
  </si>
  <si>
    <t>石井 健嗣</t>
  </si>
  <si>
    <t>東出 憲一</t>
  </si>
  <si>
    <t>饗庭 佑亮</t>
  </si>
  <si>
    <t>久宗 克也</t>
  </si>
  <si>
    <t>内田 義明</t>
  </si>
  <si>
    <t>那須 正志</t>
  </si>
  <si>
    <t>渡辺 光</t>
  </si>
  <si>
    <t>高田 一磨</t>
  </si>
  <si>
    <t>兼松 聖</t>
  </si>
  <si>
    <t>高柳 良大</t>
  </si>
  <si>
    <t>柏木 直人</t>
  </si>
  <si>
    <t>斉藤 幸一</t>
  </si>
  <si>
    <t>大西 秀人</t>
  </si>
  <si>
    <t>星 勝実</t>
  </si>
  <si>
    <t>坂本 怜大</t>
  </si>
  <si>
    <t>長谷川 一弘</t>
  </si>
  <si>
    <t>小泉 和秀</t>
  </si>
  <si>
    <t>加藤 弘大</t>
  </si>
  <si>
    <t>鈴木 麻生</t>
  </si>
  <si>
    <t>嶋川 憲治</t>
  </si>
  <si>
    <t>野口 慧悟</t>
  </si>
  <si>
    <t>富久尾 真輝</t>
  </si>
  <si>
    <t>平山 陽之</t>
  </si>
  <si>
    <t>臼田 大樹</t>
  </si>
  <si>
    <t>花岡 正智</t>
  </si>
  <si>
    <t>比留間 光成</t>
  </si>
  <si>
    <t>佐々木 勇一</t>
  </si>
  <si>
    <t>立川 湧斗</t>
  </si>
  <si>
    <t>谷口 達彦</t>
  </si>
  <si>
    <t>大山 穂高</t>
  </si>
  <si>
    <t>高田 昭</t>
  </si>
  <si>
    <t>眞鍋 一樹</t>
  </si>
  <si>
    <t>大倉 滉太</t>
  </si>
  <si>
    <t>戸田 直人</t>
  </si>
  <si>
    <t>島田 眞人</t>
  </si>
  <si>
    <t>根岸 拓生</t>
  </si>
  <si>
    <t>辰巳 晶信</t>
  </si>
  <si>
    <t>盛 拓貴</t>
  </si>
  <si>
    <t>佐川 真啓</t>
  </si>
  <si>
    <t>山内 誠也</t>
  </si>
  <si>
    <t>木口 朋哉</t>
  </si>
  <si>
    <t>染谷 昌彦</t>
  </si>
  <si>
    <t>飯岡 方春</t>
  </si>
  <si>
    <t>茨木 富貴</t>
  </si>
  <si>
    <t>池内 伸行</t>
  </si>
  <si>
    <t>佐竹 伸之</t>
  </si>
  <si>
    <t>福原 力</t>
  </si>
  <si>
    <t>本広 春</t>
  </si>
  <si>
    <t>菊池 大基</t>
  </si>
  <si>
    <t>齋藤 裕樹</t>
  </si>
  <si>
    <t>大久保 聡</t>
  </si>
  <si>
    <t>喜連 祐一</t>
  </si>
  <si>
    <t>佐藤 善紀</t>
  </si>
  <si>
    <t>町田市スキー連盟</t>
  </si>
  <si>
    <t>伊藤 欣一</t>
  </si>
  <si>
    <t>高橋 智也</t>
  </si>
  <si>
    <t>柏木 秀仁</t>
  </si>
  <si>
    <t>国府方 昭二</t>
  </si>
  <si>
    <t>倉田 龍介</t>
  </si>
  <si>
    <t>角谷 航樹</t>
  </si>
  <si>
    <t>三浦 一秋</t>
  </si>
  <si>
    <t>佐藤 譲</t>
  </si>
  <si>
    <t>中村 重継</t>
  </si>
  <si>
    <t>桑原 悠樹</t>
  </si>
  <si>
    <t>山本 秀作</t>
  </si>
  <si>
    <t>脇谷 柊司</t>
  </si>
  <si>
    <t>田中 賢一郎</t>
  </si>
  <si>
    <t>豊島 昂太</t>
  </si>
  <si>
    <t>大中 友志</t>
  </si>
  <si>
    <t>八嶋 洋一</t>
  </si>
  <si>
    <t>林 大耀</t>
  </si>
  <si>
    <t>土居 昭</t>
  </si>
  <si>
    <t>梅沢 進</t>
  </si>
  <si>
    <t>髙橋 啓</t>
  </si>
  <si>
    <t>吉井 誠</t>
  </si>
  <si>
    <t>依田 真治</t>
  </si>
  <si>
    <t>野村 優太</t>
  </si>
  <si>
    <t>中山 隼佑</t>
  </si>
  <si>
    <t>太田 和敏</t>
  </si>
  <si>
    <t>阿部 裕崇</t>
  </si>
  <si>
    <t>松嶋 嶺</t>
  </si>
  <si>
    <t>トムテ スキークラブ</t>
  </si>
  <si>
    <t>城田 伸也</t>
  </si>
  <si>
    <t>市村 昇</t>
  </si>
  <si>
    <t>井上 裕大</t>
  </si>
  <si>
    <t>河合 信太朗</t>
  </si>
  <si>
    <t>西原 孝俊</t>
  </si>
  <si>
    <t>安藤 来波</t>
  </si>
  <si>
    <t>北村 優弥</t>
  </si>
  <si>
    <t>大澤 伶威</t>
  </si>
  <si>
    <t>近藤 英太</t>
  </si>
  <si>
    <t>坂本 暁祐</t>
  </si>
  <si>
    <t>酒井 優希</t>
  </si>
  <si>
    <t>押山 宏晃</t>
  </si>
  <si>
    <t>鈴木 日出男</t>
  </si>
  <si>
    <t>髙橋 幸男</t>
  </si>
  <si>
    <t>工藤 陽生</t>
  </si>
  <si>
    <t>松村 昌幸</t>
  </si>
  <si>
    <t>岡田 哲人</t>
  </si>
  <si>
    <t>松原 健</t>
  </si>
  <si>
    <t>渡嘉敷 健</t>
  </si>
  <si>
    <t>溝口 祥之介</t>
  </si>
  <si>
    <t>久末 信行</t>
  </si>
  <si>
    <t>山内 辰馬</t>
  </si>
  <si>
    <t>小野澤 泰智</t>
  </si>
  <si>
    <t>工藤 直樹</t>
  </si>
  <si>
    <t>塩原 明之</t>
  </si>
  <si>
    <t>柳田 秀樹</t>
  </si>
  <si>
    <t>小川 竜司</t>
  </si>
  <si>
    <t>和田 純一</t>
  </si>
  <si>
    <t>柴田 大斗</t>
  </si>
  <si>
    <t>野邊 倭</t>
  </si>
  <si>
    <t>平山 和成</t>
  </si>
  <si>
    <t>見波 弘</t>
  </si>
  <si>
    <t>今岡 湧人</t>
  </si>
  <si>
    <t>鈴木 秀駿</t>
  </si>
  <si>
    <t>杉田 雅宏</t>
  </si>
  <si>
    <t>ラッセルスキークラブ</t>
  </si>
  <si>
    <t>椿 秀啓</t>
  </si>
  <si>
    <t>白崎 弘隆</t>
  </si>
  <si>
    <t>目黒 博雄</t>
  </si>
  <si>
    <t>清水 颯太</t>
  </si>
  <si>
    <t>笠間 桂次</t>
  </si>
  <si>
    <t>吉田 治彦</t>
  </si>
  <si>
    <t>東 雄二郎</t>
  </si>
  <si>
    <t>関 義男</t>
  </si>
  <si>
    <t>永吉 洸綺</t>
  </si>
  <si>
    <t>小沼 佳史</t>
  </si>
  <si>
    <t>芝 諒真</t>
  </si>
  <si>
    <t>大塚 恒洸</t>
  </si>
  <si>
    <t>森田 哲男</t>
  </si>
  <si>
    <t>藤森 幸三</t>
  </si>
  <si>
    <t>控井 悠太</t>
  </si>
  <si>
    <t>荒田 渓登</t>
  </si>
  <si>
    <t>永沼 崇彦</t>
  </si>
  <si>
    <t>川島 敏男</t>
  </si>
  <si>
    <t>佐藤 和彦</t>
  </si>
  <si>
    <t>栗原 玲音</t>
  </si>
  <si>
    <t>高津 義喜</t>
  </si>
  <si>
    <t>松本 周大</t>
  </si>
  <si>
    <t>中野 圭ニ</t>
  </si>
  <si>
    <t>柳田 雄大</t>
  </si>
  <si>
    <t>島村 蒼天</t>
  </si>
  <si>
    <t>伊藤 匠人</t>
  </si>
  <si>
    <t>磯 雄一</t>
  </si>
  <si>
    <t>酒井 宙</t>
  </si>
  <si>
    <t>鈴木 岳人</t>
  </si>
  <si>
    <t>家田 智也</t>
  </si>
  <si>
    <t>吉澤 恒平</t>
  </si>
  <si>
    <t>佐藤 励</t>
  </si>
  <si>
    <t>金田 和也</t>
  </si>
  <si>
    <t>関谷 隼太郎</t>
  </si>
  <si>
    <t>若木 陸真</t>
  </si>
  <si>
    <t>秦 憲伸</t>
  </si>
  <si>
    <t>沢 正樹</t>
  </si>
  <si>
    <t>宮澤 慶</t>
  </si>
  <si>
    <t>宮木 泰造</t>
  </si>
  <si>
    <t>谷口 寿保　</t>
  </si>
  <si>
    <t>冨田 貴仁</t>
  </si>
  <si>
    <t>佐藤 康紀</t>
  </si>
  <si>
    <t>望月 史</t>
  </si>
  <si>
    <t>皆川 真潤</t>
  </si>
  <si>
    <t>形屋 亮一</t>
  </si>
  <si>
    <t>鈴木 進一</t>
  </si>
  <si>
    <t>加地 貴勝</t>
  </si>
  <si>
    <t>山口 孝</t>
  </si>
  <si>
    <t>若山 俊郎</t>
  </si>
  <si>
    <t>青梅市スキー連盟</t>
  </si>
  <si>
    <t>小野寺 徹</t>
  </si>
  <si>
    <t>吉橋 裕貴</t>
  </si>
  <si>
    <t>降旗 周二</t>
  </si>
  <si>
    <t>寺田 雄翔</t>
  </si>
  <si>
    <t>山内 大一</t>
  </si>
  <si>
    <t>難波 昭信</t>
  </si>
  <si>
    <t>濱武 旺史</t>
  </si>
  <si>
    <t>牧野 達朗</t>
  </si>
  <si>
    <t>重光 匡</t>
  </si>
  <si>
    <t>小山 昭司</t>
  </si>
  <si>
    <t>相坂 祐樹</t>
  </si>
  <si>
    <t>遠間 瑠吾</t>
  </si>
  <si>
    <t>八重樫 一仁</t>
  </si>
  <si>
    <t>峯山 陸</t>
  </si>
  <si>
    <t>嵯峨野 太一</t>
  </si>
  <si>
    <t>片桐 大樹</t>
  </si>
  <si>
    <t>松本 奏流</t>
  </si>
  <si>
    <t>眞﨑 嵩</t>
  </si>
  <si>
    <t>山田 修</t>
  </si>
  <si>
    <t>小林 翼</t>
  </si>
  <si>
    <t>西垣 光平</t>
  </si>
  <si>
    <t>田屋 裕範</t>
  </si>
  <si>
    <t>高木 暦</t>
  </si>
  <si>
    <t>新井 蔵人</t>
  </si>
  <si>
    <t>鎮目 隆夫</t>
  </si>
  <si>
    <t>東久留米市スキー連盟</t>
  </si>
  <si>
    <t>小瀬 嵩登</t>
  </si>
  <si>
    <t>小林 大悟</t>
  </si>
  <si>
    <t>有嶋 慧一朗</t>
  </si>
  <si>
    <t>齋藤 憲司</t>
  </si>
  <si>
    <t>深澤 六男</t>
  </si>
  <si>
    <t>田中 実希</t>
  </si>
  <si>
    <t>千石 文夫</t>
  </si>
  <si>
    <t>永吉 冴綺</t>
  </si>
  <si>
    <t>柿沼 黎生</t>
  </si>
  <si>
    <t>山本 悠人</t>
  </si>
  <si>
    <t>篠原 幾也</t>
  </si>
  <si>
    <t>鷺 佳生人</t>
  </si>
  <si>
    <t>井上 雅博</t>
  </si>
  <si>
    <t>葛飾区スキー連盟</t>
  </si>
  <si>
    <t>木村 拓朗</t>
  </si>
  <si>
    <t>塩沢 重利</t>
  </si>
  <si>
    <t>奥村 俊文</t>
  </si>
  <si>
    <t>笹本 裕貴</t>
  </si>
  <si>
    <t>山田 浩</t>
  </si>
  <si>
    <t>宇田 悠真</t>
  </si>
  <si>
    <t>遠藤 辰朗</t>
  </si>
  <si>
    <t>池田 有輝</t>
  </si>
  <si>
    <t>大久保 雅司</t>
  </si>
  <si>
    <t>金子 雅弘</t>
  </si>
  <si>
    <t>佐藤 健児</t>
  </si>
  <si>
    <t>小幡 雪柊</t>
  </si>
  <si>
    <t>岩谷 三兵</t>
  </si>
  <si>
    <t>兼子 祐弥</t>
  </si>
  <si>
    <t>石井 久雄</t>
  </si>
  <si>
    <t>堀江 玄一郎</t>
  </si>
  <si>
    <t>加藤 圭基</t>
  </si>
  <si>
    <t>川上 惇</t>
  </si>
  <si>
    <t>小山 祐輝</t>
  </si>
  <si>
    <t>上妻 隆斗</t>
  </si>
  <si>
    <t>吉原 稔幸</t>
  </si>
  <si>
    <t>小口 慶樹</t>
  </si>
  <si>
    <t>鈴木 海渡</t>
  </si>
  <si>
    <t>小宮山 直人</t>
  </si>
  <si>
    <t>八久保 幸夫</t>
  </si>
  <si>
    <t>河田 壮生</t>
  </si>
  <si>
    <t>古川 雄一朗</t>
  </si>
  <si>
    <t>二見 裕樹</t>
  </si>
  <si>
    <t>小野寺 真也</t>
  </si>
  <si>
    <t>宮城 良佑</t>
  </si>
  <si>
    <t>真次 晃央</t>
  </si>
  <si>
    <t>細野 里音</t>
  </si>
  <si>
    <t>野中 史久</t>
  </si>
  <si>
    <t>清水 遊</t>
  </si>
  <si>
    <t>山本 章太</t>
  </si>
  <si>
    <t>青井 康徳</t>
  </si>
  <si>
    <t>築地 貴之</t>
  </si>
  <si>
    <t>潮 真也</t>
  </si>
  <si>
    <t>西下 愛也</t>
  </si>
  <si>
    <t>吉川 慎太郎</t>
  </si>
  <si>
    <t>熊谷 大仁</t>
  </si>
  <si>
    <t>山本 皓乃</t>
  </si>
  <si>
    <t>濱野 弘大</t>
  </si>
  <si>
    <t>樋脇 雄飛</t>
  </si>
  <si>
    <t>田中 成幸</t>
  </si>
  <si>
    <t>上島 大輝</t>
  </si>
  <si>
    <t>木越 健輔</t>
  </si>
  <si>
    <t>高見 淳</t>
  </si>
  <si>
    <t>内田 光太郎</t>
  </si>
  <si>
    <t>湯浅 統大</t>
  </si>
  <si>
    <t>田邊 信一</t>
  </si>
  <si>
    <t>尾形 俊輔</t>
  </si>
  <si>
    <t>宮崎 真志</t>
  </si>
  <si>
    <t>小島 陽介</t>
  </si>
  <si>
    <t>福田 俊介</t>
  </si>
  <si>
    <t>正能 憲一</t>
  </si>
  <si>
    <t>太田 悠斗</t>
  </si>
  <si>
    <t>佐藤 太朗</t>
  </si>
  <si>
    <t>前田 泰佑</t>
  </si>
  <si>
    <t>高橋 誠</t>
  </si>
  <si>
    <t>篠﨑 敏男</t>
  </si>
  <si>
    <t>天野 旭雅</t>
  </si>
  <si>
    <t>外山 智士</t>
  </si>
  <si>
    <t>片山 恒次</t>
  </si>
  <si>
    <t>田中 大成</t>
  </si>
  <si>
    <t>鈴木 啓太</t>
  </si>
  <si>
    <t>柴田 徹</t>
  </si>
  <si>
    <t>石川 海</t>
  </si>
  <si>
    <t>網干 雄己</t>
  </si>
  <si>
    <t>大塚 公太</t>
  </si>
  <si>
    <t>吉田 圭佑</t>
  </si>
  <si>
    <t>亀井 勇希</t>
  </si>
  <si>
    <t>佐久間 大輔</t>
  </si>
  <si>
    <t>植草 悠介</t>
  </si>
  <si>
    <t>池永 福太郎</t>
  </si>
  <si>
    <t>佐藤 英司</t>
  </si>
  <si>
    <t>草野 龍輝</t>
  </si>
  <si>
    <t>髙橋 龍一郎</t>
  </si>
  <si>
    <t>武居 知</t>
  </si>
  <si>
    <t>布施 玲於奈</t>
  </si>
  <si>
    <t>冨井 平</t>
  </si>
  <si>
    <t>能登 正之</t>
  </si>
  <si>
    <t>本田 渉</t>
  </si>
  <si>
    <t>遠藤 海洸</t>
  </si>
  <si>
    <t>五味 信治</t>
  </si>
  <si>
    <t>河西 悠登</t>
  </si>
  <si>
    <t>濱元 拓実</t>
  </si>
  <si>
    <t>田村 優有</t>
  </si>
  <si>
    <t>鈴木 尚人</t>
  </si>
  <si>
    <t>深見 国興</t>
  </si>
  <si>
    <t>仲田 詠一</t>
  </si>
  <si>
    <t>松田 浩太朗</t>
  </si>
  <si>
    <t>板倉 治男</t>
  </si>
  <si>
    <t>高橋 大夢</t>
  </si>
  <si>
    <t>上山 遼</t>
  </si>
  <si>
    <t>木村 颯汰</t>
  </si>
  <si>
    <t>鳥居 俊介</t>
  </si>
  <si>
    <t>宮地 好彦</t>
  </si>
  <si>
    <t>渡邊 嗣公</t>
  </si>
  <si>
    <t>里村 弘志</t>
  </si>
  <si>
    <t>加川 善久</t>
  </si>
  <si>
    <t>髙木 翔弥</t>
  </si>
  <si>
    <t>奥山 侑祐</t>
  </si>
  <si>
    <t>白木 伸行</t>
  </si>
  <si>
    <t>金澤 幸太</t>
  </si>
  <si>
    <t>山口 暁史</t>
  </si>
  <si>
    <t>酒井 孝一</t>
  </si>
  <si>
    <t>立原 博</t>
  </si>
  <si>
    <t>鍋山 颯斗</t>
  </si>
  <si>
    <t>池田 英昭</t>
  </si>
  <si>
    <t>堀川 廣</t>
  </si>
  <si>
    <t>渡辺 燎太</t>
  </si>
  <si>
    <t>長久 幸之介</t>
  </si>
  <si>
    <t>藤郷 剣太郎</t>
  </si>
  <si>
    <t>佐藤 忠雄</t>
  </si>
  <si>
    <t>山田 紘淳</t>
  </si>
  <si>
    <t>鈴木 蒼大</t>
  </si>
  <si>
    <t>三原 颯</t>
  </si>
  <si>
    <t>後藤 寛</t>
  </si>
  <si>
    <t>山田 芽來</t>
  </si>
  <si>
    <t>平田 昌範</t>
  </si>
  <si>
    <t>小永井 徹</t>
  </si>
  <si>
    <t>星野 峻一</t>
  </si>
  <si>
    <t>佐藤 久人</t>
  </si>
  <si>
    <t>木田 悠斗</t>
  </si>
  <si>
    <t>大森 春英</t>
  </si>
  <si>
    <t>武江 知寛</t>
  </si>
  <si>
    <t>甲田 聖志郎</t>
  </si>
  <si>
    <t>富岡 宏太朗</t>
  </si>
  <si>
    <t>須藤 琉心</t>
  </si>
  <si>
    <t>高橋 浩一</t>
  </si>
  <si>
    <t>田島 凜斗</t>
  </si>
  <si>
    <t>齊藤 真希生</t>
  </si>
  <si>
    <t>河村 凜太郎</t>
  </si>
  <si>
    <t>寺瀬 克美</t>
  </si>
  <si>
    <t>志賀高原スキークラブ</t>
  </si>
  <si>
    <t>渡部 輝</t>
  </si>
  <si>
    <t>家村 凌平</t>
  </si>
  <si>
    <t>岡田 達弥</t>
  </si>
  <si>
    <t>古賀 久國</t>
  </si>
  <si>
    <t>谷 啓</t>
  </si>
  <si>
    <t>渡邉 海斗</t>
  </si>
  <si>
    <t>金子 優輝</t>
  </si>
  <si>
    <t>蛭川 恒</t>
  </si>
  <si>
    <t>関 晃</t>
  </si>
  <si>
    <t>石井 晃</t>
  </si>
  <si>
    <t>柴山 達弘</t>
  </si>
  <si>
    <t>土肥 尚也</t>
  </si>
  <si>
    <t>鈴木 隆太</t>
  </si>
  <si>
    <t>武藤 力</t>
  </si>
  <si>
    <t>細川 祥</t>
  </si>
  <si>
    <t>渡邉 理久</t>
  </si>
  <si>
    <t>柿内 隆</t>
  </si>
  <si>
    <t>越水 雅裕</t>
  </si>
  <si>
    <t>松村 優輝</t>
  </si>
  <si>
    <t>石川 賢一</t>
  </si>
  <si>
    <t>林 泰地</t>
  </si>
  <si>
    <t>熊本 晴太</t>
  </si>
  <si>
    <t>滝沢 正</t>
  </si>
  <si>
    <t>三瓶 大河</t>
  </si>
  <si>
    <t>重田 雅文</t>
  </si>
  <si>
    <t>三賀山 嗣穏</t>
  </si>
  <si>
    <t>松岡 輝</t>
  </si>
  <si>
    <t>志摩 泰成</t>
  </si>
  <si>
    <t>萩原 隆之介</t>
  </si>
  <si>
    <t>佐藤 良</t>
  </si>
  <si>
    <t>金子 佑介</t>
  </si>
  <si>
    <t>直井 俊樹</t>
  </si>
  <si>
    <t>小川 卓真</t>
  </si>
  <si>
    <t>北村 明</t>
  </si>
  <si>
    <t>大木 秀介</t>
  </si>
  <si>
    <t>近藤 哲</t>
  </si>
  <si>
    <t>河野 夏海</t>
  </si>
  <si>
    <t>大西 望</t>
  </si>
  <si>
    <t>半田 楓</t>
  </si>
  <si>
    <t>宮﨑 涼輔</t>
  </si>
  <si>
    <t>杉本 怜哉</t>
  </si>
  <si>
    <t>三浦 篤</t>
  </si>
  <si>
    <t>高橋 遼太</t>
  </si>
  <si>
    <t>樋口 遼大</t>
  </si>
  <si>
    <t>一ノ瀬 迅</t>
  </si>
  <si>
    <t>神野 登美夫</t>
  </si>
  <si>
    <t>櫻井 智偲</t>
  </si>
  <si>
    <t>磯崎 俊輔</t>
  </si>
  <si>
    <t>西川 将太郎</t>
  </si>
  <si>
    <t>羽村 悠樹</t>
  </si>
  <si>
    <t>松本 昭夫</t>
  </si>
  <si>
    <t>スカオイスキークラブ</t>
  </si>
  <si>
    <t>三浦 弘充</t>
  </si>
  <si>
    <t>内藤 寛貴</t>
  </si>
  <si>
    <t>池田 稜介</t>
  </si>
  <si>
    <t>藤本 勇</t>
  </si>
  <si>
    <t>滝沢 悠介</t>
  </si>
  <si>
    <t>目連 宗一郎</t>
  </si>
  <si>
    <t>藤田 冬馬</t>
  </si>
  <si>
    <t>吉田 太耀</t>
  </si>
  <si>
    <t>星 貞清</t>
  </si>
  <si>
    <t>ウィンズスキークラブ</t>
  </si>
  <si>
    <t>横山 福人</t>
  </si>
  <si>
    <t>渡邊 瑠佳</t>
  </si>
  <si>
    <t>下田 智也</t>
  </si>
  <si>
    <t>三島 麟太郎</t>
  </si>
  <si>
    <t>仲山 俊夫</t>
  </si>
  <si>
    <t>鶴味 裕太</t>
  </si>
  <si>
    <t>井村 陽</t>
  </si>
  <si>
    <t>秋田 岳陽</t>
  </si>
  <si>
    <t>中江 朋弘</t>
  </si>
  <si>
    <t>長井 明</t>
  </si>
  <si>
    <t>殿村 幹也</t>
  </si>
  <si>
    <t>城田 克也</t>
  </si>
  <si>
    <t>嘉門 智一郎</t>
  </si>
  <si>
    <t>前田 凛之介</t>
  </si>
  <si>
    <t>中村 駿大</t>
  </si>
  <si>
    <t>吉田 舜</t>
  </si>
  <si>
    <t>山口 直正</t>
  </si>
  <si>
    <t>松本 陽一</t>
  </si>
  <si>
    <t>西大條 育孝</t>
  </si>
  <si>
    <t>上原 大樹</t>
  </si>
  <si>
    <t>杉崎 壽三男</t>
  </si>
  <si>
    <t>渡辺 悠斗</t>
  </si>
  <si>
    <t>國井 高志</t>
  </si>
  <si>
    <t>吉川 武</t>
  </si>
  <si>
    <t>戸舘 宗一朗</t>
  </si>
  <si>
    <t>荻生 崚太郎</t>
  </si>
  <si>
    <t>坂 和真</t>
  </si>
  <si>
    <t>佐藤 光</t>
  </si>
  <si>
    <t>高木 曜</t>
  </si>
  <si>
    <t>細田 輝大</t>
  </si>
  <si>
    <t>田村 孝嗣</t>
  </si>
  <si>
    <t>髙橋 孫一郎</t>
  </si>
  <si>
    <t>小菅 耕大</t>
  </si>
  <si>
    <t>蜂巣 頌</t>
  </si>
  <si>
    <t>柴山 諒太</t>
  </si>
  <si>
    <t>控井 健太</t>
  </si>
  <si>
    <t>白嶺スキーチーム</t>
  </si>
  <si>
    <t>舛巴 紳二</t>
  </si>
  <si>
    <t>坂口 直弥</t>
  </si>
  <si>
    <t>仲 誠也</t>
  </si>
  <si>
    <t>國部 望</t>
  </si>
  <si>
    <t>長谷川 春彦</t>
  </si>
  <si>
    <t>光芳 陸</t>
  </si>
  <si>
    <t>佐藤 義隆</t>
  </si>
  <si>
    <t>日本エイトマンスキークラブ</t>
  </si>
  <si>
    <t>逢坂 寛光</t>
  </si>
  <si>
    <t>佐藤 泰山</t>
  </si>
  <si>
    <t>羽部 晃広</t>
  </si>
  <si>
    <t>栗原 楓</t>
  </si>
  <si>
    <t>頓宮 寛正</t>
  </si>
  <si>
    <t>藤田 英雄</t>
  </si>
  <si>
    <t>阿野 苑弥</t>
  </si>
  <si>
    <t>小野寺 進太朗</t>
  </si>
  <si>
    <t>鳴海 柊平</t>
  </si>
  <si>
    <t>堀米 力暉</t>
  </si>
  <si>
    <t>武藤 正晃</t>
  </si>
  <si>
    <t>近藤 涼輔</t>
  </si>
  <si>
    <t>飛山 龍ノ介</t>
  </si>
  <si>
    <t>秋山 和輝</t>
  </si>
  <si>
    <t>中村 祐介</t>
  </si>
  <si>
    <t>佐藤 建太郎</t>
  </si>
  <si>
    <t>富田 暁</t>
  </si>
  <si>
    <t>渡辺 周</t>
  </si>
  <si>
    <t>松澤 宏一</t>
  </si>
  <si>
    <t>東垣内 牧男</t>
  </si>
  <si>
    <t>山本 義之</t>
  </si>
  <si>
    <t>山根 鷹之臣</t>
  </si>
  <si>
    <t>島本 拓海</t>
  </si>
  <si>
    <t>榎 康太郎</t>
  </si>
  <si>
    <t>村上 博史</t>
  </si>
  <si>
    <t>渡部 知駿</t>
  </si>
  <si>
    <t>新井 昌汰</t>
  </si>
  <si>
    <t>野口 耀大</t>
  </si>
  <si>
    <t>川田 裕貴</t>
  </si>
  <si>
    <t>田口 裕一</t>
  </si>
  <si>
    <t>谷川 一貴</t>
  </si>
  <si>
    <t>槇 孝雄</t>
  </si>
  <si>
    <t>松村 真</t>
  </si>
  <si>
    <t>岩本 慎太郎</t>
  </si>
  <si>
    <t>斎藤 佑起</t>
  </si>
  <si>
    <t>森田 響</t>
  </si>
  <si>
    <t>宇田 純大</t>
  </si>
  <si>
    <t>中川 琉晟</t>
  </si>
  <si>
    <t>島田 雄気</t>
  </si>
  <si>
    <t>大塚 陽向</t>
  </si>
  <si>
    <t>藤崎 裕人</t>
  </si>
  <si>
    <t>渥見 悠太</t>
  </si>
  <si>
    <t>渡邊 一之介</t>
  </si>
  <si>
    <t>花田 美生</t>
  </si>
  <si>
    <t>小川 幸介</t>
  </si>
  <si>
    <t>鷹橋 幸一郎</t>
  </si>
  <si>
    <t>江村 航大</t>
  </si>
  <si>
    <t>大谷 泰斗</t>
  </si>
  <si>
    <t>赤川 琢人</t>
  </si>
  <si>
    <t>阿部 央季</t>
  </si>
  <si>
    <t>川上 龍之介</t>
  </si>
  <si>
    <t>古川 開</t>
  </si>
  <si>
    <t>福本 将士</t>
  </si>
  <si>
    <t>泉澤 亮太</t>
  </si>
  <si>
    <t>富澤 拓紀</t>
  </si>
  <si>
    <t>長濱 宇宙</t>
  </si>
  <si>
    <t>松矢 英晶</t>
  </si>
  <si>
    <t>畠山 智生</t>
  </si>
  <si>
    <t>古山 聖哉</t>
  </si>
  <si>
    <t>小林 亮太</t>
  </si>
  <si>
    <t>片野 志郎</t>
  </si>
  <si>
    <t>北本 滉太郎</t>
  </si>
  <si>
    <t>守屋 直希</t>
  </si>
  <si>
    <t>福岡 素志</t>
  </si>
  <si>
    <t>井下 聖葵</t>
  </si>
  <si>
    <t>秋庭 克行</t>
  </si>
  <si>
    <t>白木 智也</t>
  </si>
  <si>
    <t>橋本 優吾</t>
  </si>
  <si>
    <t>野口 直樹</t>
  </si>
  <si>
    <t>飯嶌 笙</t>
  </si>
  <si>
    <t>深谷 雄人</t>
  </si>
  <si>
    <t>青木 悠</t>
  </si>
  <si>
    <t>福島 牧人</t>
  </si>
  <si>
    <t>恩田 玲央</t>
  </si>
  <si>
    <t>中島 啓裕</t>
  </si>
  <si>
    <t>保坂 勇太</t>
  </si>
  <si>
    <t>土志田 進太郎</t>
  </si>
  <si>
    <t>店網 宏樹</t>
  </si>
  <si>
    <t>北垣 秀人</t>
  </si>
  <si>
    <t>中川 晴登</t>
  </si>
  <si>
    <t>河西 優</t>
  </si>
  <si>
    <t>坂東 遼翼</t>
  </si>
  <si>
    <t>窪田 遼輔</t>
  </si>
  <si>
    <t>高田 一輝</t>
  </si>
  <si>
    <t>栗橋 優輔</t>
  </si>
  <si>
    <t>花園 智行</t>
  </si>
  <si>
    <t>長谷川 雄大</t>
  </si>
  <si>
    <t>黒田 義稀</t>
  </si>
  <si>
    <t>高安 洋翔</t>
  </si>
  <si>
    <t>深谷 怜伸</t>
  </si>
  <si>
    <t>上原 颯馬</t>
  </si>
  <si>
    <t>安藤 謙真</t>
  </si>
  <si>
    <t>香取 大輝</t>
  </si>
  <si>
    <t>岩本 恵祐</t>
  </si>
  <si>
    <t>小林 寛武</t>
  </si>
  <si>
    <t>武田 光一郎</t>
  </si>
  <si>
    <t>浅香 圭吾</t>
  </si>
  <si>
    <t>立川 健介</t>
  </si>
  <si>
    <t>根岸 大己</t>
  </si>
  <si>
    <t>渡邊 和樹</t>
  </si>
  <si>
    <t>梅根 航希</t>
  </si>
  <si>
    <t>伊藤 尚泰</t>
  </si>
  <si>
    <t>熊崎 亮太</t>
  </si>
  <si>
    <t>畠山 茂信</t>
  </si>
  <si>
    <t>豊永 大河</t>
  </si>
  <si>
    <t>辻 悠希</t>
  </si>
  <si>
    <t>沼野 俊平</t>
  </si>
  <si>
    <t>高橋 哲哉</t>
  </si>
  <si>
    <t>大橋 周造</t>
  </si>
  <si>
    <t>桒田 栞典</t>
  </si>
  <si>
    <t>高橋 長三郎</t>
  </si>
  <si>
    <t>東京石楠花会</t>
  </si>
  <si>
    <t>髙橋 直希</t>
  </si>
  <si>
    <t>髙安 邑太郎</t>
  </si>
  <si>
    <t>竹本 航</t>
  </si>
  <si>
    <t>新井 綾馬</t>
  </si>
  <si>
    <t>渡部 良樹</t>
  </si>
  <si>
    <t>山田 泰之進</t>
  </si>
  <si>
    <t>西城 法遵</t>
  </si>
  <si>
    <t>大竹 陸</t>
  </si>
  <si>
    <t>馳 悠</t>
  </si>
  <si>
    <t>永曽 雄一郎</t>
  </si>
  <si>
    <t>井田 光祝</t>
  </si>
  <si>
    <t>光野 拓馬</t>
  </si>
  <si>
    <t>神山 鷹揚</t>
  </si>
  <si>
    <t>坂本 渉馬</t>
  </si>
  <si>
    <t>折茂 海</t>
  </si>
  <si>
    <t>大久保 慶人</t>
  </si>
  <si>
    <t>津田 祐輔</t>
  </si>
  <si>
    <t>小田島 孝</t>
  </si>
  <si>
    <t>小和田 雄太</t>
  </si>
  <si>
    <t>高木 洋羽</t>
  </si>
  <si>
    <t>明石 響</t>
  </si>
  <si>
    <t>山田 琥太郎</t>
  </si>
  <si>
    <t>北内 大嵩</t>
  </si>
  <si>
    <t>伊藤 悠生</t>
  </si>
  <si>
    <t>永井 佑亮</t>
  </si>
  <si>
    <t>野木 嘉孝</t>
  </si>
  <si>
    <t>緒方 希</t>
  </si>
  <si>
    <t>木元 丈</t>
  </si>
  <si>
    <t>友部 尚輝</t>
  </si>
  <si>
    <t>唐木 大貴</t>
  </si>
  <si>
    <t>髙田 琉聖</t>
  </si>
  <si>
    <t>坂井 頌</t>
  </si>
  <si>
    <t>佐藤 有馬</t>
  </si>
  <si>
    <t>鈴鹿 航太</t>
  </si>
  <si>
    <t>佐藤 拓実</t>
  </si>
  <si>
    <t>片野 翔太</t>
  </si>
  <si>
    <t>岡田 拓純</t>
  </si>
  <si>
    <t>菅野 翔生</t>
  </si>
  <si>
    <t>山田 来紀</t>
  </si>
  <si>
    <t>荻原 遼</t>
  </si>
  <si>
    <t>小森 大輔</t>
  </si>
  <si>
    <t>鳥羽 莞爾</t>
  </si>
  <si>
    <t>江黒 文隆</t>
  </si>
  <si>
    <t>長谷川 武</t>
  </si>
  <si>
    <t>調布市スキー連盟</t>
  </si>
  <si>
    <t>新井 公大</t>
  </si>
  <si>
    <t>杉田 廉成</t>
  </si>
  <si>
    <t>武田 基秀</t>
  </si>
  <si>
    <t>恩田 拓海</t>
  </si>
  <si>
    <t>久力 大和</t>
  </si>
  <si>
    <t>小川 千太郎</t>
  </si>
  <si>
    <t>村上 孔介</t>
  </si>
  <si>
    <t>有賀 大貴</t>
  </si>
  <si>
    <t>太田 聡</t>
  </si>
  <si>
    <t>保戸塚 信之介</t>
  </si>
  <si>
    <t>濱田 一輝</t>
  </si>
  <si>
    <t>原嶋 洋輔</t>
  </si>
  <si>
    <t>小嶋 俊亮</t>
  </si>
  <si>
    <t>細川 凱央</t>
  </si>
  <si>
    <t>田中 遥希</t>
  </si>
  <si>
    <t>畠山 翔太</t>
  </si>
  <si>
    <t>山中 祐之介</t>
  </si>
  <si>
    <t>胡 以心</t>
  </si>
  <si>
    <t>植田 晃生</t>
  </si>
  <si>
    <t>山﨑 雅之</t>
  </si>
  <si>
    <t>成宮 颯太</t>
  </si>
  <si>
    <t>臼井 龍一</t>
  </si>
  <si>
    <t>須藤 亀蔵</t>
  </si>
  <si>
    <t>島宮 一喜</t>
  </si>
  <si>
    <t>小坂 興平</t>
  </si>
  <si>
    <t>築地 照吉</t>
  </si>
  <si>
    <t>一條 兼賢</t>
  </si>
  <si>
    <t>伊藤 大介</t>
  </si>
  <si>
    <t>伊藤 真大</t>
  </si>
  <si>
    <t>入倉 優海</t>
  </si>
  <si>
    <t>大石 宗左</t>
  </si>
  <si>
    <t>小川 勇</t>
  </si>
  <si>
    <t>小野 拓巳</t>
  </si>
  <si>
    <t>柏原 弘稜</t>
  </si>
  <si>
    <t>佐藤 茂</t>
  </si>
  <si>
    <t>立川 直杜</t>
  </si>
  <si>
    <t>田中 秀利</t>
  </si>
  <si>
    <t>天川 雄貴</t>
  </si>
  <si>
    <t>成沢 和史</t>
  </si>
  <si>
    <t>早野 将貴</t>
  </si>
  <si>
    <t>原 旭飛</t>
  </si>
  <si>
    <t>藤巻 拓也</t>
  </si>
  <si>
    <t>星 佑樹</t>
  </si>
  <si>
    <t>真崎 大哉</t>
  </si>
  <si>
    <t>政田 大陽</t>
  </si>
  <si>
    <t>松浦 天我</t>
  </si>
  <si>
    <t>森田 雄人</t>
  </si>
  <si>
    <t>矢﨑 青空</t>
  </si>
  <si>
    <t>湯浅 主基</t>
  </si>
  <si>
    <t>宮内 隆</t>
  </si>
  <si>
    <t>和田 蔵人</t>
  </si>
  <si>
    <t>古市 隆一</t>
  </si>
  <si>
    <t>齋藤 祐司</t>
  </si>
  <si>
    <t>坂本 博史</t>
  </si>
  <si>
    <t>村岡 幹</t>
  </si>
  <si>
    <t>山田 節夫</t>
  </si>
  <si>
    <t>橋本 寛</t>
  </si>
  <si>
    <t>星田 昌好</t>
  </si>
  <si>
    <t>西脇 義弘</t>
  </si>
  <si>
    <t>伊藤 吉彦</t>
  </si>
  <si>
    <t>木内 俊直</t>
  </si>
  <si>
    <t>菊地 敦</t>
  </si>
  <si>
    <t>中堀 孝宏</t>
  </si>
  <si>
    <t>菅家 稔</t>
  </si>
  <si>
    <t>豊島区スキー協会</t>
  </si>
  <si>
    <t>中村 孝</t>
  </si>
  <si>
    <t>石川 利博</t>
  </si>
  <si>
    <t>村田 誠</t>
  </si>
  <si>
    <t>野崎 久仁男</t>
  </si>
  <si>
    <t>吉川 秀文</t>
  </si>
  <si>
    <t>門上 浩慈</t>
  </si>
  <si>
    <t>宮地 建次</t>
  </si>
  <si>
    <t>鈴木 崇理</t>
  </si>
  <si>
    <t>五月女 博英</t>
  </si>
  <si>
    <t>天野 学</t>
  </si>
  <si>
    <t>黒田 伊久雄</t>
  </si>
  <si>
    <t>兎澤 孝義</t>
  </si>
  <si>
    <t>林 良平</t>
  </si>
  <si>
    <t>山崎 菊治</t>
  </si>
  <si>
    <t>吉崎 陽介</t>
  </si>
  <si>
    <t>高橋 昌也</t>
  </si>
  <si>
    <t>ポールスタースキークラブ</t>
  </si>
  <si>
    <t>山﨑 静雄</t>
  </si>
  <si>
    <t>宇田 孝史</t>
  </si>
  <si>
    <t>西塚 順</t>
  </si>
  <si>
    <t>萩谷 芳朗</t>
  </si>
  <si>
    <t>渡辺 広信</t>
  </si>
  <si>
    <t>本間 敏夫</t>
  </si>
  <si>
    <t>伊藤 正道</t>
  </si>
  <si>
    <t>針谷 清之</t>
  </si>
  <si>
    <t>鳥海 悟</t>
  </si>
  <si>
    <t>吉田 正宏</t>
  </si>
  <si>
    <t>梅沢 望</t>
  </si>
  <si>
    <t>原田 健太朗</t>
  </si>
  <si>
    <t>石野 真也</t>
  </si>
  <si>
    <t>新家 瑛冬</t>
  </si>
  <si>
    <t>貴峰 智紀</t>
  </si>
  <si>
    <t>中村 文則</t>
  </si>
  <si>
    <t>福田 勇斗</t>
  </si>
  <si>
    <t>清水 俊英</t>
  </si>
  <si>
    <t>岩本 茂</t>
  </si>
  <si>
    <t>山口 典宏</t>
  </si>
  <si>
    <t>増田 隆男</t>
  </si>
  <si>
    <t>寺島 伸一</t>
  </si>
  <si>
    <t>政木 隆史</t>
  </si>
  <si>
    <t>神山 大樹</t>
  </si>
  <si>
    <t>矢嶋 優樹</t>
  </si>
  <si>
    <t>男子(SL)</t>
  </si>
  <si>
    <t>⑳全国高校予選（選考会） 男子</t>
  </si>
  <si>
    <t>⑳全国高校予選（本大会） 男子</t>
  </si>
  <si>
    <t>⑦関東ユース２ ＡＢ・Ｋ１男子</t>
  </si>
  <si>
    <t>⑦関東ユース２ Ｋ２男子</t>
  </si>
  <si>
    <t>⑧南関ユース 男子</t>
  </si>
  <si>
    <t>⑨野沢マスターズ 男子Ａ</t>
  </si>
  <si>
    <t>⑨野沢マスターズ 男子Ｂ</t>
  </si>
  <si>
    <t>大会ＰＰ</t>
    <rPh sb="0" eb="2">
      <t>タイカイ</t>
    </rPh>
    <phoneticPr fontId="18"/>
  </si>
  <si>
    <t>〇</t>
    <phoneticPr fontId="18"/>
  </si>
  <si>
    <t>〇</t>
    <phoneticPr fontId="18"/>
  </si>
  <si>
    <t>〇</t>
    <phoneticPr fontId="18"/>
  </si>
  <si>
    <t>㉒ＷＳＣ選手権 男子</t>
    <phoneticPr fontId="18"/>
  </si>
  <si>
    <t>㉒ＷＳＣ選手権 男子Ｍ</t>
    <phoneticPr fontId="18"/>
  </si>
  <si>
    <t>㉑全中予選 男子</t>
    <phoneticPr fontId="18"/>
  </si>
  <si>
    <t>㉓都高校　選考会 男子</t>
    <phoneticPr fontId="18"/>
  </si>
  <si>
    <t>㉓都高校　本大会 男子</t>
    <phoneticPr fontId="18"/>
  </si>
  <si>
    <t>㉔野辺山カップ 男子</t>
    <phoneticPr fontId="18"/>
  </si>
  <si>
    <t>㉕ふそうカップ 男子</t>
    <phoneticPr fontId="18"/>
  </si>
  <si>
    <t>㉕ふそうカップ 男子Ｍ</t>
    <phoneticPr fontId="18"/>
  </si>
  <si>
    <t>㉖アルペン複合 男子</t>
    <phoneticPr fontId="18"/>
  </si>
  <si>
    <t>㉖アルペン複合 男子Ｃ</t>
    <phoneticPr fontId="18"/>
  </si>
  <si>
    <t>㉗春高校　選考会 男子</t>
    <phoneticPr fontId="18"/>
  </si>
  <si>
    <t>㉗春高校　本大会 男子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</si>
</sst>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0_ 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6" fontId="19" fillId="0" borderId="10" xfId="0" applyNumberFormat="1" applyFont="1" applyBorder="1">
      <alignment vertical="center"/>
    </xf>
    <xf numFmtId="176" fontId="20" fillId="0" borderId="10" xfId="0" applyNumberFormat="1" applyFont="1" applyBorder="1" applyAlignment="1">
      <alignment horizontal="right" vertical="center"/>
    </xf>
    <xf numFmtId="176" fontId="21" fillId="0" borderId="10" xfId="0" applyNumberFormat="1" applyFont="1" applyBorder="1" applyAlignment="1">
      <alignment horizontal="center" vertical="center"/>
    </xf>
    <xf numFmtId="176" fontId="21" fillId="0" borderId="10" xfId="0" applyNumberFormat="1" applyFont="1" applyBorder="1" applyAlignment="1">
      <alignment horizontal="right" vertical="center"/>
    </xf>
    <xf numFmtId="176" fontId="21" fillId="0" borderId="0" xfId="0" applyNumberFormat="1" applyFont="1">
      <alignment vertical="center"/>
    </xf>
    <xf numFmtId="0" fontId="21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77" fontId="20" fillId="0" borderId="10" xfId="0" applyNumberFormat="1" applyFont="1" applyBorder="1" applyAlignment="1">
      <alignment horizontal="righ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1087"/>
  <sheetViews>
    <sheetView tabSelected="1" zoomScaleNormal="100" workbookViewId="0"/>
  </sheetViews>
  <sheetFormatPr defaultRowHeight="13.5"/>
  <cols>
    <col min="1" max="2" width="8.5" style="13" customWidth="1"/>
    <col min="3" max="3" width="14.5" style="13" customWidth="1"/>
    <col min="4" max="4" width="31.625" style="13" customWidth="1"/>
    <col min="5" max="5" width="10" style="14" customWidth="1"/>
    <col min="6" max="6" width="7.75" style="15" customWidth="1"/>
    <col min="7" max="7" width="8.375" style="15" customWidth="1"/>
    <col min="8" max="8" width="9.75" style="16" customWidth="1"/>
    <col min="9" max="27" width="8.5" style="16" customWidth="1"/>
    <col min="28" max="70" width="8.5" style="13" customWidth="1"/>
    <col min="71" max="16384" width="9" style="13"/>
  </cols>
  <sheetData>
    <row r="1" spans="1:27" s="5" customFormat="1">
      <c r="A1" s="1" t="s">
        <v>1224</v>
      </c>
      <c r="B1" s="1"/>
      <c r="C1" s="1"/>
      <c r="D1" s="1"/>
      <c r="E1" s="2"/>
      <c r="F1" s="3"/>
      <c r="G1" s="3"/>
      <c r="H1" s="4" t="s">
        <v>1232</v>
      </c>
      <c r="I1" s="4">
        <v>25.58</v>
      </c>
      <c r="J1" s="4">
        <v>31.15</v>
      </c>
      <c r="K1" s="4">
        <v>0</v>
      </c>
      <c r="L1" s="4">
        <v>56.16</v>
      </c>
      <c r="M1" s="4">
        <v>122.8</v>
      </c>
      <c r="N1" s="4">
        <v>63.71</v>
      </c>
      <c r="O1" s="4">
        <v>72.930000000000007</v>
      </c>
      <c r="P1" s="4">
        <v>60.96</v>
      </c>
      <c r="Q1" s="4">
        <v>65.72</v>
      </c>
      <c r="R1" s="4">
        <v>79.66</v>
      </c>
      <c r="S1" s="4">
        <v>44.73</v>
      </c>
      <c r="T1" s="4">
        <v>39.340000000000003</v>
      </c>
      <c r="U1" s="4">
        <v>42.99</v>
      </c>
      <c r="V1" s="4">
        <v>34.090000000000003</v>
      </c>
      <c r="W1" s="4">
        <v>86.24</v>
      </c>
      <c r="X1" s="4">
        <v>35.11</v>
      </c>
      <c r="Y1" s="4">
        <v>124.9</v>
      </c>
      <c r="Z1" s="4">
        <v>36.81</v>
      </c>
      <c r="AA1" s="4">
        <v>40.090000000000003</v>
      </c>
    </row>
    <row r="2" spans="1:27" s="8" customFormat="1" ht="54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6" t="s">
        <v>6</v>
      </c>
      <c r="H2" s="6" t="s">
        <v>7</v>
      </c>
      <c r="I2" s="6" t="s">
        <v>1225</v>
      </c>
      <c r="J2" s="6" t="s">
        <v>1226</v>
      </c>
      <c r="K2" s="6" t="s">
        <v>1236</v>
      </c>
      <c r="L2" s="6" t="s">
        <v>1237</v>
      </c>
      <c r="M2" s="6" t="s">
        <v>1227</v>
      </c>
      <c r="N2" s="6" t="s">
        <v>1228</v>
      </c>
      <c r="O2" s="6" t="s">
        <v>1229</v>
      </c>
      <c r="P2" s="6" t="s">
        <v>1230</v>
      </c>
      <c r="Q2" s="6" t="s">
        <v>1231</v>
      </c>
      <c r="R2" s="6" t="s">
        <v>1238</v>
      </c>
      <c r="S2" s="6" t="s">
        <v>1239</v>
      </c>
      <c r="T2" s="6" t="s">
        <v>1240</v>
      </c>
      <c r="U2" s="6" t="s">
        <v>1241</v>
      </c>
      <c r="V2" s="6" t="s">
        <v>1242</v>
      </c>
      <c r="W2" s="6" t="s">
        <v>1243</v>
      </c>
      <c r="X2" s="6" t="s">
        <v>1244</v>
      </c>
      <c r="Y2" s="6" t="s">
        <v>1245</v>
      </c>
      <c r="Z2" s="6" t="s">
        <v>1246</v>
      </c>
      <c r="AA2" s="6" t="s">
        <v>1247</v>
      </c>
    </row>
    <row r="3" spans="1:27">
      <c r="A3" s="9">
        <v>1</v>
      </c>
      <c r="B3" s="9">
        <v>3292</v>
      </c>
      <c r="C3" s="9" t="s">
        <v>104</v>
      </c>
      <c r="D3" s="9" t="s">
        <v>105</v>
      </c>
      <c r="E3" s="10" t="str">
        <f>"8.00"</f>
        <v>8.00</v>
      </c>
      <c r="F3" s="11" t="s">
        <v>11</v>
      </c>
      <c r="G3" s="11">
        <v>2017</v>
      </c>
      <c r="H3" s="12" t="str">
        <f>"0.00"</f>
        <v>0.00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>
      <c r="A4" s="9">
        <v>1</v>
      </c>
      <c r="B4" s="9">
        <v>4021</v>
      </c>
      <c r="C4" s="9" t="s">
        <v>115</v>
      </c>
      <c r="D4" s="9" t="s">
        <v>14</v>
      </c>
      <c r="E4" s="10" t="str">
        <f>"8.00"</f>
        <v>8.00</v>
      </c>
      <c r="F4" s="11" t="s">
        <v>11</v>
      </c>
      <c r="G4" s="11">
        <v>2017</v>
      </c>
      <c r="H4" s="12" t="str">
        <f>"4.97"</f>
        <v>4.97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>
      <c r="A5" s="9">
        <v>1</v>
      </c>
      <c r="B5" s="9">
        <v>3120</v>
      </c>
      <c r="C5" s="9" t="s">
        <v>203</v>
      </c>
      <c r="D5" s="9" t="s">
        <v>8</v>
      </c>
      <c r="E5" s="10" t="str">
        <f>"8.00"</f>
        <v>8.00</v>
      </c>
      <c r="F5" s="11" t="s">
        <v>11</v>
      </c>
      <c r="G5" s="11">
        <v>2017</v>
      </c>
      <c r="H5" s="12" t="str">
        <f>"0.00"</f>
        <v>0.00</v>
      </c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>
      <c r="A6" s="9">
        <v>1</v>
      </c>
      <c r="B6" s="9">
        <v>2568</v>
      </c>
      <c r="C6" s="9" t="s">
        <v>98</v>
      </c>
      <c r="D6" s="9" t="s">
        <v>8</v>
      </c>
      <c r="E6" s="10" t="str">
        <f>"8.00"</f>
        <v>8.00</v>
      </c>
      <c r="F6" s="11" t="s">
        <v>9</v>
      </c>
      <c r="G6" s="11">
        <v>2017</v>
      </c>
      <c r="H6" s="12" t="str">
        <f>"30.58"</f>
        <v>30.58</v>
      </c>
      <c r="I6" s="12"/>
      <c r="J6" s="12"/>
      <c r="K6" s="12" t="str">
        <f>"0.00"</f>
        <v>0.00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>
      <c r="A7" s="9">
        <v>5</v>
      </c>
      <c r="B7" s="9">
        <v>10683</v>
      </c>
      <c r="C7" s="9" t="s">
        <v>109</v>
      </c>
      <c r="D7" s="9" t="s">
        <v>91</v>
      </c>
      <c r="E7" s="10" t="str">
        <f>"9.91"</f>
        <v>9.91</v>
      </c>
      <c r="F7" s="11" t="s">
        <v>11</v>
      </c>
      <c r="G7" s="11">
        <v>2017</v>
      </c>
      <c r="H7" s="12" t="str">
        <f>"6.88"</f>
        <v>6.88</v>
      </c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</row>
    <row r="8" spans="1:27">
      <c r="A8" s="9">
        <v>6</v>
      </c>
      <c r="B8" s="9">
        <v>3076</v>
      </c>
      <c r="C8" s="9" t="s">
        <v>183</v>
      </c>
      <c r="D8" s="9" t="s">
        <v>59</v>
      </c>
      <c r="E8" s="10" t="str">
        <f>"13.55"</f>
        <v>13.55</v>
      </c>
      <c r="F8" s="11" t="s">
        <v>11</v>
      </c>
      <c r="G8" s="11">
        <v>2017</v>
      </c>
      <c r="H8" s="12" t="str">
        <f>"9.41"</f>
        <v>9.41</v>
      </c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>
      <c r="A9" s="9">
        <v>7</v>
      </c>
      <c r="B9" s="9">
        <v>1827</v>
      </c>
      <c r="C9" s="9" t="s">
        <v>108</v>
      </c>
      <c r="D9" s="9" t="s">
        <v>14</v>
      </c>
      <c r="E9" s="10" t="str">
        <f>"22.72"</f>
        <v>22.72</v>
      </c>
      <c r="F9" s="11" t="s">
        <v>11</v>
      </c>
      <c r="G9" s="11">
        <v>2017</v>
      </c>
      <c r="H9" s="12" t="str">
        <f>"15.78"</f>
        <v>15.78</v>
      </c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>
      <c r="A10" s="9">
        <v>8</v>
      </c>
      <c r="B10" s="9">
        <v>3961</v>
      </c>
      <c r="C10" s="9" t="s">
        <v>250</v>
      </c>
      <c r="D10" s="9" t="s">
        <v>10</v>
      </c>
      <c r="E10" s="10" t="str">
        <f>"30.12"</f>
        <v>30.12</v>
      </c>
      <c r="F10" s="11" t="s">
        <v>11</v>
      </c>
      <c r="G10" s="11">
        <v>2017</v>
      </c>
      <c r="H10" s="12" t="str">
        <f>"20.92"</f>
        <v>20.92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>
      <c r="A11" s="9">
        <v>9</v>
      </c>
      <c r="B11" s="9">
        <v>10695</v>
      </c>
      <c r="C11" s="9" t="s">
        <v>409</v>
      </c>
      <c r="D11" s="9" t="s">
        <v>45</v>
      </c>
      <c r="E11" s="10" t="str">
        <f>"35.21"</f>
        <v>35.21</v>
      </c>
      <c r="F11" s="11"/>
      <c r="G11" s="11">
        <v>2017</v>
      </c>
      <c r="H11" s="12" t="str">
        <f>"45.70"</f>
        <v>45.70</v>
      </c>
      <c r="I11" s="12"/>
      <c r="J11" s="12"/>
      <c r="K11" s="12" t="str">
        <f>"36.33"</f>
        <v>36.33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 t="str">
        <f>"34.09"</f>
        <v>34.09</v>
      </c>
      <c r="W11" s="12"/>
      <c r="X11" s="12"/>
      <c r="Y11" s="12"/>
      <c r="Z11" s="12"/>
      <c r="AA11" s="12"/>
    </row>
    <row r="12" spans="1:27">
      <c r="A12" s="9">
        <v>10</v>
      </c>
      <c r="B12" s="9">
        <v>5498</v>
      </c>
      <c r="C12" s="9" t="s">
        <v>111</v>
      </c>
      <c r="D12" s="9" t="s">
        <v>10</v>
      </c>
      <c r="E12" s="10" t="str">
        <f>"35.27"</f>
        <v>35.27</v>
      </c>
      <c r="F12" s="11"/>
      <c r="G12" s="11">
        <v>2017</v>
      </c>
      <c r="H12" s="12" t="str">
        <f>"61.07"</f>
        <v>61.07</v>
      </c>
      <c r="I12" s="12"/>
      <c r="J12" s="12" t="str">
        <f>"33.09"</f>
        <v>33.09</v>
      </c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 t="str">
        <f>"37.45"</f>
        <v>37.45</v>
      </c>
      <c r="AA12" s="12" t="str">
        <f>"50.22"</f>
        <v>50.22</v>
      </c>
    </row>
    <row r="13" spans="1:27">
      <c r="A13" s="9">
        <v>11</v>
      </c>
      <c r="B13" s="9">
        <v>6528</v>
      </c>
      <c r="C13" s="9" t="s">
        <v>102</v>
      </c>
      <c r="D13" s="9" t="s">
        <v>14</v>
      </c>
      <c r="E13" s="10" t="str">
        <f>"37.57"</f>
        <v>37.57</v>
      </c>
      <c r="F13" s="11" t="s">
        <v>9</v>
      </c>
      <c r="G13" s="11">
        <v>2017</v>
      </c>
      <c r="H13" s="12" t="str">
        <f>"17.61"</f>
        <v>17.61</v>
      </c>
      <c r="I13" s="12"/>
      <c r="J13" s="12"/>
      <c r="K13" s="12" t="str">
        <f>"26.09"</f>
        <v>26.09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>
      <c r="A14" s="9">
        <v>12</v>
      </c>
      <c r="B14" s="9">
        <v>7696</v>
      </c>
      <c r="C14" s="9" t="s">
        <v>101</v>
      </c>
      <c r="D14" s="9" t="s">
        <v>10</v>
      </c>
      <c r="E14" s="10" t="str">
        <f>"37.94"</f>
        <v>37.94</v>
      </c>
      <c r="F14" s="11"/>
      <c r="G14" s="11">
        <v>2017</v>
      </c>
      <c r="H14" s="12" t="str">
        <f>"34.52"</f>
        <v>34.52</v>
      </c>
      <c r="I14" s="12"/>
      <c r="J14" s="12" t="str">
        <f>"31.15"</f>
        <v>31.15</v>
      </c>
      <c r="K14" s="12"/>
      <c r="L14" s="12"/>
      <c r="M14" s="12"/>
      <c r="N14" s="12"/>
      <c r="O14" s="12"/>
      <c r="P14" s="12"/>
      <c r="Q14" s="12"/>
      <c r="R14" s="12"/>
      <c r="S14" s="12" t="str">
        <f>"44.73"</f>
        <v>44.73</v>
      </c>
      <c r="T14" s="12" t="str">
        <f>"220.11"</f>
        <v>220.11</v>
      </c>
      <c r="U14" s="12"/>
      <c r="V14" s="12"/>
      <c r="W14" s="12"/>
      <c r="X14" s="12"/>
      <c r="Y14" s="12"/>
      <c r="Z14" s="12"/>
      <c r="AA14" s="12" t="str">
        <f>"47.65"</f>
        <v>47.65</v>
      </c>
    </row>
    <row r="15" spans="1:27">
      <c r="A15" s="9">
        <v>13</v>
      </c>
      <c r="B15" s="9">
        <v>5105</v>
      </c>
      <c r="C15" s="9" t="s">
        <v>99</v>
      </c>
      <c r="D15" s="9" t="s">
        <v>10</v>
      </c>
      <c r="E15" s="10" t="str">
        <f>"38.08"</f>
        <v>38.08</v>
      </c>
      <c r="F15" s="11"/>
      <c r="G15" s="11">
        <v>2017</v>
      </c>
      <c r="H15" s="12" t="str">
        <f>"35.52"</f>
        <v>35.52</v>
      </c>
      <c r="I15" s="12"/>
      <c r="J15" s="12" t="str">
        <f>"122.25"</f>
        <v>122.25</v>
      </c>
      <c r="K15" s="12"/>
      <c r="L15" s="12"/>
      <c r="M15" s="12"/>
      <c r="N15" s="12"/>
      <c r="O15" s="12"/>
      <c r="P15" s="12"/>
      <c r="Q15" s="12"/>
      <c r="R15" s="12"/>
      <c r="S15" s="12"/>
      <c r="T15" s="12" t="str">
        <f>"39.34"</f>
        <v>39.34</v>
      </c>
      <c r="U15" s="12"/>
      <c r="V15" s="12"/>
      <c r="W15" s="12"/>
      <c r="X15" s="12"/>
      <c r="Y15" s="12"/>
      <c r="Z15" s="12" t="str">
        <f>"36.81"</f>
        <v>36.81</v>
      </c>
      <c r="AA15" s="12" t="str">
        <f>"45.58"</f>
        <v>45.58</v>
      </c>
    </row>
    <row r="16" spans="1:27">
      <c r="A16" s="9">
        <v>14</v>
      </c>
      <c r="B16" s="9">
        <v>6587</v>
      </c>
      <c r="C16" s="9" t="s">
        <v>107</v>
      </c>
      <c r="D16" s="9" t="s">
        <v>10</v>
      </c>
      <c r="E16" s="10" t="str">
        <f>"40.78"</f>
        <v>40.78</v>
      </c>
      <c r="F16" s="11"/>
      <c r="G16" s="11">
        <v>2017</v>
      </c>
      <c r="H16" s="12" t="str">
        <f>"54.55"</f>
        <v>54.55</v>
      </c>
      <c r="I16" s="12"/>
      <c r="J16" s="12" t="str">
        <f>"37.61"</f>
        <v>37.61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 t="str">
        <f>"51.72"</f>
        <v>51.72</v>
      </c>
      <c r="AA16" s="12" t="str">
        <f>"43.94"</f>
        <v>43.94</v>
      </c>
    </row>
    <row r="17" spans="1:27">
      <c r="A17" s="9">
        <v>15</v>
      </c>
      <c r="B17" s="9">
        <v>4023</v>
      </c>
      <c r="C17" s="9" t="s">
        <v>113</v>
      </c>
      <c r="D17" s="9" t="s">
        <v>10</v>
      </c>
      <c r="E17" s="10" t="str">
        <f>"41.98"</f>
        <v>41.98</v>
      </c>
      <c r="F17" s="11"/>
      <c r="G17" s="11">
        <v>2017</v>
      </c>
      <c r="H17" s="12" t="str">
        <f>"45.00"</f>
        <v>45.00</v>
      </c>
      <c r="I17" s="12" t="str">
        <f>"28.84"</f>
        <v>28.84</v>
      </c>
      <c r="J17" s="12" t="str">
        <f>"55.11"</f>
        <v>55.11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</row>
    <row r="18" spans="1:27">
      <c r="A18" s="9">
        <v>16</v>
      </c>
      <c r="B18" s="9">
        <v>6269</v>
      </c>
      <c r="C18" s="9" t="s">
        <v>110</v>
      </c>
      <c r="D18" s="9" t="s">
        <v>10</v>
      </c>
      <c r="E18" s="10" t="str">
        <f>"42.74"</f>
        <v>42.74</v>
      </c>
      <c r="F18" s="11"/>
      <c r="G18" s="11">
        <v>2017</v>
      </c>
      <c r="H18" s="12" t="str">
        <f>"68.86"</f>
        <v>68.86</v>
      </c>
      <c r="I18" s="12"/>
      <c r="J18" s="12" t="str">
        <f>"37.68"</f>
        <v>37.68</v>
      </c>
      <c r="K18" s="12"/>
      <c r="L18" s="12"/>
      <c r="M18" s="12"/>
      <c r="N18" s="12" t="str">
        <f>"64.88"</f>
        <v>64.88</v>
      </c>
      <c r="O18" s="12" t="str">
        <f>"72.93"</f>
        <v>72.93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 t="str">
        <f>"47.79"</f>
        <v>47.79</v>
      </c>
    </row>
    <row r="19" spans="1:27">
      <c r="A19" s="9">
        <v>17</v>
      </c>
      <c r="B19" s="9">
        <v>4168</v>
      </c>
      <c r="C19" s="9" t="s">
        <v>128</v>
      </c>
      <c r="D19" s="9" t="s">
        <v>10</v>
      </c>
      <c r="E19" s="10" t="str">
        <f>"44.48"</f>
        <v>44.48</v>
      </c>
      <c r="F19" s="11"/>
      <c r="G19" s="11">
        <v>2017</v>
      </c>
      <c r="H19" s="12" t="str">
        <f>"32.68"</f>
        <v>32.68</v>
      </c>
      <c r="I19" s="12" t="str">
        <f>"81.40"</f>
        <v>81.40</v>
      </c>
      <c r="J19" s="12" t="str">
        <f>"39.18"</f>
        <v>39.18</v>
      </c>
      <c r="K19" s="12"/>
      <c r="L19" s="12"/>
      <c r="M19" s="12"/>
      <c r="N19" s="12"/>
      <c r="O19" s="12"/>
      <c r="P19" s="12"/>
      <c r="Q19" s="12"/>
      <c r="R19" s="12"/>
      <c r="S19" s="12" t="str">
        <f>"61.14"</f>
        <v>61.14</v>
      </c>
      <c r="T19" s="12" t="str">
        <f>"49.78"</f>
        <v>49.78</v>
      </c>
      <c r="U19" s="12"/>
      <c r="V19" s="12"/>
      <c r="W19" s="12"/>
      <c r="X19" s="12"/>
      <c r="Y19" s="12"/>
      <c r="Z19" s="12"/>
      <c r="AA19" s="12"/>
    </row>
    <row r="20" spans="1:27">
      <c r="A20" s="9">
        <v>18</v>
      </c>
      <c r="B20" s="9">
        <v>8308</v>
      </c>
      <c r="C20" s="9" t="s">
        <v>126</v>
      </c>
      <c r="D20" s="9" t="s">
        <v>10</v>
      </c>
      <c r="E20" s="10" t="str">
        <f>"46.26"</f>
        <v>46.26</v>
      </c>
      <c r="F20" s="11"/>
      <c r="G20" s="11">
        <v>2017</v>
      </c>
      <c r="H20" s="12" t="str">
        <f>"52.43"</f>
        <v>52.43</v>
      </c>
      <c r="I20" s="12"/>
      <c r="J20" s="12" t="str">
        <f>"59.77"</f>
        <v>59.77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 t="str">
        <f>"52.43"</f>
        <v>52.43</v>
      </c>
      <c r="V20" s="12"/>
      <c r="W20" s="12"/>
      <c r="X20" s="12"/>
      <c r="Y20" s="12"/>
      <c r="Z20" s="12" t="str">
        <f>"69.66"</f>
        <v>69.66</v>
      </c>
      <c r="AA20" s="12" t="str">
        <f>"40.09"</f>
        <v>40.09</v>
      </c>
    </row>
    <row r="21" spans="1:27">
      <c r="A21" s="9">
        <v>19</v>
      </c>
      <c r="B21" s="9">
        <v>8478</v>
      </c>
      <c r="C21" s="9" t="s">
        <v>236</v>
      </c>
      <c r="D21" s="9" t="s">
        <v>10</v>
      </c>
      <c r="E21" s="10" t="str">
        <f>"47.59"</f>
        <v>47.59</v>
      </c>
      <c r="F21" s="11" t="s">
        <v>11</v>
      </c>
      <c r="G21" s="11">
        <v>2017</v>
      </c>
      <c r="H21" s="12" t="str">
        <f>"33.05"</f>
        <v>33.05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</row>
    <row r="22" spans="1:27">
      <c r="A22" s="9">
        <v>20</v>
      </c>
      <c r="B22" s="9">
        <v>5421</v>
      </c>
      <c r="C22" s="9" t="s">
        <v>122</v>
      </c>
      <c r="D22" s="9" t="s">
        <v>10</v>
      </c>
      <c r="E22" s="10" t="str">
        <f>"50.12"</f>
        <v>50.12</v>
      </c>
      <c r="F22" s="11"/>
      <c r="G22" s="11">
        <v>2017</v>
      </c>
      <c r="H22" s="12" t="str">
        <f>"71.20"</f>
        <v>71.20</v>
      </c>
      <c r="I22" s="12"/>
      <c r="J22" s="12" t="str">
        <f>"63.65"</f>
        <v>63.65</v>
      </c>
      <c r="K22" s="12"/>
      <c r="L22" s="12"/>
      <c r="M22" s="12"/>
      <c r="N22" s="12"/>
      <c r="O22" s="12"/>
      <c r="P22" s="12"/>
      <c r="Q22" s="12"/>
      <c r="R22" s="12"/>
      <c r="S22" s="12"/>
      <c r="T22" s="12" t="str">
        <f>"48.46"</f>
        <v>48.46</v>
      </c>
      <c r="U22" s="12"/>
      <c r="V22" s="12"/>
      <c r="W22" s="12"/>
      <c r="X22" s="12"/>
      <c r="Y22" s="12"/>
      <c r="Z22" s="12"/>
      <c r="AA22" s="12" t="str">
        <f>"51.78"</f>
        <v>51.78</v>
      </c>
    </row>
    <row r="23" spans="1:27">
      <c r="A23" s="9">
        <v>21</v>
      </c>
      <c r="B23" s="9">
        <v>3162</v>
      </c>
      <c r="C23" s="9" t="s">
        <v>131</v>
      </c>
      <c r="D23" s="9" t="s">
        <v>14</v>
      </c>
      <c r="E23" s="10" t="str">
        <f>"50.56"</f>
        <v>50.56</v>
      </c>
      <c r="F23" s="11" t="s">
        <v>9</v>
      </c>
      <c r="G23" s="11">
        <v>2017</v>
      </c>
      <c r="H23" s="12" t="str">
        <f>"52.41"</f>
        <v>52.41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 t="str">
        <f>"35.11"</f>
        <v>35.11</v>
      </c>
      <c r="Y23" s="12"/>
      <c r="Z23" s="12"/>
      <c r="AA23" s="12"/>
    </row>
    <row r="24" spans="1:27">
      <c r="A24" s="9">
        <v>22</v>
      </c>
      <c r="B24" s="9">
        <v>6680</v>
      </c>
      <c r="C24" s="9" t="s">
        <v>125</v>
      </c>
      <c r="D24" s="9" t="s">
        <v>10</v>
      </c>
      <c r="E24" s="10" t="str">
        <f>"56.35"</f>
        <v>56.35</v>
      </c>
      <c r="F24" s="11"/>
      <c r="G24" s="11">
        <v>2017</v>
      </c>
      <c r="H24" s="12" t="str">
        <f>"74.73"</f>
        <v>74.73</v>
      </c>
      <c r="I24" s="12"/>
      <c r="J24" s="12" t="str">
        <f>"112.35"</f>
        <v>112.35</v>
      </c>
      <c r="K24" s="12"/>
      <c r="L24" s="12"/>
      <c r="M24" s="12"/>
      <c r="N24" s="12"/>
      <c r="O24" s="12"/>
      <c r="P24" s="12"/>
      <c r="Q24" s="12"/>
      <c r="R24" s="12"/>
      <c r="S24" s="12" t="str">
        <f>"79.99"</f>
        <v>79.99</v>
      </c>
      <c r="T24" s="12" t="str">
        <f>"80.86"</f>
        <v>80.86</v>
      </c>
      <c r="U24" s="12" t="str">
        <f>"69.02"</f>
        <v>69.02</v>
      </c>
      <c r="V24" s="12" t="str">
        <f>"43.67"</f>
        <v>43.67</v>
      </c>
      <c r="W24" s="12"/>
      <c r="X24" s="12"/>
      <c r="Y24" s="12"/>
      <c r="Z24" s="12"/>
      <c r="AA24" s="12"/>
    </row>
    <row r="25" spans="1:27">
      <c r="A25" s="9">
        <v>23</v>
      </c>
      <c r="B25" s="9">
        <v>7816</v>
      </c>
      <c r="C25" s="9" t="s">
        <v>185</v>
      </c>
      <c r="D25" s="9" t="s">
        <v>10</v>
      </c>
      <c r="E25" s="10" t="str">
        <f>"56.67"</f>
        <v>56.67</v>
      </c>
      <c r="F25" s="11"/>
      <c r="G25" s="11">
        <v>2017</v>
      </c>
      <c r="H25" s="12" t="str">
        <f>"66.57"</f>
        <v>66.57</v>
      </c>
      <c r="I25" s="12"/>
      <c r="J25" s="12" t="str">
        <f>"59.99"</f>
        <v>59.99</v>
      </c>
      <c r="K25" s="12"/>
      <c r="L25" s="12"/>
      <c r="M25" s="12"/>
      <c r="N25" s="12"/>
      <c r="O25" s="12"/>
      <c r="P25" s="12"/>
      <c r="Q25" s="12"/>
      <c r="R25" s="12"/>
      <c r="S25" s="12"/>
      <c r="T25" s="12" t="str">
        <f>"165.68"</f>
        <v>165.68</v>
      </c>
      <c r="U25" s="12"/>
      <c r="V25" s="12"/>
      <c r="W25" s="12"/>
      <c r="X25" s="12"/>
      <c r="Y25" s="12"/>
      <c r="Z25" s="12"/>
      <c r="AA25" s="12" t="str">
        <f>"53.35"</f>
        <v>53.35</v>
      </c>
    </row>
    <row r="26" spans="1:27">
      <c r="A26" s="9">
        <v>24</v>
      </c>
      <c r="B26" s="9">
        <v>5388</v>
      </c>
      <c r="C26" s="9" t="s">
        <v>322</v>
      </c>
      <c r="D26" s="9" t="s">
        <v>323</v>
      </c>
      <c r="E26" s="10" t="str">
        <f>"56.68"</f>
        <v>56.68</v>
      </c>
      <c r="F26" s="11" t="s">
        <v>11</v>
      </c>
      <c r="G26" s="11">
        <v>2017</v>
      </c>
      <c r="H26" s="12" t="str">
        <f>"39.36"</f>
        <v>39.36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>
      <c r="A27" s="9">
        <v>25</v>
      </c>
      <c r="B27" s="9">
        <v>5096</v>
      </c>
      <c r="C27" s="9" t="s">
        <v>242</v>
      </c>
      <c r="D27" s="9" t="s">
        <v>38</v>
      </c>
      <c r="E27" s="10" t="str">
        <f>"58.33"</f>
        <v>58.33</v>
      </c>
      <c r="F27" s="11" t="s">
        <v>11</v>
      </c>
      <c r="G27" s="11">
        <v>2017</v>
      </c>
      <c r="H27" s="12" t="str">
        <f>"40.51"</f>
        <v>40.51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</row>
    <row r="28" spans="1:27">
      <c r="A28" s="9">
        <v>26</v>
      </c>
      <c r="B28" s="9">
        <v>10284</v>
      </c>
      <c r="C28" s="9" t="s">
        <v>180</v>
      </c>
      <c r="D28" s="9" t="s">
        <v>14</v>
      </c>
      <c r="E28" s="10" t="str">
        <f>"61.91"</f>
        <v>61.91</v>
      </c>
      <c r="F28" s="11" t="s">
        <v>9</v>
      </c>
      <c r="G28" s="11">
        <v>2017</v>
      </c>
      <c r="H28" s="12" t="str">
        <f>"47.28"</f>
        <v>47.28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 t="str">
        <f>"42.99"</f>
        <v>42.99</v>
      </c>
      <c r="V28" s="12"/>
      <c r="W28" s="12"/>
      <c r="X28" s="12"/>
      <c r="Y28" s="12"/>
      <c r="Z28" s="12"/>
      <c r="AA28" s="12"/>
    </row>
    <row r="29" spans="1:27">
      <c r="A29" s="9">
        <v>27</v>
      </c>
      <c r="B29" s="9">
        <v>10291</v>
      </c>
      <c r="C29" s="9" t="s">
        <v>179</v>
      </c>
      <c r="D29" s="9" t="s">
        <v>10</v>
      </c>
      <c r="E29" s="10" t="str">
        <f>"62.54"</f>
        <v>62.54</v>
      </c>
      <c r="F29" s="11"/>
      <c r="G29" s="11">
        <v>2017</v>
      </c>
      <c r="H29" s="12" t="str">
        <f>"65.02"</f>
        <v>65.02</v>
      </c>
      <c r="I29" s="12"/>
      <c r="J29" s="12" t="str">
        <f>"79.21"</f>
        <v>79.21</v>
      </c>
      <c r="K29" s="12"/>
      <c r="L29" s="12"/>
      <c r="M29" s="12"/>
      <c r="N29" s="12"/>
      <c r="O29" s="12"/>
      <c r="P29" s="12"/>
      <c r="Q29" s="12"/>
      <c r="R29" s="12"/>
      <c r="S29" s="12" t="str">
        <f>"81.65"</f>
        <v>81.65</v>
      </c>
      <c r="T29" s="12"/>
      <c r="U29" s="12" t="str">
        <f>"45.87"</f>
        <v>45.87</v>
      </c>
      <c r="V29" s="12"/>
      <c r="W29" s="12"/>
      <c r="X29" s="12"/>
      <c r="Y29" s="12"/>
      <c r="Z29" s="12"/>
      <c r="AA29" s="12"/>
    </row>
    <row r="30" spans="1:27">
      <c r="A30" s="9">
        <v>28</v>
      </c>
      <c r="B30" s="9">
        <v>3623</v>
      </c>
      <c r="C30" s="9" t="s">
        <v>116</v>
      </c>
      <c r="D30" s="9" t="s">
        <v>35</v>
      </c>
      <c r="E30" s="10" t="str">
        <f>"62.86"</f>
        <v>62.86</v>
      </c>
      <c r="F30" s="11"/>
      <c r="G30" s="11">
        <v>2017</v>
      </c>
      <c r="H30" s="12" t="str">
        <f>"152.30"</f>
        <v>152.30</v>
      </c>
      <c r="I30" s="12"/>
      <c r="J30" s="12"/>
      <c r="K30" s="12" t="str">
        <f>"67.11"</f>
        <v>67.11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 t="str">
        <f>"58.61"</f>
        <v>58.61</v>
      </c>
      <c r="Y30" s="12"/>
      <c r="Z30" s="12"/>
      <c r="AA30" s="12"/>
    </row>
    <row r="31" spans="1:27">
      <c r="A31" s="9">
        <v>29</v>
      </c>
      <c r="B31" s="9">
        <v>3469</v>
      </c>
      <c r="C31" s="9" t="s">
        <v>120</v>
      </c>
      <c r="D31" s="9" t="s">
        <v>97</v>
      </c>
      <c r="E31" s="10" t="str">
        <f>"63.44"</f>
        <v>63.44</v>
      </c>
      <c r="F31" s="11"/>
      <c r="G31" s="11">
        <v>2017</v>
      </c>
      <c r="H31" s="12" t="str">
        <f>"218.87"</f>
        <v>218.87</v>
      </c>
      <c r="I31" s="12"/>
      <c r="J31" s="12"/>
      <c r="K31" s="12"/>
      <c r="L31" s="12" t="str">
        <f>"56.16"</f>
        <v>56.16</v>
      </c>
      <c r="M31" s="12"/>
      <c r="N31" s="12"/>
      <c r="O31" s="12"/>
      <c r="P31" s="12" t="str">
        <f>"70.71"</f>
        <v>70.71</v>
      </c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</row>
    <row r="32" spans="1:27">
      <c r="A32" s="9">
        <v>29</v>
      </c>
      <c r="B32" s="9">
        <v>5262</v>
      </c>
      <c r="C32" s="9" t="s">
        <v>406</v>
      </c>
      <c r="D32" s="9" t="s">
        <v>17</v>
      </c>
      <c r="E32" s="10" t="str">
        <f>"63.44"</f>
        <v>63.44</v>
      </c>
      <c r="F32" s="11"/>
      <c r="G32" s="11">
        <v>2017</v>
      </c>
      <c r="H32" s="12" t="str">
        <f>"24.98"</f>
        <v>24.98</v>
      </c>
      <c r="I32" s="12"/>
      <c r="J32" s="12"/>
      <c r="K32" s="12"/>
      <c r="L32" s="12"/>
      <c r="M32" s="12"/>
      <c r="N32" s="12"/>
      <c r="O32" s="12"/>
      <c r="P32" s="12" t="str">
        <f>"60.96"</f>
        <v>60.96</v>
      </c>
      <c r="Q32" s="12"/>
      <c r="R32" s="12"/>
      <c r="S32" s="12"/>
      <c r="T32" s="12"/>
      <c r="U32" s="12" t="str">
        <f>"65.92"</f>
        <v>65.92</v>
      </c>
      <c r="V32" s="12" t="str">
        <f>"84.72"</f>
        <v>84.72</v>
      </c>
      <c r="W32" s="12"/>
      <c r="X32" s="12"/>
      <c r="Y32" s="12"/>
      <c r="Z32" s="12"/>
      <c r="AA32" s="12"/>
    </row>
    <row r="33" spans="1:27">
      <c r="A33" s="9">
        <v>31</v>
      </c>
      <c r="B33" s="9">
        <v>6296</v>
      </c>
      <c r="C33" s="9" t="s">
        <v>114</v>
      </c>
      <c r="D33" s="9" t="s">
        <v>10</v>
      </c>
      <c r="E33" s="10" t="str">
        <f>"63.48"</f>
        <v>63.48</v>
      </c>
      <c r="F33" s="11"/>
      <c r="G33" s="11">
        <v>2017</v>
      </c>
      <c r="H33" s="12" t="str">
        <f>"115.70"</f>
        <v>115.70</v>
      </c>
      <c r="I33" s="12"/>
      <c r="J33" s="12" t="str">
        <f>"58.05"</f>
        <v>58.05</v>
      </c>
      <c r="K33" s="12"/>
      <c r="L33" s="12"/>
      <c r="M33" s="12"/>
      <c r="N33" s="12"/>
      <c r="O33" s="12"/>
      <c r="P33" s="12"/>
      <c r="Q33" s="12"/>
      <c r="R33" s="12"/>
      <c r="S33" s="12"/>
      <c r="T33" s="12" t="str">
        <f>"140.94"</f>
        <v>140.94</v>
      </c>
      <c r="U33" s="12"/>
      <c r="V33" s="12"/>
      <c r="W33" s="12"/>
      <c r="X33" s="12" t="str">
        <f>"169.78"</f>
        <v>169.78</v>
      </c>
      <c r="Y33" s="12"/>
      <c r="Z33" s="12"/>
      <c r="AA33" s="12" t="str">
        <f>"68.90"</f>
        <v>68.90</v>
      </c>
    </row>
    <row r="34" spans="1:27">
      <c r="A34" s="9">
        <v>32</v>
      </c>
      <c r="B34" s="9">
        <v>2635</v>
      </c>
      <c r="C34" s="9" t="s">
        <v>141</v>
      </c>
      <c r="D34" s="9" t="s">
        <v>18</v>
      </c>
      <c r="E34" s="10" t="str">
        <f>"64.22"</f>
        <v>64.22</v>
      </c>
      <c r="F34" s="11" t="s">
        <v>11</v>
      </c>
      <c r="G34" s="11">
        <v>2017</v>
      </c>
      <c r="H34" s="12" t="str">
        <f>"44.60"</f>
        <v>44.60</v>
      </c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>
      <c r="A35" s="9">
        <v>33</v>
      </c>
      <c r="B35" s="9">
        <v>11093</v>
      </c>
      <c r="C35" s="9" t="s">
        <v>100</v>
      </c>
      <c r="D35" s="9" t="s">
        <v>10</v>
      </c>
      <c r="E35" s="10" t="str">
        <f>"64.54"</f>
        <v>64.54</v>
      </c>
      <c r="F35" s="11"/>
      <c r="G35" s="11">
        <v>2017</v>
      </c>
      <c r="H35" s="12" t="str">
        <f>"89.78"</f>
        <v>89.78</v>
      </c>
      <c r="I35" s="12"/>
      <c r="J35" s="12" t="str">
        <f>"55.83"</f>
        <v>55.83</v>
      </c>
      <c r="K35" s="12"/>
      <c r="L35" s="12"/>
      <c r="M35" s="12"/>
      <c r="N35" s="12"/>
      <c r="O35" s="12"/>
      <c r="P35" s="12"/>
      <c r="Q35" s="12"/>
      <c r="R35" s="12"/>
      <c r="S35" s="12"/>
      <c r="T35" s="12" t="str">
        <f>"151.99"</f>
        <v>151.99</v>
      </c>
      <c r="U35" s="12"/>
      <c r="V35" s="12"/>
      <c r="W35" s="12"/>
      <c r="X35" s="12"/>
      <c r="Y35" s="12"/>
      <c r="Z35" s="12"/>
      <c r="AA35" s="12" t="str">
        <f>"73.25"</f>
        <v>73.25</v>
      </c>
    </row>
    <row r="36" spans="1:27">
      <c r="A36" s="9">
        <v>34</v>
      </c>
      <c r="B36" s="9">
        <v>2557</v>
      </c>
      <c r="C36" s="9" t="s">
        <v>190</v>
      </c>
      <c r="D36" s="9" t="s">
        <v>97</v>
      </c>
      <c r="E36" s="10" t="str">
        <f>"66.41"</f>
        <v>66.41</v>
      </c>
      <c r="F36" s="11"/>
      <c r="G36" s="11">
        <v>2017</v>
      </c>
      <c r="H36" s="12" t="str">
        <f>"60.63"</f>
        <v>60.63</v>
      </c>
      <c r="I36" s="12"/>
      <c r="J36" s="12"/>
      <c r="K36" s="12" t="str">
        <f>"60.14"</f>
        <v>60.14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 t="str">
        <f>"72.67"</f>
        <v>72.67</v>
      </c>
      <c r="W36" s="12"/>
      <c r="X36" s="12"/>
      <c r="Y36" s="12"/>
      <c r="Z36" s="12"/>
      <c r="AA36" s="12"/>
    </row>
    <row r="37" spans="1:27">
      <c r="A37" s="9">
        <v>35</v>
      </c>
      <c r="B37" s="9">
        <v>10682</v>
      </c>
      <c r="C37" s="9" t="s">
        <v>117</v>
      </c>
      <c r="D37" s="9" t="s">
        <v>33</v>
      </c>
      <c r="E37" s="10" t="str">
        <f>"67.16"</f>
        <v>67.16</v>
      </c>
      <c r="F37" s="11" t="s">
        <v>9</v>
      </c>
      <c r="G37" s="11">
        <v>2017</v>
      </c>
      <c r="H37" s="12" t="str">
        <f>"52.24"</f>
        <v>52.24</v>
      </c>
      <c r="I37" s="12"/>
      <c r="J37" s="12"/>
      <c r="K37" s="12" t="str">
        <f>"46.64"</f>
        <v>46.64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>
      <c r="A38" s="9">
        <v>36</v>
      </c>
      <c r="B38" s="9">
        <v>5199</v>
      </c>
      <c r="C38" s="9" t="s">
        <v>172</v>
      </c>
      <c r="D38" s="9" t="s">
        <v>35</v>
      </c>
      <c r="E38" s="10" t="str">
        <f>"67.77"</f>
        <v>67.77</v>
      </c>
      <c r="F38" s="11" t="s">
        <v>9</v>
      </c>
      <c r="G38" s="11">
        <v>2017</v>
      </c>
      <c r="H38" s="12" t="str">
        <f>"44.32"</f>
        <v>44.32</v>
      </c>
      <c r="I38" s="12"/>
      <c r="J38" s="12"/>
      <c r="K38" s="12" t="str">
        <f>"47.06"</f>
        <v>47.06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>
      <c r="A39" s="9">
        <v>37</v>
      </c>
      <c r="B39" s="9">
        <v>2154</v>
      </c>
      <c r="C39" s="9" t="s">
        <v>119</v>
      </c>
      <c r="D39" s="9" t="s">
        <v>10</v>
      </c>
      <c r="E39" s="10" t="str">
        <f>"68.20"</f>
        <v>68.20</v>
      </c>
      <c r="F39" s="11" t="s">
        <v>9</v>
      </c>
      <c r="G39" s="11">
        <v>2017</v>
      </c>
      <c r="H39" s="12" t="str">
        <f>"37.98"</f>
        <v>37.98</v>
      </c>
      <c r="I39" s="12"/>
      <c r="J39" s="12" t="str">
        <f>"47.36"</f>
        <v>47.36</v>
      </c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</row>
    <row r="40" spans="1:27">
      <c r="A40" s="9">
        <v>38</v>
      </c>
      <c r="B40" s="9">
        <v>3368</v>
      </c>
      <c r="C40" s="9" t="s">
        <v>324</v>
      </c>
      <c r="D40" s="9" t="s">
        <v>63</v>
      </c>
      <c r="E40" s="10" t="str">
        <f>"68.57"</f>
        <v>68.57</v>
      </c>
      <c r="F40" s="11" t="s">
        <v>11</v>
      </c>
      <c r="G40" s="11">
        <v>2017</v>
      </c>
      <c r="H40" s="12" t="str">
        <f>"47.62"</f>
        <v>47.62</v>
      </c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</row>
    <row r="41" spans="1:27">
      <c r="A41" s="9">
        <v>39</v>
      </c>
      <c r="B41" s="9">
        <v>10669</v>
      </c>
      <c r="C41" s="9" t="s">
        <v>156</v>
      </c>
      <c r="D41" s="9" t="s">
        <v>14</v>
      </c>
      <c r="E41" s="10" t="str">
        <f>"68.90"</f>
        <v>68.90</v>
      </c>
      <c r="F41" s="11" t="s">
        <v>11</v>
      </c>
      <c r="G41" s="11">
        <v>2017</v>
      </c>
      <c r="H41" s="12" t="str">
        <f>"47.85"</f>
        <v>47.85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</row>
    <row r="42" spans="1:27">
      <c r="A42" s="9">
        <v>40</v>
      </c>
      <c r="B42" s="9">
        <v>7820</v>
      </c>
      <c r="C42" s="9" t="s">
        <v>121</v>
      </c>
      <c r="D42" s="9" t="s">
        <v>14</v>
      </c>
      <c r="E42" s="10" t="str">
        <f>"69.11"</f>
        <v>69.11</v>
      </c>
      <c r="F42" s="11" t="s">
        <v>11</v>
      </c>
      <c r="G42" s="11">
        <v>2017</v>
      </c>
      <c r="H42" s="12" t="str">
        <f>"47.99"</f>
        <v>47.99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</row>
    <row r="43" spans="1:27">
      <c r="A43" s="9">
        <v>41</v>
      </c>
      <c r="B43" s="9">
        <v>9392</v>
      </c>
      <c r="C43" s="9" t="s">
        <v>137</v>
      </c>
      <c r="D43" s="9" t="s">
        <v>65</v>
      </c>
      <c r="E43" s="10" t="str">
        <f>"70.13"</f>
        <v>70.13</v>
      </c>
      <c r="F43" s="11" t="s">
        <v>9</v>
      </c>
      <c r="G43" s="11">
        <v>2017</v>
      </c>
      <c r="H43" s="12" t="str">
        <f>"56.93"</f>
        <v>56.93</v>
      </c>
      <c r="I43" s="12"/>
      <c r="J43" s="12"/>
      <c r="K43" s="12" t="str">
        <f>"48.70"</f>
        <v>48.70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</row>
    <row r="44" spans="1:27">
      <c r="A44" s="9">
        <v>42</v>
      </c>
      <c r="B44" s="9">
        <v>9957</v>
      </c>
      <c r="C44" s="9" t="s">
        <v>155</v>
      </c>
      <c r="D44" s="9" t="s">
        <v>19</v>
      </c>
      <c r="E44" s="10" t="str">
        <f>"70.67"</f>
        <v>70.67</v>
      </c>
      <c r="F44" s="11"/>
      <c r="G44" s="11">
        <v>2017</v>
      </c>
      <c r="H44" s="12" t="str">
        <f>"112.14"</f>
        <v>112.14</v>
      </c>
      <c r="I44" s="12"/>
      <c r="J44" s="12"/>
      <c r="K44" s="12" t="str">
        <f>"74.29"</f>
        <v>74.29</v>
      </c>
      <c r="L44" s="12"/>
      <c r="M44" s="12"/>
      <c r="N44" s="12" t="str">
        <f>"67.04"</f>
        <v>67.04</v>
      </c>
      <c r="O44" s="12"/>
      <c r="P44" s="12"/>
      <c r="Q44" s="12"/>
      <c r="R44" s="12" t="str">
        <f>"145.98"</f>
        <v>145.98</v>
      </c>
      <c r="S44" s="12"/>
      <c r="T44" s="12"/>
      <c r="U44" s="12"/>
      <c r="V44" s="12"/>
      <c r="W44" s="12"/>
      <c r="X44" s="12"/>
      <c r="Y44" s="12"/>
      <c r="Z44" s="12"/>
      <c r="AA44" s="12"/>
    </row>
    <row r="45" spans="1:27">
      <c r="A45" s="9">
        <v>43</v>
      </c>
      <c r="B45" s="9">
        <v>8372</v>
      </c>
      <c r="C45" s="9" t="s">
        <v>408</v>
      </c>
      <c r="D45" s="9" t="s">
        <v>248</v>
      </c>
      <c r="E45" s="10" t="str">
        <f>"71.42"</f>
        <v>71.42</v>
      </c>
      <c r="F45" s="11" t="s">
        <v>11</v>
      </c>
      <c r="G45" s="11">
        <v>2017</v>
      </c>
      <c r="H45" s="12" t="str">
        <f>"49.60"</f>
        <v>49.60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</row>
    <row r="46" spans="1:27">
      <c r="A46" s="9">
        <v>44</v>
      </c>
      <c r="B46" s="9">
        <v>3523</v>
      </c>
      <c r="C46" s="9" t="s">
        <v>188</v>
      </c>
      <c r="D46" s="9" t="s">
        <v>189</v>
      </c>
      <c r="E46" s="10" t="str">
        <f>"73.38"</f>
        <v>73.38</v>
      </c>
      <c r="F46" s="11"/>
      <c r="G46" s="11">
        <v>2017</v>
      </c>
      <c r="H46" s="12" t="str">
        <f>"86.48"</f>
        <v>86.48</v>
      </c>
      <c r="I46" s="12"/>
      <c r="J46" s="12"/>
      <c r="K46" s="12"/>
      <c r="L46" s="12" t="str">
        <f>"83.03"</f>
        <v>83.03</v>
      </c>
      <c r="M46" s="12"/>
      <c r="N46" s="12"/>
      <c r="O46" s="12"/>
      <c r="P46" s="12" t="str">
        <f>"63.72"</f>
        <v>63.72</v>
      </c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</row>
    <row r="47" spans="1:27">
      <c r="A47" s="9">
        <v>45</v>
      </c>
      <c r="B47" s="9">
        <v>7834</v>
      </c>
      <c r="C47" s="9" t="s">
        <v>135</v>
      </c>
      <c r="D47" s="9" t="s">
        <v>10</v>
      </c>
      <c r="E47" s="10" t="str">
        <f>"76.70"</f>
        <v>76.70</v>
      </c>
      <c r="F47" s="11"/>
      <c r="G47" s="11">
        <v>2017</v>
      </c>
      <c r="H47" s="12" t="str">
        <f>"142.23"</f>
        <v>142.23</v>
      </c>
      <c r="I47" s="12"/>
      <c r="J47" s="12" t="str">
        <f>"89.54"</f>
        <v>89.54</v>
      </c>
      <c r="K47" s="12"/>
      <c r="L47" s="12"/>
      <c r="M47" s="12"/>
      <c r="N47" s="12" t="str">
        <f>"95.72"</f>
        <v>95.72</v>
      </c>
      <c r="O47" s="12" t="str">
        <f>"125.01"</f>
        <v>125.01</v>
      </c>
      <c r="P47" s="12"/>
      <c r="Q47" s="12"/>
      <c r="R47" s="12"/>
      <c r="S47" s="12"/>
      <c r="T47" s="12"/>
      <c r="U47" s="12" t="str">
        <f>"80.08"</f>
        <v>80.08</v>
      </c>
      <c r="V47" s="12"/>
      <c r="W47" s="12"/>
      <c r="X47" s="12"/>
      <c r="Y47" s="12"/>
      <c r="Z47" s="12"/>
      <c r="AA47" s="12" t="str">
        <f>"73.32"</f>
        <v>73.32</v>
      </c>
    </row>
    <row r="48" spans="1:27">
      <c r="A48" s="9">
        <v>46</v>
      </c>
      <c r="B48" s="9">
        <v>10313</v>
      </c>
      <c r="C48" s="9" t="s">
        <v>290</v>
      </c>
      <c r="D48" s="9" t="s">
        <v>25</v>
      </c>
      <c r="E48" s="10" t="str">
        <f>"76.78"</f>
        <v>76.78</v>
      </c>
      <c r="F48" s="11" t="s">
        <v>11</v>
      </c>
      <c r="G48" s="11">
        <v>2017</v>
      </c>
      <c r="H48" s="12" t="str">
        <f>"53.32"</f>
        <v>53.32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</row>
    <row r="49" spans="1:27">
      <c r="A49" s="9">
        <v>47</v>
      </c>
      <c r="B49" s="9">
        <v>6861</v>
      </c>
      <c r="C49" s="9" t="s">
        <v>123</v>
      </c>
      <c r="D49" s="9" t="s">
        <v>19</v>
      </c>
      <c r="E49" s="10" t="str">
        <f>"78.93"</f>
        <v>78.93</v>
      </c>
      <c r="F49" s="11"/>
      <c r="G49" s="11">
        <v>2017</v>
      </c>
      <c r="H49" s="12" t="str">
        <f>"129.49"</f>
        <v>129.49</v>
      </c>
      <c r="I49" s="12"/>
      <c r="J49" s="12"/>
      <c r="K49" s="12"/>
      <c r="L49" s="12"/>
      <c r="M49" s="12"/>
      <c r="N49" s="12" t="str">
        <f>"73.42"</f>
        <v>73.42</v>
      </c>
      <c r="O49" s="12"/>
      <c r="P49" s="12"/>
      <c r="Q49" s="12"/>
      <c r="R49" s="12" t="str">
        <f>"84.44"</f>
        <v>84.44</v>
      </c>
      <c r="S49" s="12"/>
      <c r="T49" s="12"/>
      <c r="U49" s="12"/>
      <c r="V49" s="12"/>
      <c r="W49" s="12"/>
      <c r="X49" s="12"/>
      <c r="Y49" s="12"/>
      <c r="Z49" s="12"/>
      <c r="AA49" s="12" t="str">
        <f>"90.50"</f>
        <v>90.50</v>
      </c>
    </row>
    <row r="50" spans="1:27">
      <c r="A50" s="9">
        <v>48</v>
      </c>
      <c r="B50" s="9">
        <v>1226</v>
      </c>
      <c r="C50" s="9" t="s">
        <v>251</v>
      </c>
      <c r="D50" s="9" t="s">
        <v>42</v>
      </c>
      <c r="E50" s="10" t="str">
        <f>"79.21"</f>
        <v>79.21</v>
      </c>
      <c r="F50" s="11"/>
      <c r="G50" s="11">
        <v>2017</v>
      </c>
      <c r="H50" s="12" t="str">
        <f>"60.67"</f>
        <v>60.67</v>
      </c>
      <c r="I50" s="12"/>
      <c r="J50" s="12"/>
      <c r="K50" s="12" t="str">
        <f>"90.43"</f>
        <v>90.43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 t="str">
        <f>"67.98"</f>
        <v>67.98</v>
      </c>
      <c r="Y50" s="12"/>
      <c r="Z50" s="12"/>
      <c r="AA50" s="12"/>
    </row>
    <row r="51" spans="1:27">
      <c r="A51" s="9">
        <v>49</v>
      </c>
      <c r="B51" s="9">
        <v>7835</v>
      </c>
      <c r="C51" s="9" t="s">
        <v>159</v>
      </c>
      <c r="D51" s="9" t="s">
        <v>12</v>
      </c>
      <c r="E51" s="10" t="str">
        <f>"80.24"</f>
        <v>80.24</v>
      </c>
      <c r="F51" s="11" t="s">
        <v>11</v>
      </c>
      <c r="G51" s="11">
        <v>2017</v>
      </c>
      <c r="H51" s="12" t="str">
        <f>"55.72"</f>
        <v>55.72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</row>
    <row r="52" spans="1:27">
      <c r="A52" s="9">
        <v>50</v>
      </c>
      <c r="B52" s="9">
        <v>2541</v>
      </c>
      <c r="C52" s="9" t="s">
        <v>153</v>
      </c>
      <c r="D52" s="9" t="s">
        <v>14</v>
      </c>
      <c r="E52" s="10" t="str">
        <f>"81.32"</f>
        <v>81.32</v>
      </c>
      <c r="F52" s="11" t="s">
        <v>9</v>
      </c>
      <c r="G52" s="11">
        <v>2017</v>
      </c>
      <c r="H52" s="12" t="str">
        <f>"48.84"</f>
        <v>48.84</v>
      </c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 t="str">
        <f>"56.47"</f>
        <v>56.47</v>
      </c>
      <c r="Y52" s="12"/>
      <c r="Z52" s="12"/>
      <c r="AA52" s="12"/>
    </row>
    <row r="53" spans="1:27">
      <c r="A53" s="9">
        <v>51</v>
      </c>
      <c r="B53" s="9">
        <v>6555</v>
      </c>
      <c r="C53" s="9" t="s">
        <v>129</v>
      </c>
      <c r="D53" s="9" t="s">
        <v>130</v>
      </c>
      <c r="E53" s="10" t="str">
        <f>"81.54"</f>
        <v>81.54</v>
      </c>
      <c r="F53" s="11"/>
      <c r="G53" s="11">
        <v>2017</v>
      </c>
      <c r="H53" s="12" t="str">
        <f>"85.02"</f>
        <v>85.02</v>
      </c>
      <c r="I53" s="12"/>
      <c r="J53" s="12"/>
      <c r="K53" s="12" t="str">
        <f>"87.94"</f>
        <v>87.94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 t="str">
        <f>"75.13"</f>
        <v>75.13</v>
      </c>
      <c r="W53" s="12"/>
      <c r="X53" s="12"/>
      <c r="Y53" s="12"/>
      <c r="Z53" s="12"/>
      <c r="AA53" s="12"/>
    </row>
    <row r="54" spans="1:27">
      <c r="A54" s="9">
        <v>52</v>
      </c>
      <c r="B54" s="9">
        <v>5726</v>
      </c>
      <c r="C54" s="9" t="s">
        <v>210</v>
      </c>
      <c r="D54" s="9" t="s">
        <v>19</v>
      </c>
      <c r="E54" s="10" t="str">
        <f>"82.11"</f>
        <v>82.11</v>
      </c>
      <c r="F54" s="11"/>
      <c r="G54" s="11">
        <v>2017</v>
      </c>
      <c r="H54" s="12" t="str">
        <f>"121.83"</f>
        <v>121.83</v>
      </c>
      <c r="I54" s="12"/>
      <c r="J54" s="12"/>
      <c r="K54" s="12"/>
      <c r="L54" s="12"/>
      <c r="M54" s="12"/>
      <c r="N54" s="12" t="str">
        <f>"85.83"</f>
        <v>85.83</v>
      </c>
      <c r="O54" s="12"/>
      <c r="P54" s="12"/>
      <c r="Q54" s="12"/>
      <c r="R54" s="12" t="str">
        <f>"162.56"</f>
        <v>162.56</v>
      </c>
      <c r="S54" s="12"/>
      <c r="T54" s="12"/>
      <c r="U54" s="12"/>
      <c r="V54" s="12"/>
      <c r="W54" s="12"/>
      <c r="X54" s="12"/>
      <c r="Y54" s="12"/>
      <c r="Z54" s="12"/>
      <c r="AA54" s="12" t="str">
        <f>"78.38"</f>
        <v>78.38</v>
      </c>
    </row>
    <row r="55" spans="1:27">
      <c r="A55" s="9">
        <v>53</v>
      </c>
      <c r="B55" s="9">
        <v>5739</v>
      </c>
      <c r="C55" s="9" t="s">
        <v>143</v>
      </c>
      <c r="D55" s="9" t="s">
        <v>19</v>
      </c>
      <c r="E55" s="10" t="str">
        <f>"82.99"</f>
        <v>82.99</v>
      </c>
      <c r="F55" s="11"/>
      <c r="G55" s="11">
        <v>2017</v>
      </c>
      <c r="H55" s="12" t="str">
        <f>"32.42"</f>
        <v>32.42</v>
      </c>
      <c r="I55" s="12"/>
      <c r="J55" s="12"/>
      <c r="K55" s="12"/>
      <c r="L55" s="12"/>
      <c r="M55" s="12"/>
      <c r="N55" s="12" t="str">
        <f>"88.35"</f>
        <v>88.35</v>
      </c>
      <c r="O55" s="12" t="str">
        <f>"80.57"</f>
        <v>80.57</v>
      </c>
      <c r="P55" s="12"/>
      <c r="Q55" s="12"/>
      <c r="R55" s="12" t="str">
        <f>"85.40"</f>
        <v>85.40</v>
      </c>
      <c r="S55" s="12"/>
      <c r="T55" s="12"/>
      <c r="U55" s="12"/>
      <c r="V55" s="12"/>
      <c r="W55" s="12"/>
      <c r="X55" s="12"/>
      <c r="Y55" s="12"/>
      <c r="Z55" s="12"/>
      <c r="AA55" s="12"/>
    </row>
    <row r="56" spans="1:27">
      <c r="A56" s="9">
        <v>54</v>
      </c>
      <c r="B56" s="9">
        <v>4292</v>
      </c>
      <c r="C56" s="9" t="s">
        <v>164</v>
      </c>
      <c r="D56" s="9" t="s">
        <v>18</v>
      </c>
      <c r="E56" s="10" t="str">
        <f>"83.78"</f>
        <v>83.78</v>
      </c>
      <c r="F56" s="11" t="s">
        <v>9</v>
      </c>
      <c r="G56" s="11">
        <v>2017</v>
      </c>
      <c r="H56" s="12" t="str">
        <f>"86.97"</f>
        <v>86.97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 t="str">
        <f>"58.18"</f>
        <v>58.18</v>
      </c>
      <c r="V56" s="12"/>
      <c r="W56" s="12"/>
      <c r="X56" s="12"/>
      <c r="Y56" s="12"/>
      <c r="Z56" s="12"/>
      <c r="AA56" s="12"/>
    </row>
    <row r="57" spans="1:27">
      <c r="A57" s="9">
        <v>55</v>
      </c>
      <c r="B57" s="9">
        <v>10262</v>
      </c>
      <c r="C57" s="9" t="s">
        <v>136</v>
      </c>
      <c r="D57" s="9" t="s">
        <v>14</v>
      </c>
      <c r="E57" s="10" t="str">
        <f>"83.92"</f>
        <v>83.92</v>
      </c>
      <c r="F57" s="11" t="s">
        <v>9</v>
      </c>
      <c r="G57" s="11">
        <v>2017</v>
      </c>
      <c r="H57" s="12" t="str">
        <f>"110.03"</f>
        <v>110.03</v>
      </c>
      <c r="I57" s="12"/>
      <c r="J57" s="12"/>
      <c r="K57" s="12"/>
      <c r="L57" s="12" t="str">
        <f>"58.28"</f>
        <v>58.28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>
      <c r="A58" s="9">
        <v>56</v>
      </c>
      <c r="B58" s="9">
        <v>1230</v>
      </c>
      <c r="C58" s="9" t="s">
        <v>233</v>
      </c>
      <c r="D58" s="9" t="s">
        <v>234</v>
      </c>
      <c r="E58" s="10" t="str">
        <f>"83.99"</f>
        <v>83.99</v>
      </c>
      <c r="F58" s="11"/>
      <c r="G58" s="11">
        <v>2017</v>
      </c>
      <c r="H58" s="12" t="str">
        <f>"94.58"</f>
        <v>94.58</v>
      </c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 t="str">
        <f>"73.37"</f>
        <v>73.37</v>
      </c>
      <c r="V58" s="12"/>
      <c r="W58" s="12"/>
      <c r="X58" s="12" t="str">
        <f>"94.60"</f>
        <v>94.60</v>
      </c>
      <c r="Y58" s="12"/>
      <c r="Z58" s="12"/>
      <c r="AA58" s="12"/>
    </row>
    <row r="59" spans="1:27">
      <c r="A59" s="9">
        <v>57</v>
      </c>
      <c r="B59" s="9">
        <v>9384</v>
      </c>
      <c r="C59" s="9" t="s">
        <v>186</v>
      </c>
      <c r="D59" s="9" t="s">
        <v>42</v>
      </c>
      <c r="E59" s="10" t="str">
        <f>"84.59"</f>
        <v>84.59</v>
      </c>
      <c r="F59" s="11"/>
      <c r="G59" s="11">
        <v>2017</v>
      </c>
      <c r="H59" s="12" t="str">
        <f>"58.28"</f>
        <v>58.28</v>
      </c>
      <c r="I59" s="12"/>
      <c r="J59" s="12"/>
      <c r="K59" s="12" t="str">
        <f>"100.09"</f>
        <v>100.09</v>
      </c>
      <c r="L59" s="12"/>
      <c r="M59" s="12"/>
      <c r="N59" s="12"/>
      <c r="O59" s="12"/>
      <c r="P59" s="12"/>
      <c r="Q59" s="12"/>
      <c r="R59" s="12"/>
      <c r="S59" s="12"/>
      <c r="T59" s="12"/>
      <c r="U59" s="12" t="str">
        <f>"71.97"</f>
        <v>71.97</v>
      </c>
      <c r="V59" s="12" t="str">
        <f>"97.20"</f>
        <v>97.20</v>
      </c>
      <c r="W59" s="12"/>
      <c r="X59" s="12"/>
      <c r="Y59" s="12"/>
      <c r="Z59" s="12"/>
      <c r="AA59" s="12"/>
    </row>
    <row r="60" spans="1:27">
      <c r="A60" s="9">
        <v>58</v>
      </c>
      <c r="B60" s="9">
        <v>10040</v>
      </c>
      <c r="C60" s="9" t="s">
        <v>154</v>
      </c>
      <c r="D60" s="9" t="s">
        <v>14</v>
      </c>
      <c r="E60" s="10" t="str">
        <f>"85.86"</f>
        <v>85.86</v>
      </c>
      <c r="F60" s="11"/>
      <c r="G60" s="11">
        <v>2017</v>
      </c>
      <c r="H60" s="12" t="str">
        <f>"85.94"</f>
        <v>85.94</v>
      </c>
      <c r="I60" s="12"/>
      <c r="J60" s="12"/>
      <c r="K60" s="12" t="str">
        <f>"95.19"</f>
        <v>95.19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 t="str">
        <f>"76.52"</f>
        <v>76.52</v>
      </c>
      <c r="Y60" s="12"/>
      <c r="Z60" s="12"/>
      <c r="AA60" s="12"/>
    </row>
    <row r="61" spans="1:27">
      <c r="A61" s="9">
        <v>59</v>
      </c>
      <c r="B61" s="9">
        <v>1768</v>
      </c>
      <c r="C61" s="9" t="s">
        <v>194</v>
      </c>
      <c r="D61" s="9" t="s">
        <v>28</v>
      </c>
      <c r="E61" s="10" t="str">
        <f>"86.07"</f>
        <v>86.07</v>
      </c>
      <c r="F61" s="11"/>
      <c r="G61" s="11">
        <v>2017</v>
      </c>
      <c r="H61" s="12" t="str">
        <f>"63.13"</f>
        <v>63.13</v>
      </c>
      <c r="I61" s="12"/>
      <c r="J61" s="12"/>
      <c r="K61" s="12" t="str">
        <f>"131.80"</f>
        <v>131.80</v>
      </c>
      <c r="L61" s="12"/>
      <c r="M61" s="12"/>
      <c r="N61" s="12"/>
      <c r="O61" s="12"/>
      <c r="P61" s="12"/>
      <c r="Q61" s="12" t="str">
        <f>"65.72"</f>
        <v>65.72</v>
      </c>
      <c r="R61" s="12"/>
      <c r="S61" s="12"/>
      <c r="T61" s="12"/>
      <c r="U61" s="12" t="str">
        <f>"106.41"</f>
        <v>106.41</v>
      </c>
      <c r="V61" s="12"/>
      <c r="W61" s="12"/>
      <c r="X61" s="12"/>
      <c r="Y61" s="12"/>
      <c r="Z61" s="12"/>
      <c r="AA61" s="12"/>
    </row>
    <row r="62" spans="1:27">
      <c r="A62" s="9">
        <v>60</v>
      </c>
      <c r="B62" s="9">
        <v>2615</v>
      </c>
      <c r="C62" s="9" t="s">
        <v>118</v>
      </c>
      <c r="D62" s="9" t="s">
        <v>70</v>
      </c>
      <c r="E62" s="10" t="str">
        <f>"87.02"</f>
        <v>87.02</v>
      </c>
      <c r="F62" s="11" t="s">
        <v>9</v>
      </c>
      <c r="G62" s="11">
        <v>2017</v>
      </c>
      <c r="H62" s="12" t="str">
        <f>"62.68"</f>
        <v>62.68</v>
      </c>
      <c r="I62" s="12"/>
      <c r="J62" s="12"/>
      <c r="K62" s="12" t="str">
        <f>"60.43"</f>
        <v>60.43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>
      <c r="A63" s="9">
        <v>61</v>
      </c>
      <c r="B63" s="9">
        <v>3900</v>
      </c>
      <c r="C63" s="9" t="s">
        <v>291</v>
      </c>
      <c r="D63" s="9" t="s">
        <v>90</v>
      </c>
      <c r="E63" s="10" t="str">
        <f>"88.19"</f>
        <v>88.19</v>
      </c>
      <c r="F63" s="11" t="s">
        <v>9</v>
      </c>
      <c r="G63" s="11">
        <v>2017</v>
      </c>
      <c r="H63" s="12" t="str">
        <f>"55.19"</f>
        <v>55.19</v>
      </c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 t="str">
        <f>"61.24"</f>
        <v>61.24</v>
      </c>
      <c r="Y63" s="12"/>
      <c r="Z63" s="12"/>
      <c r="AA63" s="12"/>
    </row>
    <row r="64" spans="1:27">
      <c r="A64" s="9">
        <v>62</v>
      </c>
      <c r="B64" s="9">
        <v>3479</v>
      </c>
      <c r="C64" s="9" t="s">
        <v>149</v>
      </c>
      <c r="D64" s="9" t="s">
        <v>68</v>
      </c>
      <c r="E64" s="10" t="str">
        <f>"89.27"</f>
        <v>89.27</v>
      </c>
      <c r="F64" s="11" t="s">
        <v>11</v>
      </c>
      <c r="G64" s="11">
        <v>2017</v>
      </c>
      <c r="H64" s="12" t="str">
        <f>"61.99"</f>
        <v>61.99</v>
      </c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>
      <c r="A65" s="9">
        <v>63</v>
      </c>
      <c r="B65" s="9">
        <v>4341</v>
      </c>
      <c r="C65" s="9" t="s">
        <v>187</v>
      </c>
      <c r="D65" s="9" t="s">
        <v>23</v>
      </c>
      <c r="E65" s="10" t="str">
        <f>"92.41"</f>
        <v>92.41</v>
      </c>
      <c r="F65" s="11"/>
      <c r="G65" s="11">
        <v>2017</v>
      </c>
      <c r="H65" s="12" t="str">
        <f>"66.64"</f>
        <v>66.64</v>
      </c>
      <c r="I65" s="12"/>
      <c r="J65" s="12"/>
      <c r="K65" s="12" t="str">
        <f>"100.09"</f>
        <v>100.09</v>
      </c>
      <c r="L65" s="12"/>
      <c r="M65" s="12"/>
      <c r="N65" s="12"/>
      <c r="O65" s="12"/>
      <c r="P65" s="12" t="str">
        <f>"87.51"</f>
        <v>87.51</v>
      </c>
      <c r="Q65" s="12"/>
      <c r="R65" s="12"/>
      <c r="S65" s="12"/>
      <c r="T65" s="12"/>
      <c r="U65" s="12"/>
      <c r="V65" s="12" t="str">
        <f>"121.10"</f>
        <v>121.10</v>
      </c>
      <c r="W65" s="12"/>
      <c r="X65" s="12" t="str">
        <f>"97.31"</f>
        <v>97.31</v>
      </c>
      <c r="Y65" s="12"/>
      <c r="Z65" s="12"/>
      <c r="AA65" s="12"/>
    </row>
    <row r="66" spans="1:27">
      <c r="A66" s="9">
        <v>64</v>
      </c>
      <c r="B66" s="9">
        <v>10507</v>
      </c>
      <c r="C66" s="9" t="s">
        <v>175</v>
      </c>
      <c r="D66" s="9" t="s">
        <v>19</v>
      </c>
      <c r="E66" s="10" t="str">
        <f>"92.98"</f>
        <v>92.98</v>
      </c>
      <c r="F66" s="11" t="s">
        <v>11</v>
      </c>
      <c r="G66" s="11">
        <v>2017</v>
      </c>
      <c r="H66" s="12" t="str">
        <f>"64.98"</f>
        <v>64.98</v>
      </c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>
      <c r="A67" s="9">
        <v>65</v>
      </c>
      <c r="B67" s="9">
        <v>9685</v>
      </c>
      <c r="C67" s="9" t="s">
        <v>256</v>
      </c>
      <c r="D67" s="9" t="s">
        <v>12</v>
      </c>
      <c r="E67" s="10" t="str">
        <f>"93.14"</f>
        <v>93.14</v>
      </c>
      <c r="F67" s="11"/>
      <c r="G67" s="11">
        <v>2017</v>
      </c>
      <c r="H67" s="12" t="str">
        <f>"68.26"</f>
        <v>68.26</v>
      </c>
      <c r="I67" s="12"/>
      <c r="J67" s="12"/>
      <c r="K67" s="12" t="str">
        <f>"130.59"</f>
        <v>130.59</v>
      </c>
      <c r="L67" s="12"/>
      <c r="M67" s="12"/>
      <c r="N67" s="12"/>
      <c r="O67" s="12"/>
      <c r="P67" s="12"/>
      <c r="Q67" s="12"/>
      <c r="R67" s="12"/>
      <c r="S67" s="12"/>
      <c r="T67" s="12"/>
      <c r="U67" s="12" t="str">
        <f>"98.74"</f>
        <v>98.74</v>
      </c>
      <c r="V67" s="12"/>
      <c r="W67" s="12"/>
      <c r="X67" s="12" t="str">
        <f>"87.53"</f>
        <v>87.53</v>
      </c>
      <c r="Y67" s="12"/>
      <c r="Z67" s="12"/>
      <c r="AA67" s="12"/>
    </row>
    <row r="68" spans="1:27">
      <c r="A68" s="9">
        <v>66</v>
      </c>
      <c r="B68" s="9">
        <v>8490</v>
      </c>
      <c r="C68" s="9" t="s">
        <v>308</v>
      </c>
      <c r="D68" s="9" t="s">
        <v>10</v>
      </c>
      <c r="E68" s="10">
        <v>93.96</v>
      </c>
      <c r="F68" s="11" t="s">
        <v>1233</v>
      </c>
      <c r="G68" s="11">
        <v>2017</v>
      </c>
      <c r="H68" s="12" t="str">
        <f>"79.96"</f>
        <v>79.96</v>
      </c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>
      <c r="A69" s="9">
        <v>67</v>
      </c>
      <c r="B69" s="9">
        <v>6289</v>
      </c>
      <c r="C69" s="9" t="s">
        <v>127</v>
      </c>
      <c r="D69" s="9" t="s">
        <v>65</v>
      </c>
      <c r="E69" s="10" t="str">
        <f>"94.84"</f>
        <v>94.84</v>
      </c>
      <c r="F69" s="11"/>
      <c r="G69" s="11">
        <v>2017</v>
      </c>
      <c r="H69" s="12" t="str">
        <f>"87.74"</f>
        <v>87.74</v>
      </c>
      <c r="I69" s="12"/>
      <c r="J69" s="12"/>
      <c r="K69" s="12" t="str">
        <f>"106.28"</f>
        <v>106.28</v>
      </c>
      <c r="L69" s="12"/>
      <c r="M69" s="12"/>
      <c r="N69" s="12"/>
      <c r="O69" s="12"/>
      <c r="P69" s="12"/>
      <c r="Q69" s="12"/>
      <c r="R69" s="12"/>
      <c r="S69" s="12"/>
      <c r="T69" s="12"/>
      <c r="U69" s="12" t="str">
        <f>"83.40"</f>
        <v>83.40</v>
      </c>
      <c r="V69" s="12"/>
      <c r="W69" s="12"/>
      <c r="X69" s="12"/>
      <c r="Y69" s="12"/>
      <c r="Z69" s="12"/>
      <c r="AA69" s="12"/>
    </row>
    <row r="70" spans="1:27">
      <c r="A70" s="9">
        <v>68</v>
      </c>
      <c r="B70" s="9">
        <v>4030</v>
      </c>
      <c r="C70" s="9" t="s">
        <v>197</v>
      </c>
      <c r="D70" s="9" t="s">
        <v>12</v>
      </c>
      <c r="E70" s="10" t="str">
        <f>"95.04"</f>
        <v>95.04</v>
      </c>
      <c r="F70" s="11" t="s">
        <v>11</v>
      </c>
      <c r="G70" s="11">
        <v>2017</v>
      </c>
      <c r="H70" s="12" t="str">
        <f>"67.04"</f>
        <v>67.04</v>
      </c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>
      <c r="A71" s="9">
        <v>69</v>
      </c>
      <c r="B71" s="9">
        <v>6288</v>
      </c>
      <c r="C71" s="9" t="s">
        <v>162</v>
      </c>
      <c r="D71" s="9" t="s">
        <v>14</v>
      </c>
      <c r="E71" s="10" t="str">
        <f>"95.38"</f>
        <v>95.38</v>
      </c>
      <c r="F71" s="11" t="s">
        <v>11</v>
      </c>
      <c r="G71" s="11">
        <v>2017</v>
      </c>
      <c r="H71" s="12" t="str">
        <f>"67.38"</f>
        <v>67.38</v>
      </c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>
      <c r="A72" s="9">
        <v>70</v>
      </c>
      <c r="B72" s="9">
        <v>9961</v>
      </c>
      <c r="C72" s="9" t="s">
        <v>195</v>
      </c>
      <c r="D72" s="9" t="s">
        <v>19</v>
      </c>
      <c r="E72" s="10" t="str">
        <f>"95.70"</f>
        <v>95.70</v>
      </c>
      <c r="F72" s="11"/>
      <c r="G72" s="11">
        <v>2017</v>
      </c>
      <c r="H72" s="12" t="str">
        <f>"122.73"</f>
        <v>122.73</v>
      </c>
      <c r="I72" s="12"/>
      <c r="J72" s="12"/>
      <c r="K72" s="12"/>
      <c r="L72" s="12"/>
      <c r="M72" s="12"/>
      <c r="N72" s="12" t="str">
        <f>"63.71"</f>
        <v>63.71</v>
      </c>
      <c r="O72" s="12" t="str">
        <f>"127.68"</f>
        <v>127.68</v>
      </c>
      <c r="P72" s="12"/>
      <c r="Q72" s="12"/>
      <c r="R72" s="12" t="str">
        <f>"170.54"</f>
        <v>170.54</v>
      </c>
      <c r="S72" s="12"/>
      <c r="T72" s="12"/>
      <c r="U72" s="12"/>
      <c r="V72" s="12"/>
      <c r="W72" s="12"/>
      <c r="X72" s="12"/>
      <c r="Y72" s="12"/>
      <c r="Z72" s="12"/>
      <c r="AA72" s="12"/>
    </row>
    <row r="73" spans="1:27">
      <c r="A73" s="9">
        <v>71</v>
      </c>
      <c r="B73" s="9">
        <v>1174</v>
      </c>
      <c r="C73" s="9" t="s">
        <v>160</v>
      </c>
      <c r="D73" s="9" t="s">
        <v>65</v>
      </c>
      <c r="E73" s="10" t="str">
        <f>"96.29"</f>
        <v>96.29</v>
      </c>
      <c r="F73" s="11"/>
      <c r="G73" s="11">
        <v>2017</v>
      </c>
      <c r="H73" s="12" t="str">
        <f>"99.22"</f>
        <v>99.22</v>
      </c>
      <c r="I73" s="12"/>
      <c r="J73" s="12"/>
      <c r="K73" s="12" t="str">
        <f>"159.95"</f>
        <v>159.95</v>
      </c>
      <c r="L73" s="12"/>
      <c r="M73" s="12"/>
      <c r="N73" s="12"/>
      <c r="O73" s="12"/>
      <c r="P73" s="12" t="str">
        <f>"97.54"</f>
        <v>97.54</v>
      </c>
      <c r="Q73" s="12"/>
      <c r="R73" s="12"/>
      <c r="S73" s="12"/>
      <c r="T73" s="12"/>
      <c r="U73" s="12"/>
      <c r="V73" s="12"/>
      <c r="W73" s="12" t="str">
        <f>"95.04"</f>
        <v>95.04</v>
      </c>
      <c r="X73" s="12"/>
      <c r="Y73" s="12"/>
      <c r="Z73" s="12"/>
      <c r="AA73" s="12"/>
    </row>
    <row r="74" spans="1:27">
      <c r="A74" s="9">
        <v>72</v>
      </c>
      <c r="B74" s="9">
        <v>3351</v>
      </c>
      <c r="C74" s="9" t="s">
        <v>171</v>
      </c>
      <c r="D74" s="9" t="s">
        <v>27</v>
      </c>
      <c r="E74" s="10" t="str">
        <f>"97.32"</f>
        <v>97.32</v>
      </c>
      <c r="F74" s="11" t="s">
        <v>9</v>
      </c>
      <c r="G74" s="11">
        <v>2017</v>
      </c>
      <c r="H74" s="12" t="str">
        <f>"95.12"</f>
        <v>95.12</v>
      </c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 t="str">
        <f>"69.32"</f>
        <v>69.32</v>
      </c>
      <c r="V74" s="12"/>
      <c r="W74" s="12"/>
      <c r="X74" s="12"/>
      <c r="Y74" s="12"/>
      <c r="Z74" s="12"/>
      <c r="AA74" s="12"/>
    </row>
    <row r="75" spans="1:27">
      <c r="A75" s="9">
        <v>73</v>
      </c>
      <c r="B75" s="9">
        <v>3405</v>
      </c>
      <c r="C75" s="9" t="s">
        <v>222</v>
      </c>
      <c r="D75" s="9" t="s">
        <v>21</v>
      </c>
      <c r="E75" s="10" t="str">
        <f>"98.29"</f>
        <v>98.29</v>
      </c>
      <c r="F75" s="11"/>
      <c r="G75" s="11">
        <v>2017</v>
      </c>
      <c r="H75" s="12" t="str">
        <f>"89.41"</f>
        <v>89.41</v>
      </c>
      <c r="I75" s="12"/>
      <c r="J75" s="12"/>
      <c r="K75" s="12" t="str">
        <f>"111.90"</f>
        <v>111.90</v>
      </c>
      <c r="L75" s="12"/>
      <c r="M75" s="12"/>
      <c r="N75" s="12"/>
      <c r="O75" s="12"/>
      <c r="P75" s="12" t="str">
        <f>"102.78"</f>
        <v>102.78</v>
      </c>
      <c r="Q75" s="12"/>
      <c r="R75" s="12"/>
      <c r="S75" s="12"/>
      <c r="T75" s="12"/>
      <c r="U75" s="12" t="str">
        <f>"93.80"</f>
        <v>93.80</v>
      </c>
      <c r="V75" s="12"/>
      <c r="W75" s="12"/>
      <c r="X75" s="12"/>
      <c r="Y75" s="12"/>
      <c r="Z75" s="12"/>
      <c r="AA75" s="12"/>
    </row>
    <row r="76" spans="1:27">
      <c r="A76" s="9">
        <v>74</v>
      </c>
      <c r="B76" s="9">
        <v>6863</v>
      </c>
      <c r="C76" s="9" t="s">
        <v>230</v>
      </c>
      <c r="D76" s="9" t="s">
        <v>10</v>
      </c>
      <c r="E76" s="10" t="str">
        <f>"99.08"</f>
        <v>99.08</v>
      </c>
      <c r="F76" s="11"/>
      <c r="G76" s="11">
        <v>2017</v>
      </c>
      <c r="H76" s="12" t="str">
        <f>"113.46"</f>
        <v>113.46</v>
      </c>
      <c r="I76" s="12"/>
      <c r="J76" s="12" t="str">
        <f>"124.69"</f>
        <v>124.69</v>
      </c>
      <c r="K76" s="12" t="str">
        <f>"141.11"</f>
        <v>141.11</v>
      </c>
      <c r="L76" s="12"/>
      <c r="M76" s="12"/>
      <c r="N76" s="12"/>
      <c r="O76" s="12"/>
      <c r="P76" s="12"/>
      <c r="Q76" s="12"/>
      <c r="R76" s="12"/>
      <c r="S76" s="12"/>
      <c r="T76" s="12" t="str">
        <f>"113.57"</f>
        <v>113.57</v>
      </c>
      <c r="U76" s="12"/>
      <c r="V76" s="12"/>
      <c r="W76" s="12"/>
      <c r="X76" s="12" t="str">
        <f>"167.06"</f>
        <v>167.06</v>
      </c>
      <c r="Y76" s="12"/>
      <c r="Z76" s="12"/>
      <c r="AA76" s="12" t="str">
        <f>"84.59"</f>
        <v>84.59</v>
      </c>
    </row>
    <row r="77" spans="1:27">
      <c r="A77" s="9">
        <v>75</v>
      </c>
      <c r="B77" s="9">
        <v>8362</v>
      </c>
      <c r="C77" s="9" t="s">
        <v>144</v>
      </c>
      <c r="D77" s="9" t="s">
        <v>19</v>
      </c>
      <c r="E77" s="10" t="str">
        <f>"99.43"</f>
        <v>99.43</v>
      </c>
      <c r="F77" s="11"/>
      <c r="G77" s="11">
        <v>2017</v>
      </c>
      <c r="H77" s="12" t="str">
        <f>"173.02"</f>
        <v>173.02</v>
      </c>
      <c r="I77" s="12"/>
      <c r="J77" s="12"/>
      <c r="K77" s="12" t="str">
        <f>"75.14"</f>
        <v>75.14</v>
      </c>
      <c r="L77" s="12"/>
      <c r="M77" s="12"/>
      <c r="N77" s="12" t="str">
        <f>"340.18"</f>
        <v>340.18</v>
      </c>
      <c r="O77" s="12" t="str">
        <f>"123.71"</f>
        <v>123.71</v>
      </c>
      <c r="P77" s="12"/>
      <c r="Q77" s="12"/>
      <c r="R77" s="12" t="str">
        <f>"139.60"</f>
        <v>139.60</v>
      </c>
      <c r="S77" s="12"/>
      <c r="T77" s="12"/>
      <c r="U77" s="12"/>
      <c r="V77" s="12"/>
      <c r="W77" s="12"/>
      <c r="X77" s="12"/>
      <c r="Y77" s="12"/>
      <c r="Z77" s="12"/>
      <c r="AA77" s="12"/>
    </row>
    <row r="78" spans="1:27">
      <c r="A78" s="9">
        <v>76</v>
      </c>
      <c r="B78" s="9">
        <v>7632</v>
      </c>
      <c r="C78" s="9" t="s">
        <v>1222</v>
      </c>
      <c r="D78" s="9" t="s">
        <v>60</v>
      </c>
      <c r="E78" s="10" t="str">
        <f>"99.82"</f>
        <v>99.82</v>
      </c>
      <c r="F78" s="11" t="s">
        <v>11</v>
      </c>
      <c r="G78" s="11">
        <v>2017</v>
      </c>
      <c r="H78" s="12" t="str">
        <f>"71.82"</f>
        <v>71.82</v>
      </c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>
      <c r="A79" s="9">
        <v>77</v>
      </c>
      <c r="B79" s="9">
        <v>1858</v>
      </c>
      <c r="C79" s="9" t="s">
        <v>146</v>
      </c>
      <c r="D79" s="9" t="s">
        <v>147</v>
      </c>
      <c r="E79" s="10" t="str">
        <f>"100.90"</f>
        <v>100.90</v>
      </c>
      <c r="F79" s="11"/>
      <c r="G79" s="11">
        <v>2017</v>
      </c>
      <c r="H79" s="12" t="str">
        <f>"102.41"</f>
        <v>102.41</v>
      </c>
      <c r="I79" s="12"/>
      <c r="J79" s="12"/>
      <c r="K79" s="12" t="str">
        <f>"113.53"</f>
        <v>113.53</v>
      </c>
      <c r="L79" s="12"/>
      <c r="M79" s="12"/>
      <c r="N79" s="12"/>
      <c r="O79" s="12"/>
      <c r="P79" s="12"/>
      <c r="Q79" s="12"/>
      <c r="R79" s="12"/>
      <c r="S79" s="12"/>
      <c r="T79" s="12"/>
      <c r="U79" s="12" t="str">
        <f>"88.27"</f>
        <v>88.27</v>
      </c>
      <c r="V79" s="12"/>
      <c r="W79" s="12"/>
      <c r="X79" s="12"/>
      <c r="Y79" s="12"/>
      <c r="Z79" s="12"/>
      <c r="AA79" s="12"/>
    </row>
    <row r="80" spans="1:27">
      <c r="A80" s="9">
        <v>78</v>
      </c>
      <c r="B80" s="9">
        <v>6307</v>
      </c>
      <c r="C80" s="9" t="s">
        <v>169</v>
      </c>
      <c r="D80" s="9" t="s">
        <v>10</v>
      </c>
      <c r="E80" s="10" t="str">
        <f>"102.24"</f>
        <v>102.24</v>
      </c>
      <c r="F80" s="11"/>
      <c r="G80" s="11">
        <v>2017</v>
      </c>
      <c r="H80" s="12" t="str">
        <f>"91.29"</f>
        <v>91.29</v>
      </c>
      <c r="I80" s="12"/>
      <c r="J80" s="12" t="str">
        <f>"79.86"</f>
        <v>79.86</v>
      </c>
      <c r="K80" s="12"/>
      <c r="L80" s="12"/>
      <c r="M80" s="12"/>
      <c r="N80" s="12"/>
      <c r="O80" s="12"/>
      <c r="P80" s="12"/>
      <c r="Q80" s="12"/>
      <c r="R80" s="12"/>
      <c r="S80" s="12"/>
      <c r="T80" s="12" t="str">
        <f>"124.62"</f>
        <v>124.62</v>
      </c>
      <c r="U80" s="12"/>
      <c r="V80" s="12"/>
      <c r="W80" s="12"/>
      <c r="X80" s="12"/>
      <c r="Y80" s="12"/>
      <c r="Z80" s="12"/>
      <c r="AA80" s="12"/>
    </row>
    <row r="81" spans="1:27">
      <c r="A81" s="9">
        <v>79</v>
      </c>
      <c r="B81" s="9">
        <v>2636</v>
      </c>
      <c r="C81" s="9" t="s">
        <v>296</v>
      </c>
      <c r="D81" s="9" t="s">
        <v>42</v>
      </c>
      <c r="E81" s="10" t="str">
        <f>"102.97"</f>
        <v>102.97</v>
      </c>
      <c r="F81" s="11"/>
      <c r="G81" s="11">
        <v>2017</v>
      </c>
      <c r="H81" s="12" t="str">
        <f>"87.61"</f>
        <v>87.61</v>
      </c>
      <c r="I81" s="12"/>
      <c r="J81" s="12"/>
      <c r="K81" s="12" t="str">
        <f>"137.13"</f>
        <v>137.13</v>
      </c>
      <c r="L81" s="12"/>
      <c r="M81" s="12"/>
      <c r="N81" s="12"/>
      <c r="O81" s="12"/>
      <c r="P81" s="12" t="str">
        <f>"102.34"</f>
        <v>102.34</v>
      </c>
      <c r="Q81" s="12"/>
      <c r="R81" s="12"/>
      <c r="S81" s="12"/>
      <c r="T81" s="12"/>
      <c r="U81" s="12" t="str">
        <f>"103.60"</f>
        <v>103.60</v>
      </c>
      <c r="V81" s="12"/>
      <c r="W81" s="12"/>
      <c r="X81" s="12"/>
      <c r="Y81" s="12"/>
      <c r="Z81" s="12"/>
      <c r="AA81" s="12"/>
    </row>
    <row r="82" spans="1:27">
      <c r="A82" s="9">
        <v>80</v>
      </c>
      <c r="B82" s="9">
        <v>2038</v>
      </c>
      <c r="C82" s="9" t="s">
        <v>277</v>
      </c>
      <c r="D82" s="9" t="s">
        <v>27</v>
      </c>
      <c r="E82" s="10" t="str">
        <f>"103.46"</f>
        <v>103.46</v>
      </c>
      <c r="F82" s="11"/>
      <c r="G82" s="11">
        <v>2017</v>
      </c>
      <c r="H82" s="12" t="str">
        <f>"111.74"</f>
        <v>111.74</v>
      </c>
      <c r="I82" s="12"/>
      <c r="J82" s="12"/>
      <c r="K82" s="12"/>
      <c r="L82" s="12" t="str">
        <f>"119.26"</f>
        <v>119.26</v>
      </c>
      <c r="M82" s="12"/>
      <c r="N82" s="12"/>
      <c r="O82" s="12"/>
      <c r="P82" s="12" t="str">
        <f>"87.65"</f>
        <v>87.65</v>
      </c>
      <c r="Q82" s="12"/>
      <c r="R82" s="12"/>
      <c r="S82" s="12"/>
      <c r="T82" s="12"/>
      <c r="U82" s="12" t="str">
        <f>"123.00"</f>
        <v>123.00</v>
      </c>
      <c r="V82" s="12"/>
      <c r="W82" s="12"/>
      <c r="X82" s="12" t="str">
        <f>"215.38"</f>
        <v>215.38</v>
      </c>
      <c r="Y82" s="12"/>
      <c r="Z82" s="12"/>
      <c r="AA82" s="12"/>
    </row>
    <row r="83" spans="1:27">
      <c r="A83" s="9">
        <v>81</v>
      </c>
      <c r="B83" s="9">
        <v>5455</v>
      </c>
      <c r="C83" s="9" t="s">
        <v>145</v>
      </c>
      <c r="D83" s="9" t="s">
        <v>20</v>
      </c>
      <c r="E83" s="10" t="str">
        <f>"104.20"</f>
        <v>104.20</v>
      </c>
      <c r="F83" s="11"/>
      <c r="G83" s="11">
        <v>2017</v>
      </c>
      <c r="H83" s="12" t="str">
        <f>"106.06"</f>
        <v>106.06</v>
      </c>
      <c r="I83" s="12"/>
      <c r="J83" s="12"/>
      <c r="K83" s="12" t="str">
        <f>"153.63"</f>
        <v>153.63</v>
      </c>
      <c r="L83" s="12"/>
      <c r="M83" s="12"/>
      <c r="N83" s="12"/>
      <c r="O83" s="12"/>
      <c r="P83" s="12" t="str">
        <f>"116.16"</f>
        <v>116.16</v>
      </c>
      <c r="Q83" s="12"/>
      <c r="R83" s="12"/>
      <c r="S83" s="12"/>
      <c r="T83" s="12"/>
      <c r="U83" s="12" t="str">
        <f>"101.54"</f>
        <v>101.54</v>
      </c>
      <c r="V83" s="12" t="str">
        <f>"106.86"</f>
        <v>106.86</v>
      </c>
      <c r="W83" s="12"/>
      <c r="X83" s="12"/>
      <c r="Y83" s="12"/>
      <c r="Z83" s="12"/>
      <c r="AA83" s="12"/>
    </row>
    <row r="84" spans="1:27">
      <c r="A84" s="9">
        <v>82</v>
      </c>
      <c r="B84" s="9">
        <v>4218</v>
      </c>
      <c r="C84" s="9" t="s">
        <v>301</v>
      </c>
      <c r="D84" s="9" t="s">
        <v>14</v>
      </c>
      <c r="E84" s="10" t="str">
        <f>"104.33"</f>
        <v>104.33</v>
      </c>
      <c r="F84" s="11" t="s">
        <v>11</v>
      </c>
      <c r="G84" s="11">
        <v>2017</v>
      </c>
      <c r="H84" s="12" t="str">
        <f>"76.33"</f>
        <v>76.33</v>
      </c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</row>
    <row r="85" spans="1:27">
      <c r="A85" s="9">
        <v>83</v>
      </c>
      <c r="B85" s="9">
        <v>8494</v>
      </c>
      <c r="C85" s="9" t="s">
        <v>206</v>
      </c>
      <c r="D85" s="9" t="s">
        <v>10</v>
      </c>
      <c r="E85" s="10" t="str">
        <f>"106.65"</f>
        <v>106.65</v>
      </c>
      <c r="F85" s="11"/>
      <c r="G85" s="11">
        <v>2017</v>
      </c>
      <c r="H85" s="12" t="str">
        <f>"94.57"</f>
        <v>94.57</v>
      </c>
      <c r="I85" s="12"/>
      <c r="J85" s="12" t="str">
        <f>"142.84"</f>
        <v>142.84</v>
      </c>
      <c r="K85" s="12" t="str">
        <f>"70.45"</f>
        <v>70.45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</row>
    <row r="86" spans="1:27">
      <c r="A86" s="9">
        <v>84</v>
      </c>
      <c r="B86" s="9">
        <v>1817</v>
      </c>
      <c r="C86" s="9" t="s">
        <v>362</v>
      </c>
      <c r="D86" s="9" t="s">
        <v>14</v>
      </c>
      <c r="E86" s="10">
        <v>107.57</v>
      </c>
      <c r="F86" s="11" t="s">
        <v>1235</v>
      </c>
      <c r="G86" s="11">
        <v>2017</v>
      </c>
      <c r="H86" s="12" t="str">
        <f>"93.57"</f>
        <v>93.57</v>
      </c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</row>
    <row r="87" spans="1:27">
      <c r="A87" s="9">
        <v>85</v>
      </c>
      <c r="B87" s="9">
        <v>7844</v>
      </c>
      <c r="C87" s="9" t="s">
        <v>106</v>
      </c>
      <c r="D87" s="9" t="s">
        <v>19</v>
      </c>
      <c r="E87" s="10" t="str">
        <f>"107.66"</f>
        <v>107.66</v>
      </c>
      <c r="F87" s="11" t="s">
        <v>9</v>
      </c>
      <c r="G87" s="11">
        <v>2017</v>
      </c>
      <c r="H87" s="12" t="str">
        <f>"49.41"</f>
        <v>49.41</v>
      </c>
      <c r="I87" s="12"/>
      <c r="J87" s="12"/>
      <c r="K87" s="12"/>
      <c r="L87" s="12"/>
      <c r="M87" s="12"/>
      <c r="N87" s="12"/>
      <c r="O87" s="12"/>
      <c r="P87" s="12"/>
      <c r="Q87" s="12"/>
      <c r="R87" s="12" t="str">
        <f>"79.66"</f>
        <v>79.66</v>
      </c>
      <c r="S87" s="12"/>
      <c r="T87" s="12"/>
      <c r="U87" s="12"/>
      <c r="V87" s="12"/>
      <c r="W87" s="12"/>
      <c r="X87" s="12"/>
      <c r="Y87" s="12"/>
      <c r="Z87" s="12"/>
      <c r="AA87" s="12"/>
    </row>
    <row r="88" spans="1:27">
      <c r="A88" s="9">
        <v>86</v>
      </c>
      <c r="B88" s="9">
        <v>1312</v>
      </c>
      <c r="C88" s="9" t="s">
        <v>170</v>
      </c>
      <c r="D88" s="9" t="s">
        <v>46</v>
      </c>
      <c r="E88" s="10" t="str">
        <f>"108.40"</f>
        <v>108.40</v>
      </c>
      <c r="F88" s="11" t="s">
        <v>9</v>
      </c>
      <c r="G88" s="11">
        <v>2017</v>
      </c>
      <c r="H88" s="12" t="str">
        <f>"97.57"</f>
        <v>97.57</v>
      </c>
      <c r="I88" s="12"/>
      <c r="J88" s="12"/>
      <c r="K88" s="12" t="str">
        <f>"80.40"</f>
        <v>80.40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</row>
    <row r="89" spans="1:27">
      <c r="A89" s="9">
        <v>87</v>
      </c>
      <c r="B89" s="9">
        <v>6967</v>
      </c>
      <c r="C89" s="9" t="s">
        <v>212</v>
      </c>
      <c r="D89" s="9" t="s">
        <v>82</v>
      </c>
      <c r="E89" s="10" t="str">
        <f>"109.85"</f>
        <v>109.85</v>
      </c>
      <c r="F89" s="11" t="s">
        <v>9</v>
      </c>
      <c r="G89" s="11">
        <v>2017</v>
      </c>
      <c r="H89" s="12" t="str">
        <f>"84.34"</f>
        <v>84.34</v>
      </c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 t="str">
        <f>"81.85"</f>
        <v>81.85</v>
      </c>
      <c r="V89" s="12"/>
      <c r="W89" s="12"/>
      <c r="X89" s="12"/>
      <c r="Y89" s="12"/>
      <c r="Z89" s="12"/>
      <c r="AA89" s="12"/>
    </row>
    <row r="90" spans="1:27">
      <c r="A90" s="9">
        <v>88</v>
      </c>
      <c r="B90" s="9">
        <v>5257</v>
      </c>
      <c r="C90" s="9" t="s">
        <v>166</v>
      </c>
      <c r="D90" s="9" t="s">
        <v>167</v>
      </c>
      <c r="E90" s="10" t="str">
        <f>"110.07"</f>
        <v>110.07</v>
      </c>
      <c r="F90" s="11"/>
      <c r="G90" s="11">
        <v>2017</v>
      </c>
      <c r="H90" s="12" t="str">
        <f>"97.86"</f>
        <v>97.86</v>
      </c>
      <c r="I90" s="12"/>
      <c r="J90" s="12"/>
      <c r="K90" s="12"/>
      <c r="L90" s="12"/>
      <c r="M90" s="12"/>
      <c r="N90" s="12"/>
      <c r="O90" s="12"/>
      <c r="P90" s="12" t="str">
        <f>"123.80"</f>
        <v>123.80</v>
      </c>
      <c r="Q90" s="12"/>
      <c r="R90" s="12"/>
      <c r="S90" s="12"/>
      <c r="T90" s="12"/>
      <c r="U90" s="12" t="str">
        <f>"112.31"</f>
        <v>112.31</v>
      </c>
      <c r="V90" s="12" t="str">
        <f>"248.63"</f>
        <v>248.63</v>
      </c>
      <c r="W90" s="12"/>
      <c r="X90" s="12" t="str">
        <f>"107.82"</f>
        <v>107.82</v>
      </c>
      <c r="Y90" s="12"/>
      <c r="Z90" s="12"/>
      <c r="AA90" s="12"/>
    </row>
    <row r="91" spans="1:27">
      <c r="A91" s="9">
        <v>89</v>
      </c>
      <c r="B91" s="9">
        <v>10130</v>
      </c>
      <c r="C91" s="9" t="s">
        <v>281</v>
      </c>
      <c r="D91" s="9" t="s">
        <v>10</v>
      </c>
      <c r="E91" s="10" t="str">
        <f>"110.11"</f>
        <v>110.11</v>
      </c>
      <c r="F91" s="11"/>
      <c r="G91" s="11">
        <v>2017</v>
      </c>
      <c r="H91" s="12" t="str">
        <f>"103.65"</f>
        <v>103.65</v>
      </c>
      <c r="I91" s="12"/>
      <c r="J91" s="12" t="str">
        <f>"176.05"</f>
        <v>176.05</v>
      </c>
      <c r="K91" s="12"/>
      <c r="L91" s="12"/>
      <c r="M91" s="12"/>
      <c r="N91" s="12"/>
      <c r="O91" s="12"/>
      <c r="P91" s="12"/>
      <c r="Q91" s="12"/>
      <c r="R91" s="12"/>
      <c r="S91" s="12"/>
      <c r="T91" s="12" t="str">
        <f>"195.37"</f>
        <v>195.37</v>
      </c>
      <c r="U91" s="12" t="str">
        <f>"134.28"</f>
        <v>134.28</v>
      </c>
      <c r="V91" s="12"/>
      <c r="W91" s="12"/>
      <c r="X91" s="12"/>
      <c r="Y91" s="12"/>
      <c r="Z91" s="12"/>
      <c r="AA91" s="12" t="str">
        <f>"85.94"</f>
        <v>85.94</v>
      </c>
    </row>
    <row r="92" spans="1:27">
      <c r="A92" s="9">
        <v>90</v>
      </c>
      <c r="B92" s="9">
        <v>1938</v>
      </c>
      <c r="C92" s="9" t="s">
        <v>148</v>
      </c>
      <c r="D92" s="9" t="s">
        <v>90</v>
      </c>
      <c r="E92" s="10" t="str">
        <f>"110.54"</f>
        <v>110.54</v>
      </c>
      <c r="F92" s="11" t="s">
        <v>9</v>
      </c>
      <c r="G92" s="11">
        <v>2017</v>
      </c>
      <c r="H92" s="12" t="str">
        <f>"107.89"</f>
        <v>107.89</v>
      </c>
      <c r="I92" s="12"/>
      <c r="J92" s="12"/>
      <c r="K92" s="12" t="str">
        <f>"82.54"</f>
        <v>82.54</v>
      </c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>
      <c r="A93" s="9">
        <v>91</v>
      </c>
      <c r="B93" s="9">
        <v>4139</v>
      </c>
      <c r="C93" s="9" t="s">
        <v>276</v>
      </c>
      <c r="D93" s="9" t="s">
        <v>8</v>
      </c>
      <c r="E93" s="10" t="str">
        <f>"111.66"</f>
        <v>111.66</v>
      </c>
      <c r="F93" s="11" t="s">
        <v>11</v>
      </c>
      <c r="G93" s="11">
        <v>2017</v>
      </c>
      <c r="H93" s="12" t="str">
        <f>"83.66"</f>
        <v>83.66</v>
      </c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</row>
    <row r="94" spans="1:27">
      <c r="A94" s="9">
        <v>92</v>
      </c>
      <c r="B94" s="9">
        <v>2147</v>
      </c>
      <c r="C94" s="9" t="s">
        <v>1172</v>
      </c>
      <c r="D94" s="9" t="s">
        <v>46</v>
      </c>
      <c r="E94" s="10" t="str">
        <f>"112.42"</f>
        <v>112.42</v>
      </c>
      <c r="F94" s="11" t="s">
        <v>9</v>
      </c>
      <c r="G94" s="11">
        <v>2017</v>
      </c>
      <c r="H94" s="12" t="str">
        <f>"63.38"</f>
        <v>63.38</v>
      </c>
      <c r="I94" s="12"/>
      <c r="J94" s="12"/>
      <c r="K94" s="12"/>
      <c r="L94" s="12" t="str">
        <f>"84.42"</f>
        <v>84.42</v>
      </c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</row>
    <row r="95" spans="1:27">
      <c r="A95" s="9">
        <v>93</v>
      </c>
      <c r="B95" s="9">
        <v>5759</v>
      </c>
      <c r="C95" s="9" t="s">
        <v>305</v>
      </c>
      <c r="D95" s="9" t="s">
        <v>16</v>
      </c>
      <c r="E95" s="10">
        <v>112.63</v>
      </c>
      <c r="F95" s="11" t="s">
        <v>1233</v>
      </c>
      <c r="G95" s="11">
        <v>2017</v>
      </c>
      <c r="H95" s="12" t="str">
        <f>"98.63"</f>
        <v>98.63</v>
      </c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</row>
    <row r="96" spans="1:27">
      <c r="A96" s="9">
        <v>94</v>
      </c>
      <c r="B96" s="9">
        <v>9967</v>
      </c>
      <c r="C96" s="9" t="s">
        <v>286</v>
      </c>
      <c r="D96" s="9" t="s">
        <v>15</v>
      </c>
      <c r="E96" s="10" t="str">
        <f>"112.64"</f>
        <v>112.64</v>
      </c>
      <c r="F96" s="11"/>
      <c r="G96" s="11">
        <v>2017</v>
      </c>
      <c r="H96" s="12" t="str">
        <f>"116.65"</f>
        <v>116.65</v>
      </c>
      <c r="I96" s="12"/>
      <c r="J96" s="12"/>
      <c r="K96" s="12" t="str">
        <f>"130.45"</f>
        <v>130.45</v>
      </c>
      <c r="L96" s="12"/>
      <c r="M96" s="12"/>
      <c r="N96" s="12"/>
      <c r="O96" s="12"/>
      <c r="P96" s="12"/>
      <c r="Q96" s="12"/>
      <c r="R96" s="12"/>
      <c r="S96" s="12"/>
      <c r="T96" s="12"/>
      <c r="U96" s="12" t="str">
        <f>"94.83"</f>
        <v>94.83</v>
      </c>
      <c r="V96" s="12"/>
      <c r="W96" s="12"/>
      <c r="X96" s="12"/>
      <c r="Y96" s="12"/>
      <c r="Z96" s="12"/>
      <c r="AA96" s="12"/>
    </row>
    <row r="97" spans="1:27">
      <c r="A97" s="9">
        <v>95</v>
      </c>
      <c r="B97" s="9">
        <v>6595</v>
      </c>
      <c r="C97" s="9" t="s">
        <v>255</v>
      </c>
      <c r="D97" s="9" t="s">
        <v>74</v>
      </c>
      <c r="E97" s="10" t="str">
        <f>"112.88"</f>
        <v>112.88</v>
      </c>
      <c r="F97" s="11"/>
      <c r="G97" s="11">
        <v>2017</v>
      </c>
      <c r="H97" s="12" t="str">
        <f>"173.45"</f>
        <v>173.45</v>
      </c>
      <c r="I97" s="12"/>
      <c r="J97" s="12"/>
      <c r="K97" s="12"/>
      <c r="L97" s="12"/>
      <c r="M97" s="12"/>
      <c r="N97" s="12"/>
      <c r="O97" s="12"/>
      <c r="P97" s="12" t="str">
        <f>"109.61"</f>
        <v>109.61</v>
      </c>
      <c r="Q97" s="12"/>
      <c r="R97" s="12"/>
      <c r="S97" s="12"/>
      <c r="T97" s="12"/>
      <c r="U97" s="12" t="str">
        <f>"116.14"</f>
        <v>116.14</v>
      </c>
      <c r="V97" s="12"/>
      <c r="W97" s="12"/>
      <c r="X97" s="12" t="str">
        <f>"332.79"</f>
        <v>332.79</v>
      </c>
      <c r="Y97" s="12"/>
      <c r="Z97" s="12"/>
      <c r="AA97" s="12"/>
    </row>
    <row r="98" spans="1:27">
      <c r="A98" s="9">
        <v>96</v>
      </c>
      <c r="B98" s="9">
        <v>11053</v>
      </c>
      <c r="C98" s="9" t="s">
        <v>191</v>
      </c>
      <c r="D98" s="9" t="s">
        <v>65</v>
      </c>
      <c r="E98" s="10" t="str">
        <f>"113.31"</f>
        <v>113.31</v>
      </c>
      <c r="F98" s="11" t="s">
        <v>9</v>
      </c>
      <c r="G98" s="11">
        <v>2017</v>
      </c>
      <c r="H98" s="12" t="str">
        <f>"77.77"</f>
        <v>77.77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 t="str">
        <f>"85.31"</f>
        <v>85.31</v>
      </c>
      <c r="Y98" s="12"/>
      <c r="Z98" s="12"/>
      <c r="AA98" s="12"/>
    </row>
    <row r="99" spans="1:27">
      <c r="A99" s="9">
        <v>97</v>
      </c>
      <c r="B99" s="9">
        <v>7815</v>
      </c>
      <c r="C99" s="9" t="s">
        <v>200</v>
      </c>
      <c r="D99" s="9" t="s">
        <v>19</v>
      </c>
      <c r="E99" s="10" t="str">
        <f>"113.97"</f>
        <v>113.97</v>
      </c>
      <c r="F99" s="11"/>
      <c r="G99" s="11">
        <v>2017</v>
      </c>
      <c r="H99" s="12" t="str">
        <f>"125.72"</f>
        <v>125.72</v>
      </c>
      <c r="I99" s="12"/>
      <c r="J99" s="12"/>
      <c r="K99" s="12"/>
      <c r="L99" s="12"/>
      <c r="M99" s="12"/>
      <c r="N99" s="12" t="str">
        <f>"109.11"</f>
        <v>109.11</v>
      </c>
      <c r="O99" s="12"/>
      <c r="P99" s="12"/>
      <c r="Q99" s="12"/>
      <c r="R99" s="12" t="str">
        <f>"184.24"</f>
        <v>184.24</v>
      </c>
      <c r="S99" s="12"/>
      <c r="T99" s="12"/>
      <c r="U99" s="12"/>
      <c r="V99" s="12"/>
      <c r="W99" s="12"/>
      <c r="X99" s="12" t="str">
        <f>"118.83"</f>
        <v>118.83</v>
      </c>
      <c r="Y99" s="12"/>
      <c r="Z99" s="12"/>
      <c r="AA99" s="12" t="str">
        <f>"119.96"</f>
        <v>119.96</v>
      </c>
    </row>
    <row r="100" spans="1:27">
      <c r="A100" s="9">
        <v>98</v>
      </c>
      <c r="B100" s="9">
        <v>8310</v>
      </c>
      <c r="C100" s="9" t="s">
        <v>207</v>
      </c>
      <c r="D100" s="9" t="s">
        <v>208</v>
      </c>
      <c r="E100" s="10" t="str">
        <f>"114.24"</f>
        <v>114.24</v>
      </c>
      <c r="F100" s="11" t="s">
        <v>9</v>
      </c>
      <c r="G100" s="11">
        <v>2017</v>
      </c>
      <c r="H100" s="12" t="str">
        <f>"71.95"</f>
        <v>71.95</v>
      </c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 t="str">
        <f>"86.24"</f>
        <v>86.24</v>
      </c>
      <c r="X100" s="12"/>
      <c r="Y100" s="12"/>
      <c r="Z100" s="12"/>
      <c r="AA100" s="12"/>
    </row>
    <row r="101" spans="1:27">
      <c r="A101" s="9">
        <v>99</v>
      </c>
      <c r="B101" s="9">
        <v>842</v>
      </c>
      <c r="C101" s="9" t="s">
        <v>774</v>
      </c>
      <c r="D101" s="9" t="s">
        <v>17</v>
      </c>
      <c r="E101" s="10" t="str">
        <f>"114.31"</f>
        <v>114.31</v>
      </c>
      <c r="F101" s="11"/>
      <c r="G101" s="11">
        <v>2017</v>
      </c>
      <c r="H101" s="12" t="str">
        <f>"88.98"</f>
        <v>88.98</v>
      </c>
      <c r="I101" s="12"/>
      <c r="J101" s="12"/>
      <c r="K101" s="12"/>
      <c r="L101" s="12"/>
      <c r="M101" s="12"/>
      <c r="N101" s="12"/>
      <c r="O101" s="12"/>
      <c r="P101" s="12" t="str">
        <f>"100.52"</f>
        <v>100.52</v>
      </c>
      <c r="Q101" s="12"/>
      <c r="R101" s="12"/>
      <c r="S101" s="12"/>
      <c r="T101" s="12"/>
      <c r="U101" s="12" t="str">
        <f>"128.09"</f>
        <v>128.09</v>
      </c>
      <c r="V101" s="12"/>
      <c r="W101" s="12"/>
      <c r="X101" s="12"/>
      <c r="Y101" s="12"/>
      <c r="Z101" s="12"/>
      <c r="AA101" s="12"/>
    </row>
    <row r="102" spans="1:27">
      <c r="A102" s="9">
        <v>100</v>
      </c>
      <c r="B102" s="9">
        <v>3112</v>
      </c>
      <c r="C102" s="9" t="s">
        <v>184</v>
      </c>
      <c r="D102" s="9" t="s">
        <v>35</v>
      </c>
      <c r="E102" s="10" t="str">
        <f>"114.83"</f>
        <v>114.83</v>
      </c>
      <c r="F102" s="11"/>
      <c r="G102" s="11">
        <v>2017</v>
      </c>
      <c r="H102" s="12" t="str">
        <f>"95.26"</f>
        <v>95.26</v>
      </c>
      <c r="I102" s="12"/>
      <c r="J102" s="12"/>
      <c r="K102" s="12"/>
      <c r="L102" s="12" t="str">
        <f>"94.04"</f>
        <v>94.04</v>
      </c>
      <c r="M102" s="12"/>
      <c r="N102" s="12"/>
      <c r="O102" s="12"/>
      <c r="P102" s="12"/>
      <c r="Q102" s="12"/>
      <c r="R102" s="12"/>
      <c r="S102" s="12"/>
      <c r="T102" s="12"/>
      <c r="U102" s="12" t="str">
        <f>"135.61"</f>
        <v>135.61</v>
      </c>
      <c r="V102" s="12"/>
      <c r="W102" s="12"/>
      <c r="X102" s="12"/>
      <c r="Y102" s="12"/>
      <c r="Z102" s="12"/>
      <c r="AA102" s="12"/>
    </row>
    <row r="103" spans="1:27">
      <c r="A103" s="9">
        <v>101</v>
      </c>
      <c r="B103" s="9">
        <v>7626</v>
      </c>
      <c r="C103" s="9" t="s">
        <v>138</v>
      </c>
      <c r="D103" s="9" t="s">
        <v>133</v>
      </c>
      <c r="E103" s="10" t="str">
        <f>"115.01"</f>
        <v>115.01</v>
      </c>
      <c r="F103" s="11" t="s">
        <v>9</v>
      </c>
      <c r="G103" s="11">
        <v>2017</v>
      </c>
      <c r="H103" s="12" t="str">
        <f>"45.51"</f>
        <v>45.51</v>
      </c>
      <c r="I103" s="12"/>
      <c r="J103" s="12"/>
      <c r="K103" s="12" t="str">
        <f>"87.01"</f>
        <v>87.01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27">
      <c r="A104" s="9">
        <v>102</v>
      </c>
      <c r="B104" s="9">
        <v>5313</v>
      </c>
      <c r="C104" s="9" t="s">
        <v>1209</v>
      </c>
      <c r="D104" s="9" t="s">
        <v>89</v>
      </c>
      <c r="E104" s="10" t="str">
        <f>"115.69"</f>
        <v>115.69</v>
      </c>
      <c r="F104" s="11" t="s">
        <v>11</v>
      </c>
      <c r="G104" s="11">
        <v>2017</v>
      </c>
      <c r="H104" s="12" t="str">
        <f>"87.69"</f>
        <v>87.69</v>
      </c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</row>
    <row r="105" spans="1:27">
      <c r="A105" s="9">
        <v>103</v>
      </c>
      <c r="B105" s="9">
        <v>5238</v>
      </c>
      <c r="C105" s="9" t="s">
        <v>165</v>
      </c>
      <c r="D105" s="9" t="s">
        <v>19</v>
      </c>
      <c r="E105" s="10" t="str">
        <f>"115.82"</f>
        <v>115.82</v>
      </c>
      <c r="F105" s="11"/>
      <c r="G105" s="11">
        <v>2017</v>
      </c>
      <c r="H105" s="12" t="str">
        <f>"144.88"</f>
        <v>144.88</v>
      </c>
      <c r="I105" s="12"/>
      <c r="J105" s="12"/>
      <c r="K105" s="12"/>
      <c r="L105" s="12"/>
      <c r="M105" s="12"/>
      <c r="N105" s="12" t="str">
        <f>"122.06"</f>
        <v>122.06</v>
      </c>
      <c r="O105" s="12"/>
      <c r="P105" s="12"/>
      <c r="Q105" s="12"/>
      <c r="R105" s="12" t="str">
        <f>"240.68"</f>
        <v>240.68</v>
      </c>
      <c r="S105" s="12"/>
      <c r="T105" s="12"/>
      <c r="U105" s="12" t="str">
        <f>"109.58"</f>
        <v>109.58</v>
      </c>
      <c r="V105" s="12"/>
      <c r="W105" s="12"/>
      <c r="X105" s="12"/>
      <c r="Y105" s="12"/>
      <c r="Z105" s="12"/>
      <c r="AA105" s="12"/>
    </row>
    <row r="106" spans="1:27">
      <c r="A106" s="9">
        <v>104</v>
      </c>
      <c r="B106" s="9">
        <v>5414</v>
      </c>
      <c r="C106" s="9" t="s">
        <v>383</v>
      </c>
      <c r="D106" s="9" t="s">
        <v>50</v>
      </c>
      <c r="E106" s="10" t="str">
        <f>"116.15"</f>
        <v>116.15</v>
      </c>
      <c r="F106" s="11" t="s">
        <v>11</v>
      </c>
      <c r="G106" s="11">
        <v>2017</v>
      </c>
      <c r="H106" s="12" t="str">
        <f>"88.15"</f>
        <v>88.15</v>
      </c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</row>
    <row r="107" spans="1:27">
      <c r="A107" s="9">
        <v>105</v>
      </c>
      <c r="B107" s="9">
        <v>7460</v>
      </c>
      <c r="C107" s="9" t="s">
        <v>561</v>
      </c>
      <c r="D107" s="9" t="s">
        <v>562</v>
      </c>
      <c r="E107" s="10" t="str">
        <f>"117.40"</f>
        <v>117.40</v>
      </c>
      <c r="F107" s="11" t="s">
        <v>9</v>
      </c>
      <c r="G107" s="11">
        <v>2017</v>
      </c>
      <c r="H107" s="12" t="str">
        <f>"71.58"</f>
        <v>71.58</v>
      </c>
      <c r="I107" s="12"/>
      <c r="J107" s="12"/>
      <c r="K107" s="12"/>
      <c r="L107" s="12" t="str">
        <f>"89.40"</f>
        <v>89.40</v>
      </c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</row>
    <row r="108" spans="1:27">
      <c r="A108" s="9">
        <v>106</v>
      </c>
      <c r="B108" s="9">
        <v>3370</v>
      </c>
      <c r="C108" s="9" t="s">
        <v>741</v>
      </c>
      <c r="D108" s="9" t="s">
        <v>49</v>
      </c>
      <c r="E108" s="10" t="str">
        <f>"119.17"</f>
        <v>119.17</v>
      </c>
      <c r="F108" s="11" t="s">
        <v>11</v>
      </c>
      <c r="G108" s="11">
        <v>2017</v>
      </c>
      <c r="H108" s="12" t="str">
        <f>"91.17"</f>
        <v>91.17</v>
      </c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</row>
    <row r="109" spans="1:27">
      <c r="A109" s="9">
        <v>107</v>
      </c>
      <c r="B109" s="9">
        <v>10504</v>
      </c>
      <c r="C109" s="9" t="s">
        <v>265</v>
      </c>
      <c r="D109" s="9" t="s">
        <v>10</v>
      </c>
      <c r="E109" s="10" t="str">
        <f>"120.25"</f>
        <v>120.25</v>
      </c>
      <c r="F109" s="11"/>
      <c r="G109" s="11">
        <v>2017</v>
      </c>
      <c r="H109" s="12" t="str">
        <f>"198.90"</f>
        <v>198.90</v>
      </c>
      <c r="I109" s="12"/>
      <c r="J109" s="12" t="str">
        <f>"175.41"</f>
        <v>175.41</v>
      </c>
      <c r="K109" s="12" t="str">
        <f>"129.45"</f>
        <v>129.45</v>
      </c>
      <c r="L109" s="12"/>
      <c r="M109" s="12"/>
      <c r="N109" s="12"/>
      <c r="O109" s="12"/>
      <c r="P109" s="12"/>
      <c r="Q109" s="12"/>
      <c r="R109" s="12"/>
      <c r="S109" s="12"/>
      <c r="T109" s="12" t="str">
        <f>"133.21"</f>
        <v>133.21</v>
      </c>
      <c r="U109" s="12"/>
      <c r="V109" s="12"/>
      <c r="W109" s="12"/>
      <c r="X109" s="12" t="str">
        <f>"139.62"</f>
        <v>139.62</v>
      </c>
      <c r="Y109" s="12"/>
      <c r="Z109" s="12"/>
      <c r="AA109" s="12" t="str">
        <f>"111.04"</f>
        <v>111.04</v>
      </c>
    </row>
    <row r="110" spans="1:27">
      <c r="A110" s="9">
        <v>108</v>
      </c>
      <c r="B110" s="9">
        <v>1879</v>
      </c>
      <c r="C110" s="9" t="s">
        <v>232</v>
      </c>
      <c r="D110" s="9" t="s">
        <v>43</v>
      </c>
      <c r="E110" s="10" t="str">
        <f>"120.68"</f>
        <v>120.68</v>
      </c>
      <c r="F110" s="11"/>
      <c r="G110" s="11">
        <v>2017</v>
      </c>
      <c r="H110" s="12" t="str">
        <f>"93.64"</f>
        <v>93.64</v>
      </c>
      <c r="I110" s="12"/>
      <c r="J110" s="12"/>
      <c r="K110" s="12" t="str">
        <f>"144.38"</f>
        <v>144.38</v>
      </c>
      <c r="L110" s="12"/>
      <c r="M110" s="12"/>
      <c r="N110" s="12"/>
      <c r="O110" s="12"/>
      <c r="P110" s="12" t="str">
        <f>"122.49"</f>
        <v>122.49</v>
      </c>
      <c r="Q110" s="12"/>
      <c r="R110" s="12"/>
      <c r="S110" s="12"/>
      <c r="T110" s="12"/>
      <c r="U110" s="12" t="str">
        <f>"118.87"</f>
        <v>118.87</v>
      </c>
      <c r="V110" s="12" t="str">
        <f>"146.85"</f>
        <v>146.85</v>
      </c>
      <c r="W110" s="12"/>
      <c r="X110" s="12"/>
      <c r="Y110" s="12"/>
      <c r="Z110" s="12"/>
      <c r="AA110" s="12"/>
    </row>
    <row r="111" spans="1:27">
      <c r="A111" s="9">
        <v>109</v>
      </c>
      <c r="B111" s="9">
        <v>8336</v>
      </c>
      <c r="C111" s="9" t="s">
        <v>330</v>
      </c>
      <c r="D111" s="9" t="s">
        <v>19</v>
      </c>
      <c r="E111" s="10" t="str">
        <f>"121.55"</f>
        <v>121.55</v>
      </c>
      <c r="F111" s="11"/>
      <c r="G111" s="11">
        <v>2017</v>
      </c>
      <c r="H111" s="12" t="str">
        <f>"247.39"</f>
        <v>247.39</v>
      </c>
      <c r="I111" s="12"/>
      <c r="J111" s="12"/>
      <c r="K111" s="12"/>
      <c r="L111" s="12"/>
      <c r="M111" s="12"/>
      <c r="N111" s="12" t="str">
        <f>"99.76"</f>
        <v>99.76</v>
      </c>
      <c r="O111" s="12" t="str">
        <f>"143.33"</f>
        <v>143.33</v>
      </c>
      <c r="P111" s="12"/>
      <c r="Q111" s="12"/>
      <c r="R111" s="12" t="str">
        <f>"184.24"</f>
        <v>184.24</v>
      </c>
      <c r="S111" s="12"/>
      <c r="T111" s="12"/>
      <c r="U111" s="12"/>
      <c r="V111" s="12"/>
      <c r="W111" s="12"/>
      <c r="X111" s="12"/>
      <c r="Y111" s="12"/>
      <c r="Z111" s="12"/>
      <c r="AA111" s="12"/>
    </row>
    <row r="112" spans="1:27">
      <c r="A112" s="9">
        <v>110</v>
      </c>
      <c r="B112" s="9">
        <v>412</v>
      </c>
      <c r="C112" s="9" t="s">
        <v>201</v>
      </c>
      <c r="D112" s="9" t="s">
        <v>54</v>
      </c>
      <c r="E112" s="10" t="str">
        <f>"122.06"</f>
        <v>122.06</v>
      </c>
      <c r="F112" s="11"/>
      <c r="G112" s="11">
        <v>2017</v>
      </c>
      <c r="H112" s="12" t="str">
        <f>"103.06"</f>
        <v>103.06</v>
      </c>
      <c r="I112" s="12"/>
      <c r="J112" s="12"/>
      <c r="K112" s="12"/>
      <c r="L112" s="12"/>
      <c r="M112" s="12"/>
      <c r="N112" s="12"/>
      <c r="O112" s="12"/>
      <c r="P112" s="12" t="str">
        <f>"98.34"</f>
        <v>98.34</v>
      </c>
      <c r="Q112" s="12"/>
      <c r="R112" s="12"/>
      <c r="S112" s="12"/>
      <c r="T112" s="12"/>
      <c r="U112" s="12" t="str">
        <f>"145.78"</f>
        <v>145.78</v>
      </c>
      <c r="V112" s="12"/>
      <c r="W112" s="12"/>
      <c r="X112" s="12"/>
      <c r="Y112" s="12"/>
      <c r="Z112" s="12"/>
      <c r="AA112" s="12"/>
    </row>
    <row r="113" spans="1:27">
      <c r="A113" s="9">
        <v>111</v>
      </c>
      <c r="B113" s="9">
        <v>10355</v>
      </c>
      <c r="C113" s="9" t="s">
        <v>218</v>
      </c>
      <c r="D113" s="9" t="s">
        <v>219</v>
      </c>
      <c r="E113" s="10" t="str">
        <f>"122.56"</f>
        <v>122.56</v>
      </c>
      <c r="F113" s="11" t="s">
        <v>9</v>
      </c>
      <c r="G113" s="11">
        <v>2017</v>
      </c>
      <c r="H113" s="12" t="str">
        <f>"90.15"</f>
        <v>90.15</v>
      </c>
      <c r="I113" s="12"/>
      <c r="J113" s="12"/>
      <c r="K113" s="12"/>
      <c r="L113" s="12"/>
      <c r="M113" s="12"/>
      <c r="N113" s="12"/>
      <c r="O113" s="12"/>
      <c r="P113" s="12" t="str">
        <f>"94.56"</f>
        <v>94.56</v>
      </c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</row>
    <row r="114" spans="1:27">
      <c r="A114" s="9">
        <v>112</v>
      </c>
      <c r="B114" s="9">
        <v>10950</v>
      </c>
      <c r="C114" s="9" t="s">
        <v>204</v>
      </c>
      <c r="D114" s="9" t="s">
        <v>205</v>
      </c>
      <c r="E114" s="10" t="str">
        <f>"122.63"</f>
        <v>122.63</v>
      </c>
      <c r="F114" s="11" t="s">
        <v>9</v>
      </c>
      <c r="G114" s="11">
        <v>2017</v>
      </c>
      <c r="H114" s="12" t="str">
        <f>"92.69"</f>
        <v>92.69</v>
      </c>
      <c r="I114" s="12"/>
      <c r="J114" s="12"/>
      <c r="K114" s="12"/>
      <c r="L114" s="12"/>
      <c r="M114" s="12"/>
      <c r="N114" s="12"/>
      <c r="O114" s="12"/>
      <c r="P114" s="12" t="str">
        <f>"94.63"</f>
        <v>94.63</v>
      </c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>
      <c r="A115" s="9">
        <v>113</v>
      </c>
      <c r="B115" s="9">
        <v>3678</v>
      </c>
      <c r="C115" s="9" t="s">
        <v>403</v>
      </c>
      <c r="D115" s="9" t="s">
        <v>82</v>
      </c>
      <c r="E115" s="10" t="str">
        <f>"122.91"</f>
        <v>122.91</v>
      </c>
      <c r="F115" s="11"/>
      <c r="G115" s="11">
        <v>2017</v>
      </c>
      <c r="H115" s="12" t="str">
        <f>"105.15"</f>
        <v>105.15</v>
      </c>
      <c r="I115" s="12"/>
      <c r="J115" s="12"/>
      <c r="K115" s="12"/>
      <c r="L115" s="12" t="str">
        <f>"127.68"</f>
        <v>127.68</v>
      </c>
      <c r="M115" s="12"/>
      <c r="N115" s="12"/>
      <c r="O115" s="12"/>
      <c r="P115" s="12"/>
      <c r="Q115" s="12" t="str">
        <f>"118.14"</f>
        <v>118.14</v>
      </c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>
      <c r="A116" s="9">
        <v>114</v>
      </c>
      <c r="B116" s="9">
        <v>1983</v>
      </c>
      <c r="C116" s="9" t="s">
        <v>176</v>
      </c>
      <c r="D116" s="9" t="s">
        <v>95</v>
      </c>
      <c r="E116" s="10" t="str">
        <f>"123.01"</f>
        <v>123.01</v>
      </c>
      <c r="F116" s="11"/>
      <c r="G116" s="11">
        <v>2017</v>
      </c>
      <c r="H116" s="12" t="str">
        <f>"184.96"</f>
        <v>184.96</v>
      </c>
      <c r="I116" s="12"/>
      <c r="J116" s="12"/>
      <c r="K116" s="12" t="str">
        <f>"149.64"</f>
        <v>149.64</v>
      </c>
      <c r="L116" s="12"/>
      <c r="M116" s="12"/>
      <c r="N116" s="12"/>
      <c r="O116" s="12"/>
      <c r="P116" s="12" t="str">
        <f>"96.38"</f>
        <v>96.38</v>
      </c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>
      <c r="A117" s="9">
        <v>115</v>
      </c>
      <c r="B117" s="9">
        <v>7585</v>
      </c>
      <c r="C117" s="9" t="s">
        <v>589</v>
      </c>
      <c r="D117" s="9" t="s">
        <v>590</v>
      </c>
      <c r="E117" s="17">
        <v>123.3</v>
      </c>
      <c r="F117" s="11" t="s">
        <v>1233</v>
      </c>
      <c r="G117" s="11">
        <v>2017</v>
      </c>
      <c r="H117" s="12" t="str">
        <f>"120.49"</f>
        <v>120.49</v>
      </c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 t="str">
        <f>"109.30"</f>
        <v>109.30</v>
      </c>
      <c r="Y117" s="12"/>
      <c r="Z117" s="12"/>
      <c r="AA117" s="12"/>
    </row>
    <row r="118" spans="1:27">
      <c r="A118" s="9">
        <v>116</v>
      </c>
      <c r="B118" s="9">
        <v>2243</v>
      </c>
      <c r="C118" s="9" t="s">
        <v>317</v>
      </c>
      <c r="D118" s="9" t="s">
        <v>10</v>
      </c>
      <c r="E118" s="10" t="str">
        <f>"123.81"</f>
        <v>123.81</v>
      </c>
      <c r="F118" s="11"/>
      <c r="G118" s="11">
        <v>2017</v>
      </c>
      <c r="H118" s="12" t="str">
        <f>"148.48"</f>
        <v>148.48</v>
      </c>
      <c r="I118" s="12"/>
      <c r="J118" s="12" t="str">
        <f>"120.82"</f>
        <v>120.82</v>
      </c>
      <c r="K118" s="12"/>
      <c r="L118" s="12"/>
      <c r="M118" s="12"/>
      <c r="N118" s="12"/>
      <c r="O118" s="12"/>
      <c r="P118" s="12"/>
      <c r="Q118" s="12"/>
      <c r="R118" s="12"/>
      <c r="S118" s="12"/>
      <c r="T118" s="12" t="str">
        <f>"126.79"</f>
        <v>126.79</v>
      </c>
      <c r="U118" s="12"/>
      <c r="V118" s="12"/>
      <c r="W118" s="12"/>
      <c r="X118" s="12"/>
      <c r="Y118" s="12"/>
      <c r="Z118" s="12"/>
      <c r="AA118" s="12" t="str">
        <f>"287.96"</f>
        <v>287.96</v>
      </c>
    </row>
    <row r="119" spans="1:27">
      <c r="A119" s="9">
        <v>117</v>
      </c>
      <c r="B119" s="9">
        <v>6871</v>
      </c>
      <c r="C119" s="9" t="s">
        <v>396</v>
      </c>
      <c r="D119" s="9" t="s">
        <v>74</v>
      </c>
      <c r="E119" s="10" t="str">
        <f>"124.62"</f>
        <v>124.62</v>
      </c>
      <c r="F119" s="11" t="s">
        <v>11</v>
      </c>
      <c r="G119" s="11">
        <v>2017</v>
      </c>
      <c r="H119" s="12" t="str">
        <f>"96.62"</f>
        <v>96.62</v>
      </c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>
      <c r="A120" s="9">
        <v>118</v>
      </c>
      <c r="B120" s="9">
        <v>10812</v>
      </c>
      <c r="C120" s="9" t="s">
        <v>257</v>
      </c>
      <c r="D120" s="9" t="s">
        <v>19</v>
      </c>
      <c r="E120" s="10" t="str">
        <f>"124.96"</f>
        <v>124.96</v>
      </c>
      <c r="F120" s="11"/>
      <c r="G120" s="11">
        <v>2017</v>
      </c>
      <c r="H120" s="12" t="str">
        <f>"185.27"</f>
        <v>185.27</v>
      </c>
      <c r="I120" s="12"/>
      <c r="J120" s="12"/>
      <c r="K120" s="12"/>
      <c r="L120" s="12"/>
      <c r="M120" s="12"/>
      <c r="N120" s="12" t="str">
        <f>"140.04"</f>
        <v>140.04</v>
      </c>
      <c r="O120" s="12" t="str">
        <f>"160.06"</f>
        <v>160.06</v>
      </c>
      <c r="P120" s="12"/>
      <c r="Q120" s="12"/>
      <c r="R120" s="12" t="str">
        <f>"207.52"</f>
        <v>207.52</v>
      </c>
      <c r="S120" s="12"/>
      <c r="T120" s="12"/>
      <c r="U120" s="12" t="str">
        <f>"109.87"</f>
        <v>109.87</v>
      </c>
      <c r="V120" s="12"/>
      <c r="W120" s="12"/>
      <c r="X120" s="12"/>
      <c r="Y120" s="12"/>
      <c r="Z120" s="12"/>
      <c r="AA120" s="12"/>
    </row>
    <row r="121" spans="1:27">
      <c r="A121" s="9">
        <v>119</v>
      </c>
      <c r="B121" s="9">
        <v>7217</v>
      </c>
      <c r="C121" s="9" t="s">
        <v>181</v>
      </c>
      <c r="D121" s="9" t="s">
        <v>95</v>
      </c>
      <c r="E121" s="10" t="str">
        <f>"125.35"</f>
        <v>125.35</v>
      </c>
      <c r="F121" s="11" t="s">
        <v>11</v>
      </c>
      <c r="G121" s="11">
        <v>2017</v>
      </c>
      <c r="H121" s="12" t="str">
        <f>"97.35"</f>
        <v>97.35</v>
      </c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>
      <c r="A122" s="9">
        <v>120</v>
      </c>
      <c r="B122" s="9">
        <v>6313</v>
      </c>
      <c r="C122" s="9" t="s">
        <v>254</v>
      </c>
      <c r="D122" s="9" t="s">
        <v>17</v>
      </c>
      <c r="E122" s="10" t="str">
        <f>"126.26"</f>
        <v>126.26</v>
      </c>
      <c r="F122" s="11"/>
      <c r="G122" s="11">
        <v>2017</v>
      </c>
      <c r="H122" s="12" t="str">
        <f>"99.38"</f>
        <v>99.38</v>
      </c>
      <c r="I122" s="12"/>
      <c r="J122" s="12"/>
      <c r="K122" s="12" t="str">
        <f>"134.79"</f>
        <v>134.79</v>
      </c>
      <c r="L122" s="12"/>
      <c r="M122" s="12"/>
      <c r="N122" s="12"/>
      <c r="O122" s="12"/>
      <c r="P122" s="12" t="str">
        <f>"141.25"</f>
        <v>141.25</v>
      </c>
      <c r="Q122" s="12"/>
      <c r="R122" s="12"/>
      <c r="S122" s="12"/>
      <c r="T122" s="12"/>
      <c r="U122" s="12" t="str">
        <f>"126.76"</f>
        <v>126.76</v>
      </c>
      <c r="V122" s="12" t="str">
        <f>"125.76"</f>
        <v>125.76</v>
      </c>
      <c r="W122" s="12"/>
      <c r="X122" s="12"/>
      <c r="Y122" s="12"/>
      <c r="Z122" s="12"/>
      <c r="AA122" s="12"/>
    </row>
    <row r="123" spans="1:27">
      <c r="A123" s="9">
        <v>121</v>
      </c>
      <c r="B123" s="9">
        <v>2519</v>
      </c>
      <c r="C123" s="9" t="s">
        <v>299</v>
      </c>
      <c r="D123" s="9" t="s">
        <v>95</v>
      </c>
      <c r="E123" s="10" t="str">
        <f>"126.56"</f>
        <v>126.56</v>
      </c>
      <c r="F123" s="11" t="s">
        <v>9</v>
      </c>
      <c r="G123" s="11">
        <v>2017</v>
      </c>
      <c r="H123" s="12" t="str">
        <f>"81.35"</f>
        <v>81.35</v>
      </c>
      <c r="I123" s="12"/>
      <c r="J123" s="12"/>
      <c r="K123" s="12"/>
      <c r="L123" s="12" t="str">
        <f>"98.56"</f>
        <v>98.56</v>
      </c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>
      <c r="A124" s="9">
        <v>122</v>
      </c>
      <c r="B124" s="9">
        <v>4124</v>
      </c>
      <c r="C124" s="9" t="s">
        <v>660</v>
      </c>
      <c r="D124" s="9" t="s">
        <v>8</v>
      </c>
      <c r="E124" s="10" t="str">
        <f>"127.75"</f>
        <v>127.75</v>
      </c>
      <c r="F124" s="11" t="s">
        <v>11</v>
      </c>
      <c r="G124" s="11">
        <v>2017</v>
      </c>
      <c r="H124" s="12" t="str">
        <f>"99.75"</f>
        <v>99.75</v>
      </c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>
      <c r="A125" s="9">
        <v>123</v>
      </c>
      <c r="B125" s="9">
        <v>7851</v>
      </c>
      <c r="C125" s="9" t="s">
        <v>163</v>
      </c>
      <c r="D125" s="9" t="s">
        <v>19</v>
      </c>
      <c r="E125" s="10" t="str">
        <f>"128.36"</f>
        <v>128.36</v>
      </c>
      <c r="F125" s="11"/>
      <c r="G125" s="11">
        <v>2017</v>
      </c>
      <c r="H125" s="12" t="str">
        <f>"158.35"</f>
        <v>158.35</v>
      </c>
      <c r="I125" s="12"/>
      <c r="J125" s="12"/>
      <c r="K125" s="12"/>
      <c r="L125" s="12"/>
      <c r="M125" s="12"/>
      <c r="N125" s="12" t="str">
        <f>"127.82"</f>
        <v>127.82</v>
      </c>
      <c r="O125" s="12" t="str">
        <f>"128.90"</f>
        <v>128.90</v>
      </c>
      <c r="P125" s="12"/>
      <c r="Q125" s="12"/>
      <c r="R125" s="12" t="str">
        <f>"139.92"</f>
        <v>139.92</v>
      </c>
      <c r="S125" s="12"/>
      <c r="T125" s="12"/>
      <c r="U125" s="12"/>
      <c r="V125" s="12"/>
      <c r="W125" s="12"/>
      <c r="X125" s="12"/>
      <c r="Y125" s="12"/>
      <c r="Z125" s="12"/>
      <c r="AA125" s="12" t="str">
        <f>"163.81"</f>
        <v>163.81</v>
      </c>
    </row>
    <row r="126" spans="1:27">
      <c r="A126" s="9">
        <v>124</v>
      </c>
      <c r="B126" s="9">
        <v>10209</v>
      </c>
      <c r="C126" s="9" t="s">
        <v>261</v>
      </c>
      <c r="D126" s="9" t="s">
        <v>10</v>
      </c>
      <c r="E126" s="10" t="str">
        <f>"129.40"</f>
        <v>129.40</v>
      </c>
      <c r="F126" s="11"/>
      <c r="G126" s="11">
        <v>2017</v>
      </c>
      <c r="H126" s="12" t="str">
        <f>"129.81"</f>
        <v>129.81</v>
      </c>
      <c r="I126" s="12"/>
      <c r="J126" s="12" t="str">
        <f>"193.99"</f>
        <v>193.99</v>
      </c>
      <c r="K126" s="12"/>
      <c r="L126" s="12"/>
      <c r="M126" s="12"/>
      <c r="N126" s="12"/>
      <c r="O126" s="12"/>
      <c r="P126" s="12"/>
      <c r="Q126" s="12"/>
      <c r="R126" s="12"/>
      <c r="S126" s="12"/>
      <c r="T126" s="12" t="str">
        <f>"138.77"</f>
        <v>138.77</v>
      </c>
      <c r="U126" s="12"/>
      <c r="V126" s="12"/>
      <c r="W126" s="12"/>
      <c r="X126" s="12"/>
      <c r="Y126" s="12"/>
      <c r="Z126" s="12"/>
      <c r="AA126" s="12" t="str">
        <f>"120.03"</f>
        <v>120.03</v>
      </c>
    </row>
    <row r="127" spans="1:27">
      <c r="A127" s="9">
        <v>125</v>
      </c>
      <c r="B127" s="9">
        <v>1764</v>
      </c>
      <c r="C127" s="9" t="s">
        <v>327</v>
      </c>
      <c r="D127" s="9" t="s">
        <v>96</v>
      </c>
      <c r="E127" s="10" t="str">
        <f>"129.48"</f>
        <v>129.48</v>
      </c>
      <c r="F127" s="11" t="s">
        <v>11</v>
      </c>
      <c r="G127" s="11">
        <v>2017</v>
      </c>
      <c r="H127" s="12" t="str">
        <f>"101.48"</f>
        <v>101.48</v>
      </c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>
      <c r="A128" s="9">
        <v>126</v>
      </c>
      <c r="B128" s="9">
        <v>4108</v>
      </c>
      <c r="C128" s="9" t="s">
        <v>173</v>
      </c>
      <c r="D128" s="9" t="s">
        <v>14</v>
      </c>
      <c r="E128" s="10" t="str">
        <f>"129.72"</f>
        <v>129.72</v>
      </c>
      <c r="F128" s="11"/>
      <c r="G128" s="11">
        <v>2017</v>
      </c>
      <c r="H128" s="12" t="str">
        <f>"126.77"</f>
        <v>126.77</v>
      </c>
      <c r="I128" s="12"/>
      <c r="J128" s="12"/>
      <c r="K128" s="12"/>
      <c r="L128" s="12" t="str">
        <f>"90.86"</f>
        <v>90.86</v>
      </c>
      <c r="M128" s="12"/>
      <c r="N128" s="12"/>
      <c r="O128" s="12"/>
      <c r="P128" s="12"/>
      <c r="Q128" s="12"/>
      <c r="R128" s="12"/>
      <c r="S128" s="12"/>
      <c r="T128" s="12"/>
      <c r="U128" s="12" t="str">
        <f>"168.57"</f>
        <v>168.57</v>
      </c>
      <c r="V128" s="12"/>
      <c r="W128" s="12"/>
      <c r="X128" s="12"/>
      <c r="Y128" s="12"/>
      <c r="Z128" s="12"/>
      <c r="AA128" s="12"/>
    </row>
    <row r="129" spans="1:27">
      <c r="A129" s="9">
        <v>127</v>
      </c>
      <c r="B129" s="9">
        <v>7891</v>
      </c>
      <c r="C129" s="9" t="s">
        <v>132</v>
      </c>
      <c r="D129" s="9" t="s">
        <v>133</v>
      </c>
      <c r="E129" s="10" t="str">
        <f>"129.92"</f>
        <v>129.92</v>
      </c>
      <c r="F129" s="11"/>
      <c r="G129" s="11">
        <v>2017</v>
      </c>
      <c r="H129" s="12" t="str">
        <f>"148.74"</f>
        <v>148.74</v>
      </c>
      <c r="I129" s="12"/>
      <c r="J129" s="12"/>
      <c r="K129" s="12" t="str">
        <f>"142.96"</f>
        <v>142.96</v>
      </c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 t="str">
        <f>"116.88"</f>
        <v>116.88</v>
      </c>
      <c r="W129" s="12"/>
      <c r="X129" s="12"/>
      <c r="Y129" s="12"/>
      <c r="Z129" s="12"/>
      <c r="AA129" s="12"/>
    </row>
    <row r="130" spans="1:27">
      <c r="A130" s="9">
        <v>128</v>
      </c>
      <c r="B130" s="9">
        <v>10537</v>
      </c>
      <c r="C130" s="9" t="s">
        <v>331</v>
      </c>
      <c r="D130" s="9" t="s">
        <v>10</v>
      </c>
      <c r="E130" s="10" t="str">
        <f>"130.06"</f>
        <v>130.06</v>
      </c>
      <c r="F130" s="11"/>
      <c r="G130" s="11">
        <v>2017</v>
      </c>
      <c r="H130" s="12" t="str">
        <f>"118.47"</f>
        <v>118.47</v>
      </c>
      <c r="I130" s="12"/>
      <c r="J130" s="12" t="str">
        <f>"131.79"</f>
        <v>131.79</v>
      </c>
      <c r="K130" s="12"/>
      <c r="L130" s="12"/>
      <c r="M130" s="12"/>
      <c r="N130" s="12"/>
      <c r="O130" s="12"/>
      <c r="P130" s="12"/>
      <c r="Q130" s="12"/>
      <c r="R130" s="12"/>
      <c r="S130" s="12"/>
      <c r="T130" s="12" t="str">
        <f>"128.33"</f>
        <v>128.33</v>
      </c>
      <c r="U130" s="12"/>
      <c r="V130" s="12"/>
      <c r="W130" s="12"/>
      <c r="X130" s="12"/>
      <c r="Y130" s="12"/>
      <c r="Z130" s="12"/>
      <c r="AA130" s="12"/>
    </row>
    <row r="131" spans="1:27">
      <c r="A131" s="9">
        <v>129</v>
      </c>
      <c r="B131" s="9">
        <v>778</v>
      </c>
      <c r="C131" s="9" t="s">
        <v>715</v>
      </c>
      <c r="D131" s="9" t="s">
        <v>716</v>
      </c>
      <c r="E131" s="10" t="str">
        <f>"130.08"</f>
        <v>130.08</v>
      </c>
      <c r="F131" s="11" t="s">
        <v>9</v>
      </c>
      <c r="G131" s="11">
        <v>2017</v>
      </c>
      <c r="H131" s="12" t="str">
        <f>"116.20"</f>
        <v>116.20</v>
      </c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 t="str">
        <f>"102.08"</f>
        <v>102.08</v>
      </c>
      <c r="X131" s="12"/>
      <c r="Y131" s="12"/>
      <c r="Z131" s="12"/>
      <c r="AA131" s="12"/>
    </row>
    <row r="132" spans="1:27">
      <c r="A132" s="9">
        <v>130</v>
      </c>
      <c r="B132" s="9">
        <v>4196</v>
      </c>
      <c r="C132" s="9" t="s">
        <v>239</v>
      </c>
      <c r="D132" s="9" t="s">
        <v>19</v>
      </c>
      <c r="E132" s="10" t="str">
        <f>"130.12"</f>
        <v>130.12</v>
      </c>
      <c r="F132" s="11"/>
      <c r="G132" s="11">
        <v>2017</v>
      </c>
      <c r="H132" s="12" t="str">
        <f>"188.67"</f>
        <v>188.67</v>
      </c>
      <c r="I132" s="12"/>
      <c r="J132" s="12"/>
      <c r="K132" s="12"/>
      <c r="L132" s="12"/>
      <c r="M132" s="12"/>
      <c r="N132" s="12" t="str">
        <f>"126.38"</f>
        <v>126.38</v>
      </c>
      <c r="O132" s="12"/>
      <c r="P132" s="12"/>
      <c r="Q132" s="12"/>
      <c r="R132" s="12" t="str">
        <f>"133.86"</f>
        <v>133.86</v>
      </c>
      <c r="S132" s="12"/>
      <c r="T132" s="12"/>
      <c r="U132" s="12"/>
      <c r="V132" s="12"/>
      <c r="W132" s="12"/>
      <c r="X132" s="12"/>
      <c r="Y132" s="12"/>
      <c r="Z132" s="12"/>
      <c r="AA132" s="12"/>
    </row>
    <row r="133" spans="1:27">
      <c r="A133" s="9">
        <v>131</v>
      </c>
      <c r="B133" s="9">
        <v>3630</v>
      </c>
      <c r="C133" s="9" t="s">
        <v>112</v>
      </c>
      <c r="D133" s="9" t="s">
        <v>14</v>
      </c>
      <c r="E133" s="10" t="str">
        <f>"130.51"</f>
        <v>130.51</v>
      </c>
      <c r="F133" s="11" t="s">
        <v>9</v>
      </c>
      <c r="G133" s="11">
        <v>2017</v>
      </c>
      <c r="H133" s="12" t="str">
        <f>"146.21"</f>
        <v>146.21</v>
      </c>
      <c r="I133" s="12"/>
      <c r="J133" s="12"/>
      <c r="K133" s="12" t="str">
        <f>"102.51"</f>
        <v>102.51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</row>
    <row r="134" spans="1:27">
      <c r="A134" s="9">
        <v>132</v>
      </c>
      <c r="B134" s="9">
        <v>5722</v>
      </c>
      <c r="C134" s="9" t="s">
        <v>332</v>
      </c>
      <c r="D134" s="9" t="s">
        <v>19</v>
      </c>
      <c r="E134" s="10" t="str">
        <f>"131.92"</f>
        <v>131.92</v>
      </c>
      <c r="F134" s="11"/>
      <c r="G134" s="11">
        <v>2017</v>
      </c>
      <c r="H134" s="12" t="str">
        <f>"171.65"</f>
        <v>171.65</v>
      </c>
      <c r="I134" s="12"/>
      <c r="J134" s="12"/>
      <c r="K134" s="12"/>
      <c r="L134" s="12"/>
      <c r="M134" s="12"/>
      <c r="N134" s="12"/>
      <c r="O134" s="12" t="str">
        <f>"502.38"</f>
        <v>502.38</v>
      </c>
      <c r="P134" s="12"/>
      <c r="Q134" s="12"/>
      <c r="R134" s="12"/>
      <c r="S134" s="12"/>
      <c r="T134" s="12"/>
      <c r="U134" s="12" t="str">
        <f>"138.93"</f>
        <v>138.93</v>
      </c>
      <c r="V134" s="12"/>
      <c r="W134" s="12"/>
      <c r="X134" s="12"/>
      <c r="Y134" s="12" t="str">
        <f>"124.90"</f>
        <v>124.90</v>
      </c>
      <c r="Z134" s="12"/>
      <c r="AA134" s="12"/>
    </row>
    <row r="135" spans="1:27">
      <c r="A135" s="9">
        <v>133</v>
      </c>
      <c r="B135" s="9">
        <v>11081</v>
      </c>
      <c r="C135" s="9" t="s">
        <v>231</v>
      </c>
      <c r="D135" s="9" t="s">
        <v>51</v>
      </c>
      <c r="E135" s="10" t="str">
        <f>"132.00"</f>
        <v>132.00</v>
      </c>
      <c r="F135" s="11" t="s">
        <v>9</v>
      </c>
      <c r="G135" s="11">
        <v>2017</v>
      </c>
      <c r="H135" s="12" t="str">
        <f>"80.33"</f>
        <v>80.33</v>
      </c>
      <c r="I135" s="12"/>
      <c r="J135" s="12"/>
      <c r="K135" s="12" t="str">
        <f>"104.00"</f>
        <v>104.00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</row>
    <row r="136" spans="1:27">
      <c r="A136" s="9">
        <v>134</v>
      </c>
      <c r="B136" s="9">
        <v>3954</v>
      </c>
      <c r="C136" s="9" t="s">
        <v>309</v>
      </c>
      <c r="D136" s="9" t="s">
        <v>105</v>
      </c>
      <c r="E136" s="10" t="str">
        <f>"132.02"</f>
        <v>132.02</v>
      </c>
      <c r="F136" s="11"/>
      <c r="G136" s="11">
        <v>2017</v>
      </c>
      <c r="H136" s="12" t="str">
        <f>"89.37"</f>
        <v>89.37</v>
      </c>
      <c r="I136" s="12"/>
      <c r="J136" s="12"/>
      <c r="K136" s="12"/>
      <c r="L136" s="12" t="str">
        <f>"128.21"</f>
        <v>128.21</v>
      </c>
      <c r="M136" s="12"/>
      <c r="N136" s="12"/>
      <c r="O136" s="12"/>
      <c r="P136" s="12"/>
      <c r="Q136" s="12" t="str">
        <f>"135.83"</f>
        <v>135.83</v>
      </c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>
      <c r="A137" s="9">
        <v>135</v>
      </c>
      <c r="B137" s="9">
        <v>3703</v>
      </c>
      <c r="C137" s="9" t="s">
        <v>253</v>
      </c>
      <c r="D137" s="9" t="s">
        <v>91</v>
      </c>
      <c r="E137" s="10" t="str">
        <f>"133.11"</f>
        <v>133.11</v>
      </c>
      <c r="F137" s="11" t="s">
        <v>9</v>
      </c>
      <c r="G137" s="11">
        <v>2017</v>
      </c>
      <c r="H137" s="12" t="str">
        <f>"95.37"</f>
        <v>95.37</v>
      </c>
      <c r="I137" s="12"/>
      <c r="J137" s="12"/>
      <c r="K137" s="12"/>
      <c r="L137" s="12"/>
      <c r="M137" s="12"/>
      <c r="N137" s="12"/>
      <c r="O137" s="12"/>
      <c r="P137" s="12" t="str">
        <f>"105.11"</f>
        <v>105.11</v>
      </c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>
      <c r="A138" s="9">
        <v>136</v>
      </c>
      <c r="B138" s="9">
        <v>11359</v>
      </c>
      <c r="C138" s="9" t="s">
        <v>373</v>
      </c>
      <c r="D138" s="9" t="s">
        <v>78</v>
      </c>
      <c r="E138" s="10" t="str">
        <f>"133.15"</f>
        <v>133.15</v>
      </c>
      <c r="F138" s="11" t="s">
        <v>9</v>
      </c>
      <c r="G138" s="11">
        <v>2017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 t="str">
        <f>"105.15"</f>
        <v>105.15</v>
      </c>
      <c r="V138" s="12"/>
      <c r="W138" s="12"/>
      <c r="X138" s="12"/>
      <c r="Y138" s="12"/>
      <c r="Z138" s="12"/>
      <c r="AA138" s="12"/>
    </row>
    <row r="139" spans="1:27">
      <c r="A139" s="9">
        <v>137</v>
      </c>
      <c r="B139" s="9">
        <v>10107</v>
      </c>
      <c r="C139" s="9" t="s">
        <v>139</v>
      </c>
      <c r="D139" s="9" t="s">
        <v>140</v>
      </c>
      <c r="E139" s="10" t="str">
        <f>"134.99"</f>
        <v>134.99</v>
      </c>
      <c r="F139" s="11" t="s">
        <v>9</v>
      </c>
      <c r="G139" s="11">
        <v>2017</v>
      </c>
      <c r="H139" s="12" t="str">
        <f>"152.12"</f>
        <v>152.12</v>
      </c>
      <c r="I139" s="12"/>
      <c r="J139" s="12"/>
      <c r="K139" s="12" t="str">
        <f>"106.99"</f>
        <v>106.99</v>
      </c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>
      <c r="A140" s="9">
        <v>138</v>
      </c>
      <c r="B140" s="9">
        <v>10342</v>
      </c>
      <c r="C140" s="9" t="s">
        <v>350</v>
      </c>
      <c r="D140" s="9" t="s">
        <v>10</v>
      </c>
      <c r="E140" s="10" t="str">
        <f>"135.67"</f>
        <v>135.67</v>
      </c>
      <c r="F140" s="11"/>
      <c r="G140" s="11">
        <v>2017</v>
      </c>
      <c r="H140" s="12" t="str">
        <f>"147.79"</f>
        <v>147.79</v>
      </c>
      <c r="I140" s="12"/>
      <c r="J140" s="12" t="str">
        <f>"215.08"</f>
        <v>215.08</v>
      </c>
      <c r="K140" s="12"/>
      <c r="L140" s="12"/>
      <c r="M140" s="12"/>
      <c r="N140" s="12"/>
      <c r="O140" s="12"/>
      <c r="P140" s="12"/>
      <c r="Q140" s="12"/>
      <c r="R140" s="12"/>
      <c r="S140" s="12"/>
      <c r="T140" s="12" t="str">
        <f>"180.22"</f>
        <v>180.22</v>
      </c>
      <c r="U140" s="12" t="str">
        <f>"106.48"</f>
        <v>106.48</v>
      </c>
      <c r="V140" s="12"/>
      <c r="W140" s="12"/>
      <c r="X140" s="12" t="str">
        <f>"164.85"</f>
        <v>164.85</v>
      </c>
      <c r="Y140" s="12"/>
      <c r="Z140" s="12"/>
      <c r="AA140" s="12"/>
    </row>
    <row r="141" spans="1:27">
      <c r="A141" s="9">
        <v>139</v>
      </c>
      <c r="B141" s="9">
        <v>7702</v>
      </c>
      <c r="C141" s="9" t="s">
        <v>576</v>
      </c>
      <c r="D141" s="9" t="s">
        <v>26</v>
      </c>
      <c r="E141" s="10" t="str">
        <f>"137.01"</f>
        <v>137.01</v>
      </c>
      <c r="F141" s="11" t="s">
        <v>11</v>
      </c>
      <c r="G141" s="11">
        <v>2017</v>
      </c>
      <c r="H141" s="12" t="str">
        <f>"109.01"</f>
        <v>109.01</v>
      </c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>
      <c r="A142" s="9">
        <v>140</v>
      </c>
      <c r="B142" s="9">
        <v>2847</v>
      </c>
      <c r="C142" s="9" t="s">
        <v>224</v>
      </c>
      <c r="D142" s="9" t="s">
        <v>89</v>
      </c>
      <c r="E142" s="10" t="str">
        <f>"137.02"</f>
        <v>137.02</v>
      </c>
      <c r="F142" s="11"/>
      <c r="G142" s="11">
        <v>2017</v>
      </c>
      <c r="H142" s="12" t="str">
        <f>"105.14"</f>
        <v>105.14</v>
      </c>
      <c r="I142" s="12"/>
      <c r="J142" s="12"/>
      <c r="K142" s="12" t="str">
        <f>"184.34"</f>
        <v>184.34</v>
      </c>
      <c r="L142" s="12"/>
      <c r="M142" s="12"/>
      <c r="N142" s="12"/>
      <c r="O142" s="12"/>
      <c r="P142" s="12" t="str">
        <f>"89.69"</f>
        <v>89.69</v>
      </c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>
      <c r="A143" s="9">
        <v>141</v>
      </c>
      <c r="B143" s="9">
        <v>5483</v>
      </c>
      <c r="C143" s="9" t="s">
        <v>258</v>
      </c>
      <c r="D143" s="9" t="s">
        <v>19</v>
      </c>
      <c r="E143" s="10" t="str">
        <f>"137.02"</f>
        <v>137.02</v>
      </c>
      <c r="F143" s="11"/>
      <c r="G143" s="11">
        <v>2017</v>
      </c>
      <c r="H143" s="12" t="str">
        <f>"185.36"</f>
        <v>185.36</v>
      </c>
      <c r="I143" s="12"/>
      <c r="J143" s="12"/>
      <c r="K143" s="12"/>
      <c r="L143" s="12"/>
      <c r="M143" s="12"/>
      <c r="N143" s="12" t="str">
        <f>"130.60"</f>
        <v>130.60</v>
      </c>
      <c r="O143" s="12"/>
      <c r="P143" s="12"/>
      <c r="Q143" s="12"/>
      <c r="R143" s="12" t="str">
        <f>"143.44"</f>
        <v>143.44</v>
      </c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>
      <c r="A144" s="9">
        <v>142</v>
      </c>
      <c r="B144" s="9">
        <v>3070</v>
      </c>
      <c r="C144" s="9" t="s">
        <v>1169</v>
      </c>
      <c r="D144" s="9" t="s">
        <v>46</v>
      </c>
      <c r="E144" s="10" t="str">
        <f>"137.68"</f>
        <v>137.68</v>
      </c>
      <c r="F144" s="11" t="s">
        <v>11</v>
      </c>
      <c r="G144" s="11">
        <v>2017</v>
      </c>
      <c r="H144" s="12" t="str">
        <f>"109.68"</f>
        <v>109.68</v>
      </c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>
      <c r="A145" s="9">
        <v>143</v>
      </c>
      <c r="B145" s="9">
        <v>4286</v>
      </c>
      <c r="C145" s="9" t="s">
        <v>249</v>
      </c>
      <c r="D145" s="9" t="s">
        <v>49</v>
      </c>
      <c r="E145" s="10" t="str">
        <f>"138.19"</f>
        <v>138.19</v>
      </c>
      <c r="F145" s="11" t="s">
        <v>9</v>
      </c>
      <c r="G145" s="11">
        <v>2017</v>
      </c>
      <c r="H145" s="12" t="str">
        <f>"101.74"</f>
        <v>101.74</v>
      </c>
      <c r="I145" s="12"/>
      <c r="J145" s="12"/>
      <c r="K145" s="12" t="str">
        <f>"110.19"</f>
        <v>110.19</v>
      </c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>
      <c r="A146" s="9">
        <v>144</v>
      </c>
      <c r="B146" s="9">
        <v>3287</v>
      </c>
      <c r="C146" s="9" t="s">
        <v>244</v>
      </c>
      <c r="D146" s="9" t="s">
        <v>41</v>
      </c>
      <c r="E146" s="10" t="str">
        <f>"138.29"</f>
        <v>138.29</v>
      </c>
      <c r="F146" s="11" t="s">
        <v>11</v>
      </c>
      <c r="G146" s="11">
        <v>2017</v>
      </c>
      <c r="H146" s="12" t="str">
        <f>"110.29"</f>
        <v>110.29</v>
      </c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>
      <c r="A147" s="9">
        <v>145</v>
      </c>
      <c r="B147" s="9">
        <v>10686</v>
      </c>
      <c r="C147" s="9" t="s">
        <v>398</v>
      </c>
      <c r="D147" s="9" t="s">
        <v>19</v>
      </c>
      <c r="E147" s="10" t="str">
        <f>"138.36"</f>
        <v>138.36</v>
      </c>
      <c r="F147" s="11"/>
      <c r="G147" s="11">
        <v>2017</v>
      </c>
      <c r="H147" s="12" t="str">
        <f>"150.46"</f>
        <v>150.46</v>
      </c>
      <c r="I147" s="12"/>
      <c r="J147" s="12"/>
      <c r="K147" s="12"/>
      <c r="L147" s="12"/>
      <c r="M147" s="12"/>
      <c r="N147" s="12" t="str">
        <f>"118.56"</f>
        <v>118.56</v>
      </c>
      <c r="O147" s="12" t="str">
        <f>"158.15"</f>
        <v>158.15</v>
      </c>
      <c r="P147" s="12"/>
      <c r="Q147" s="12"/>
      <c r="R147" s="12" t="str">
        <f>"176.92"</f>
        <v>176.92</v>
      </c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>
      <c r="A148" s="9">
        <v>146</v>
      </c>
      <c r="B148" s="9">
        <v>2179</v>
      </c>
      <c r="C148" s="9" t="s">
        <v>313</v>
      </c>
      <c r="D148" s="9" t="s">
        <v>67</v>
      </c>
      <c r="E148" s="10" t="str">
        <f>"138.79"</f>
        <v>138.79</v>
      </c>
      <c r="F148" s="11" t="s">
        <v>11</v>
      </c>
      <c r="G148" s="11">
        <v>2017</v>
      </c>
      <c r="H148" s="12" t="str">
        <f>"110.79"</f>
        <v>110.79</v>
      </c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>
      <c r="A149" s="9">
        <v>147</v>
      </c>
      <c r="B149" s="9">
        <v>7843</v>
      </c>
      <c r="C149" s="9" t="s">
        <v>1218</v>
      </c>
      <c r="D149" s="9" t="s">
        <v>44</v>
      </c>
      <c r="E149" s="10" t="str">
        <f>"138.91"</f>
        <v>138.91</v>
      </c>
      <c r="F149" s="11" t="s">
        <v>11</v>
      </c>
      <c r="G149" s="11">
        <v>2017</v>
      </c>
      <c r="H149" s="12" t="str">
        <f>"110.91"</f>
        <v>110.91</v>
      </c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>
      <c r="A150" s="9">
        <v>148</v>
      </c>
      <c r="B150" s="9">
        <v>4883</v>
      </c>
      <c r="C150" s="9" t="s">
        <v>168</v>
      </c>
      <c r="D150" s="9" t="s">
        <v>89</v>
      </c>
      <c r="E150" s="10" t="str">
        <f>"139.04"</f>
        <v>139.04</v>
      </c>
      <c r="F150" s="11" t="s">
        <v>9</v>
      </c>
      <c r="G150" s="11">
        <v>2017</v>
      </c>
      <c r="H150" s="12" t="str">
        <f>"128.99"</f>
        <v>128.99</v>
      </c>
      <c r="I150" s="12"/>
      <c r="J150" s="12"/>
      <c r="K150" s="12" t="str">
        <f>"111.04"</f>
        <v>111.04</v>
      </c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>
      <c r="A151" s="9">
        <v>149</v>
      </c>
      <c r="B151" s="9">
        <v>6125</v>
      </c>
      <c r="C151" s="9" t="s">
        <v>446</v>
      </c>
      <c r="D151" s="9" t="s">
        <v>19</v>
      </c>
      <c r="E151" s="10" t="str">
        <f>"139.04"</f>
        <v>139.04</v>
      </c>
      <c r="F151" s="11" t="s">
        <v>11</v>
      </c>
      <c r="G151" s="11">
        <v>2017</v>
      </c>
      <c r="H151" s="12" t="str">
        <f>"111.04"</f>
        <v>111.04</v>
      </c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>
      <c r="A152" s="9">
        <v>150</v>
      </c>
      <c r="B152" s="9">
        <v>11234</v>
      </c>
      <c r="C152" s="9" t="s">
        <v>295</v>
      </c>
      <c r="D152" s="9" t="s">
        <v>10</v>
      </c>
      <c r="E152" s="10" t="str">
        <f>"139.29"</f>
        <v>139.29</v>
      </c>
      <c r="F152" s="11"/>
      <c r="G152" s="11">
        <v>2017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 t="str">
        <f>"148.06"</f>
        <v>148.06</v>
      </c>
      <c r="T152" s="12" t="str">
        <f>"143.64"</f>
        <v>143.64</v>
      </c>
      <c r="U152" s="12"/>
      <c r="V152" s="12" t="str">
        <f>"280.89"</f>
        <v>280.89</v>
      </c>
      <c r="W152" s="12"/>
      <c r="X152" s="12" t="str">
        <f>"134.94"</f>
        <v>134.94</v>
      </c>
      <c r="Y152" s="12"/>
      <c r="Z152" s="12"/>
      <c r="AA152" s="12"/>
    </row>
    <row r="153" spans="1:27">
      <c r="A153" s="9">
        <v>151</v>
      </c>
      <c r="B153" s="9">
        <v>5247</v>
      </c>
      <c r="C153" s="9" t="s">
        <v>211</v>
      </c>
      <c r="D153" s="9" t="s">
        <v>33</v>
      </c>
      <c r="E153" s="10" t="str">
        <f>"139.58"</f>
        <v>139.58</v>
      </c>
      <c r="F153" s="11" t="s">
        <v>9</v>
      </c>
      <c r="G153" s="11">
        <v>2017</v>
      </c>
      <c r="H153" s="12" t="str">
        <f>"93.79"</f>
        <v>93.79</v>
      </c>
      <c r="I153" s="12"/>
      <c r="J153" s="12"/>
      <c r="K153" s="12"/>
      <c r="L153" s="12"/>
      <c r="M153" s="12"/>
      <c r="N153" s="12"/>
      <c r="O153" s="12"/>
      <c r="P153" s="12" t="str">
        <f>"111.58"</f>
        <v>111.58</v>
      </c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>
      <c r="A154" s="9">
        <v>152</v>
      </c>
      <c r="B154" s="9">
        <v>7006</v>
      </c>
      <c r="C154" s="9" t="s">
        <v>478</v>
      </c>
      <c r="D154" s="9" t="s">
        <v>74</v>
      </c>
      <c r="E154" s="10" t="str">
        <f>"140.20"</f>
        <v>140.20</v>
      </c>
      <c r="F154" s="11" t="s">
        <v>11</v>
      </c>
      <c r="G154" s="11">
        <v>2017</v>
      </c>
      <c r="H154" s="12" t="str">
        <f>"112.20"</f>
        <v>112.20</v>
      </c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>
      <c r="A155" s="9">
        <v>153</v>
      </c>
      <c r="B155" s="9">
        <v>10660</v>
      </c>
      <c r="C155" s="9" t="s">
        <v>152</v>
      </c>
      <c r="D155" s="9" t="s">
        <v>14</v>
      </c>
      <c r="E155" s="10" t="str">
        <f>"142.20"</f>
        <v>142.20</v>
      </c>
      <c r="F155" s="11" t="s">
        <v>11</v>
      </c>
      <c r="G155" s="11">
        <v>2017</v>
      </c>
      <c r="H155" s="12" t="str">
        <f>"114.20"</f>
        <v>114.20</v>
      </c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>
      <c r="A156" s="9">
        <v>154</v>
      </c>
      <c r="B156" s="9">
        <v>8378</v>
      </c>
      <c r="C156" s="9" t="s">
        <v>334</v>
      </c>
      <c r="D156" s="9" t="s">
        <v>61</v>
      </c>
      <c r="E156" s="10" t="str">
        <f>"142.80"</f>
        <v>142.80</v>
      </c>
      <c r="F156" s="11"/>
      <c r="G156" s="11">
        <v>2017</v>
      </c>
      <c r="H156" s="12" t="str">
        <f>"169.06"</f>
        <v>169.06</v>
      </c>
      <c r="I156" s="12"/>
      <c r="J156" s="12"/>
      <c r="K156" s="12" t="str">
        <f>"186.54"</f>
        <v>186.54</v>
      </c>
      <c r="L156" s="12"/>
      <c r="M156" s="12"/>
      <c r="N156" s="12"/>
      <c r="O156" s="12"/>
      <c r="P156" s="12"/>
      <c r="Q156" s="12"/>
      <c r="R156" s="12"/>
      <c r="S156" s="12"/>
      <c r="T156" s="12"/>
      <c r="U156" s="12" t="str">
        <f>"126.17"</f>
        <v>126.17</v>
      </c>
      <c r="V156" s="12" t="str">
        <f>"159.42"</f>
        <v>159.42</v>
      </c>
      <c r="W156" s="12"/>
      <c r="X156" s="12"/>
      <c r="Y156" s="12"/>
      <c r="Z156" s="12"/>
      <c r="AA156" s="12"/>
    </row>
    <row r="157" spans="1:27">
      <c r="A157" s="9">
        <v>155</v>
      </c>
      <c r="B157" s="9">
        <v>1740</v>
      </c>
      <c r="C157" s="9" t="s">
        <v>238</v>
      </c>
      <c r="D157" s="9" t="s">
        <v>68</v>
      </c>
      <c r="E157" s="10" t="str">
        <f>"143.04"</f>
        <v>143.04</v>
      </c>
      <c r="F157" s="11" t="s">
        <v>9</v>
      </c>
      <c r="G157" s="11">
        <v>2017</v>
      </c>
      <c r="H157" s="12" t="str">
        <f>"86.14"</f>
        <v>86.14</v>
      </c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 t="str">
        <f>"115.04"</f>
        <v>115.04</v>
      </c>
      <c r="W157" s="12"/>
      <c r="X157" s="12"/>
      <c r="Y157" s="12"/>
      <c r="Z157" s="12"/>
      <c r="AA157" s="12"/>
    </row>
    <row r="158" spans="1:27">
      <c r="A158" s="9">
        <v>156</v>
      </c>
      <c r="B158" s="9">
        <v>10350</v>
      </c>
      <c r="C158" s="9" t="s">
        <v>522</v>
      </c>
      <c r="D158" s="9" t="s">
        <v>38</v>
      </c>
      <c r="E158" s="10" t="str">
        <f>"143.41"</f>
        <v>143.41</v>
      </c>
      <c r="F158" s="11" t="s">
        <v>11</v>
      </c>
      <c r="G158" s="11">
        <v>2017</v>
      </c>
      <c r="H158" s="12" t="str">
        <f>"115.41"</f>
        <v>115.41</v>
      </c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>
      <c r="A159" s="9">
        <v>157</v>
      </c>
      <c r="B159" s="9">
        <v>5427</v>
      </c>
      <c r="C159" s="9" t="s">
        <v>246</v>
      </c>
      <c r="D159" s="9" t="s">
        <v>19</v>
      </c>
      <c r="E159" s="10" t="str">
        <f>"144.04"</f>
        <v>144.04</v>
      </c>
      <c r="F159" s="11" t="s">
        <v>9</v>
      </c>
      <c r="G159" s="11">
        <v>2017</v>
      </c>
      <c r="H159" s="12" t="str">
        <f>"115.40"</f>
        <v>115.40</v>
      </c>
      <c r="I159" s="12"/>
      <c r="J159" s="12"/>
      <c r="K159" s="12"/>
      <c r="L159" s="12"/>
      <c r="M159" s="12"/>
      <c r="N159" s="12" t="str">
        <f>"116.04"</f>
        <v>116.04</v>
      </c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>
      <c r="A160" s="9">
        <v>158</v>
      </c>
      <c r="B160" s="9">
        <v>10861</v>
      </c>
      <c r="C160" s="9" t="s">
        <v>382</v>
      </c>
      <c r="D160" s="9" t="s">
        <v>10</v>
      </c>
      <c r="E160" s="10" t="str">
        <f>"144.43"</f>
        <v>144.43</v>
      </c>
      <c r="F160" s="11"/>
      <c r="G160" s="11">
        <v>2017</v>
      </c>
      <c r="H160" s="12" t="str">
        <f>"222.61"</f>
        <v>222.61</v>
      </c>
      <c r="I160" s="12" t="str">
        <f>"154.58"</f>
        <v>154.58</v>
      </c>
      <c r="J160" s="12" t="str">
        <f>"190.97"</f>
        <v>190.97</v>
      </c>
      <c r="K160" s="12" t="str">
        <f>"216.61"</f>
        <v>216.61</v>
      </c>
      <c r="L160" s="12"/>
      <c r="M160" s="12"/>
      <c r="N160" s="12"/>
      <c r="O160" s="12"/>
      <c r="P160" s="12"/>
      <c r="Q160" s="12"/>
      <c r="R160" s="12"/>
      <c r="S160" s="12" t="str">
        <f>"134.27"</f>
        <v>134.27</v>
      </c>
      <c r="T160" s="12" t="str">
        <f>"288.93"</f>
        <v>288.93</v>
      </c>
      <c r="U160" s="12"/>
      <c r="V160" s="12"/>
      <c r="W160" s="12"/>
      <c r="X160" s="12" t="str">
        <f>"162.87"</f>
        <v>162.87</v>
      </c>
      <c r="Y160" s="12"/>
      <c r="Z160" s="12"/>
      <c r="AA160" s="12"/>
    </row>
    <row r="161" spans="1:27">
      <c r="A161" s="9">
        <v>159</v>
      </c>
      <c r="B161" s="9">
        <v>6310</v>
      </c>
      <c r="C161" s="9" t="s">
        <v>270</v>
      </c>
      <c r="D161" s="9" t="s">
        <v>95</v>
      </c>
      <c r="E161" s="10" t="str">
        <f>"144.80"</f>
        <v>144.80</v>
      </c>
      <c r="F161" s="11" t="s">
        <v>9</v>
      </c>
      <c r="G161" s="11">
        <v>2017</v>
      </c>
      <c r="H161" s="12" t="str">
        <f>"73.69"</f>
        <v>73.69</v>
      </c>
      <c r="I161" s="12"/>
      <c r="J161" s="12"/>
      <c r="K161" s="12"/>
      <c r="L161" s="12" t="str">
        <f>"116.80"</f>
        <v>116.80</v>
      </c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>
      <c r="A162" s="9">
        <v>160</v>
      </c>
      <c r="B162" s="9">
        <v>10409</v>
      </c>
      <c r="C162" s="9" t="s">
        <v>202</v>
      </c>
      <c r="D162" s="9" t="s">
        <v>10</v>
      </c>
      <c r="E162" s="10" t="str">
        <f>"144.82"</f>
        <v>144.82</v>
      </c>
      <c r="F162" s="11"/>
      <c r="G162" s="11">
        <v>2017</v>
      </c>
      <c r="H162" s="12" t="str">
        <f>"237.04"</f>
        <v>237.04</v>
      </c>
      <c r="I162" s="12"/>
      <c r="J162" s="12"/>
      <c r="K162" s="12"/>
      <c r="L162" s="12"/>
      <c r="M162" s="12"/>
      <c r="N162" s="12"/>
      <c r="O162" s="12"/>
      <c r="P162" s="12"/>
      <c r="Q162" s="12"/>
      <c r="R162" s="12" t="str">
        <f>"285.00"</f>
        <v>285.00</v>
      </c>
      <c r="S162" s="12"/>
      <c r="T162" s="12"/>
      <c r="U162" s="12"/>
      <c r="V162" s="12"/>
      <c r="W162" s="12"/>
      <c r="X162" s="12"/>
      <c r="Y162" s="12"/>
      <c r="Z162" s="12" t="str">
        <f>"137.09"</f>
        <v>137.09</v>
      </c>
      <c r="AA162" s="12" t="str">
        <f>"152.54"</f>
        <v>152.54</v>
      </c>
    </row>
    <row r="163" spans="1:27">
      <c r="A163" s="9">
        <v>161</v>
      </c>
      <c r="B163" s="9">
        <v>7468</v>
      </c>
      <c r="C163" s="9" t="s">
        <v>591</v>
      </c>
      <c r="D163" s="9" t="s">
        <v>46</v>
      </c>
      <c r="E163" s="10" t="str">
        <f>"144.86"</f>
        <v>144.86</v>
      </c>
      <c r="F163" s="11" t="s">
        <v>11</v>
      </c>
      <c r="G163" s="11">
        <v>2017</v>
      </c>
      <c r="H163" s="12" t="str">
        <f>"116.86"</f>
        <v>116.86</v>
      </c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>
      <c r="A164" s="9">
        <v>162</v>
      </c>
      <c r="B164" s="9">
        <v>1885</v>
      </c>
      <c r="C164" s="9" t="s">
        <v>243</v>
      </c>
      <c r="D164" s="9" t="s">
        <v>214</v>
      </c>
      <c r="E164" s="10" t="str">
        <f>"145.65"</f>
        <v>145.65</v>
      </c>
      <c r="F164" s="11" t="s">
        <v>11</v>
      </c>
      <c r="G164" s="11">
        <v>2017</v>
      </c>
      <c r="H164" s="12" t="str">
        <f>"117.65"</f>
        <v>117.65</v>
      </c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>
      <c r="A165" s="9">
        <v>163</v>
      </c>
      <c r="B165" s="9">
        <v>10703</v>
      </c>
      <c r="C165" s="9" t="s">
        <v>237</v>
      </c>
      <c r="D165" s="9" t="s">
        <v>19</v>
      </c>
      <c r="E165" s="10" t="str">
        <f>"146.43"</f>
        <v>146.43</v>
      </c>
      <c r="F165" s="11"/>
      <c r="G165" s="11">
        <v>2017</v>
      </c>
      <c r="H165" s="12" t="str">
        <f>"256.95"</f>
        <v>256.95</v>
      </c>
      <c r="I165" s="12"/>
      <c r="J165" s="12"/>
      <c r="K165" s="12" t="str">
        <f>"171.26"</f>
        <v>171.26</v>
      </c>
      <c r="L165" s="12"/>
      <c r="M165" s="12"/>
      <c r="N165" s="12" t="str">
        <f>"181.04"</f>
        <v>181.04</v>
      </c>
      <c r="O165" s="12" t="str">
        <f>"189.84"</f>
        <v>189.84</v>
      </c>
      <c r="P165" s="12"/>
      <c r="Q165" s="12"/>
      <c r="R165" s="12" t="str">
        <f>"246.42"</f>
        <v>246.42</v>
      </c>
      <c r="S165" s="12"/>
      <c r="T165" s="12"/>
      <c r="U165" s="12"/>
      <c r="V165" s="12"/>
      <c r="W165" s="12"/>
      <c r="X165" s="12"/>
      <c r="Y165" s="12"/>
      <c r="Z165" s="12"/>
      <c r="AA165" s="12" t="str">
        <f>"121.60"</f>
        <v>121.60</v>
      </c>
    </row>
    <row r="166" spans="1:27">
      <c r="A166" s="9">
        <v>164</v>
      </c>
      <c r="B166" s="9">
        <v>7604</v>
      </c>
      <c r="C166" s="9" t="s">
        <v>371</v>
      </c>
      <c r="D166" s="9" t="s">
        <v>36</v>
      </c>
      <c r="E166" s="10" t="str">
        <f>"146.93"</f>
        <v>146.93</v>
      </c>
      <c r="F166" s="11"/>
      <c r="G166" s="11">
        <v>2017</v>
      </c>
      <c r="H166" s="12" t="str">
        <f>"218.96"</f>
        <v>218.96</v>
      </c>
      <c r="I166" s="12"/>
      <c r="J166" s="12"/>
      <c r="K166" s="12"/>
      <c r="L166" s="12" t="str">
        <f>"161.12"</f>
        <v>161.12</v>
      </c>
      <c r="M166" s="12"/>
      <c r="N166" s="12"/>
      <c r="O166" s="12"/>
      <c r="P166" s="12" t="str">
        <f>"132.74"</f>
        <v>132.74</v>
      </c>
      <c r="Q166" s="12"/>
      <c r="R166" s="12"/>
      <c r="S166" s="12"/>
      <c r="T166" s="12"/>
      <c r="U166" s="12" t="str">
        <f>"167.17"</f>
        <v>167.17</v>
      </c>
      <c r="V166" s="12"/>
      <c r="W166" s="12"/>
      <c r="X166" s="12"/>
      <c r="Y166" s="12"/>
      <c r="Z166" s="12"/>
      <c r="AA166" s="12"/>
    </row>
    <row r="167" spans="1:27">
      <c r="A167" s="9">
        <v>165</v>
      </c>
      <c r="B167" s="9">
        <v>5252</v>
      </c>
      <c r="C167" s="9" t="s">
        <v>284</v>
      </c>
      <c r="D167" s="9" t="s">
        <v>33</v>
      </c>
      <c r="E167" s="10" t="str">
        <f>"147.30"</f>
        <v>147.30</v>
      </c>
      <c r="F167" s="11"/>
      <c r="G167" s="11">
        <v>2017</v>
      </c>
      <c r="H167" s="12" t="str">
        <f>"127.57"</f>
        <v>127.57</v>
      </c>
      <c r="I167" s="12"/>
      <c r="J167" s="12"/>
      <c r="K167" s="12"/>
      <c r="L167" s="12"/>
      <c r="M167" s="12"/>
      <c r="N167" s="12"/>
      <c r="O167" s="12"/>
      <c r="P167" s="12" t="str">
        <f>"117.03"</f>
        <v>117.03</v>
      </c>
      <c r="Q167" s="12"/>
      <c r="R167" s="12"/>
      <c r="S167" s="12"/>
      <c r="T167" s="12"/>
      <c r="U167" s="12" t="str">
        <f>"177.57"</f>
        <v>177.57</v>
      </c>
      <c r="V167" s="12"/>
      <c r="W167" s="12"/>
      <c r="X167" s="12"/>
      <c r="Y167" s="12"/>
      <c r="Z167" s="12"/>
      <c r="AA167" s="12"/>
    </row>
    <row r="168" spans="1:27">
      <c r="A168" s="9">
        <v>166</v>
      </c>
      <c r="B168" s="9">
        <v>6757</v>
      </c>
      <c r="C168" s="9" t="s">
        <v>304</v>
      </c>
      <c r="D168" s="9" t="s">
        <v>90</v>
      </c>
      <c r="E168" s="10" t="str">
        <f>"148.52"</f>
        <v>148.52</v>
      </c>
      <c r="F168" s="11" t="s">
        <v>9</v>
      </c>
      <c r="G168" s="11">
        <v>2017</v>
      </c>
      <c r="H168" s="12" t="str">
        <f>"83.01"</f>
        <v>83.01</v>
      </c>
      <c r="I168" s="12"/>
      <c r="J168" s="12"/>
      <c r="K168" s="12"/>
      <c r="L168" s="12"/>
      <c r="M168" s="12"/>
      <c r="N168" s="12"/>
      <c r="O168" s="12"/>
      <c r="P168" s="12" t="str">
        <f>"120.52"</f>
        <v>120.52</v>
      </c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>
      <c r="A169" s="9">
        <v>167</v>
      </c>
      <c r="B169" s="9">
        <v>7854</v>
      </c>
      <c r="C169" s="9" t="s">
        <v>151</v>
      </c>
      <c r="D169" s="9" t="s">
        <v>19</v>
      </c>
      <c r="E169" s="10" t="str">
        <f>"148.62"</f>
        <v>148.62</v>
      </c>
      <c r="F169" s="11"/>
      <c r="G169" s="11">
        <v>2017</v>
      </c>
      <c r="H169" s="12" t="str">
        <f>"174.72"</f>
        <v>174.72</v>
      </c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 t="str">
        <f>"298.38"</f>
        <v>298.38</v>
      </c>
      <c r="W169" s="12"/>
      <c r="X169" s="12"/>
      <c r="Y169" s="12" t="str">
        <f>"194.83"</f>
        <v>194.83</v>
      </c>
      <c r="Z169" s="12"/>
      <c r="AA169" s="12" t="str">
        <f>"102.41"</f>
        <v>102.41</v>
      </c>
    </row>
    <row r="170" spans="1:27">
      <c r="A170" s="9">
        <v>168</v>
      </c>
      <c r="B170" s="9">
        <v>2543</v>
      </c>
      <c r="C170" s="9" t="s">
        <v>519</v>
      </c>
      <c r="D170" s="9" t="s">
        <v>208</v>
      </c>
      <c r="E170" s="10" t="str">
        <f>"148.67"</f>
        <v>148.67</v>
      </c>
      <c r="F170" s="11" t="s">
        <v>9</v>
      </c>
      <c r="G170" s="11">
        <v>2017</v>
      </c>
      <c r="H170" s="12" t="str">
        <f>"243.25"</f>
        <v>243.25</v>
      </c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 t="str">
        <f>"120.67"</f>
        <v>120.67</v>
      </c>
      <c r="X170" s="12"/>
      <c r="Y170" s="12"/>
      <c r="Z170" s="12"/>
      <c r="AA170" s="12"/>
    </row>
    <row r="171" spans="1:27">
      <c r="A171" s="9">
        <v>169</v>
      </c>
      <c r="B171" s="9">
        <v>1108</v>
      </c>
      <c r="C171" s="9" t="s">
        <v>300</v>
      </c>
      <c r="D171" s="9" t="s">
        <v>64</v>
      </c>
      <c r="E171" s="10" t="str">
        <f>"148.89"</f>
        <v>148.89</v>
      </c>
      <c r="F171" s="11" t="s">
        <v>9</v>
      </c>
      <c r="G171" s="11">
        <v>2017</v>
      </c>
      <c r="H171" s="12" t="str">
        <f>"97.50"</f>
        <v>97.50</v>
      </c>
      <c r="I171" s="12"/>
      <c r="J171" s="12"/>
      <c r="K171" s="12"/>
      <c r="L171" s="12"/>
      <c r="M171" s="12"/>
      <c r="N171" s="12"/>
      <c r="O171" s="12"/>
      <c r="P171" s="12" t="str">
        <f>"120.89"</f>
        <v>120.89</v>
      </c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</row>
    <row r="172" spans="1:27">
      <c r="A172" s="9">
        <v>170</v>
      </c>
      <c r="B172" s="9">
        <v>134</v>
      </c>
      <c r="C172" s="9" t="s">
        <v>386</v>
      </c>
      <c r="D172" s="9" t="s">
        <v>38</v>
      </c>
      <c r="E172" s="10" t="str">
        <f>"149.49"</f>
        <v>149.49</v>
      </c>
      <c r="F172" s="11" t="s">
        <v>11</v>
      </c>
      <c r="G172" s="11">
        <v>2017</v>
      </c>
      <c r="H172" s="12" t="str">
        <f>"121.49"</f>
        <v>121.49</v>
      </c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>
      <c r="A173" s="9">
        <v>171</v>
      </c>
      <c r="B173" s="9">
        <v>7609</v>
      </c>
      <c r="C173" s="9" t="s">
        <v>307</v>
      </c>
      <c r="D173" s="9" t="s">
        <v>214</v>
      </c>
      <c r="E173" s="10" t="str">
        <f>"150.10"</f>
        <v>150.10</v>
      </c>
      <c r="F173" s="11"/>
      <c r="G173" s="11">
        <v>2017</v>
      </c>
      <c r="H173" s="12" t="str">
        <f>"143.86"</f>
        <v>143.86</v>
      </c>
      <c r="I173" s="12"/>
      <c r="J173" s="12"/>
      <c r="K173" s="12"/>
      <c r="L173" s="12"/>
      <c r="M173" s="12"/>
      <c r="N173" s="12"/>
      <c r="O173" s="12"/>
      <c r="P173" s="12" t="str">
        <f>"127.80"</f>
        <v>127.80</v>
      </c>
      <c r="Q173" s="12"/>
      <c r="R173" s="12"/>
      <c r="S173" s="12"/>
      <c r="T173" s="12"/>
      <c r="U173" s="12" t="str">
        <f>"172.40"</f>
        <v>172.40</v>
      </c>
      <c r="V173" s="12"/>
      <c r="W173" s="12"/>
      <c r="X173" s="12"/>
      <c r="Y173" s="12"/>
      <c r="Z173" s="12"/>
      <c r="AA173" s="12"/>
    </row>
    <row r="174" spans="1:27">
      <c r="A174" s="9">
        <v>172</v>
      </c>
      <c r="B174" s="9">
        <v>10205</v>
      </c>
      <c r="C174" s="9" t="s">
        <v>340</v>
      </c>
      <c r="D174" s="9" t="s">
        <v>10</v>
      </c>
      <c r="E174" s="10" t="str">
        <f>"150.24"</f>
        <v>150.24</v>
      </c>
      <c r="F174" s="11"/>
      <c r="G174" s="11">
        <v>2017</v>
      </c>
      <c r="H174" s="12" t="str">
        <f>"181.57"</f>
        <v>181.57</v>
      </c>
      <c r="I174" s="12"/>
      <c r="J174" s="12" t="str">
        <f>"202.45"</f>
        <v>202.45</v>
      </c>
      <c r="K174" s="12" t="str">
        <f>"231.68"</f>
        <v>231.68</v>
      </c>
      <c r="L174" s="12"/>
      <c r="M174" s="12"/>
      <c r="N174" s="12"/>
      <c r="O174" s="12"/>
      <c r="P174" s="12"/>
      <c r="Q174" s="12"/>
      <c r="R174" s="12"/>
      <c r="S174" s="12"/>
      <c r="T174" s="12" t="str">
        <f>"229.78"</f>
        <v>229.78</v>
      </c>
      <c r="U174" s="12"/>
      <c r="V174" s="12" t="str">
        <f>"152.92"</f>
        <v>152.92</v>
      </c>
      <c r="W174" s="12"/>
      <c r="X174" s="12"/>
      <c r="Y174" s="12"/>
      <c r="Z174" s="12"/>
      <c r="AA174" s="12" t="str">
        <f>"147.55"</f>
        <v>147.55</v>
      </c>
    </row>
    <row r="175" spans="1:27">
      <c r="A175" s="9">
        <v>173</v>
      </c>
      <c r="B175" s="9">
        <v>4407</v>
      </c>
      <c r="C175" s="9" t="s">
        <v>359</v>
      </c>
      <c r="D175" s="9" t="s">
        <v>28</v>
      </c>
      <c r="E175" s="10" t="str">
        <f>"150.26"</f>
        <v>150.26</v>
      </c>
      <c r="F175" s="11"/>
      <c r="G175" s="11">
        <v>2017</v>
      </c>
      <c r="H175" s="12" t="str">
        <f>"141.38"</f>
        <v>141.38</v>
      </c>
      <c r="I175" s="12"/>
      <c r="J175" s="12"/>
      <c r="K175" s="12"/>
      <c r="L175" s="12" t="str">
        <f>"101.08"</f>
        <v>101.08</v>
      </c>
      <c r="M175" s="12"/>
      <c r="N175" s="12"/>
      <c r="O175" s="12"/>
      <c r="P175" s="12"/>
      <c r="Q175" s="12"/>
      <c r="R175" s="12"/>
      <c r="S175" s="12"/>
      <c r="T175" s="12"/>
      <c r="U175" s="12" t="str">
        <f>"288.18"</f>
        <v>288.18</v>
      </c>
      <c r="V175" s="12"/>
      <c r="W175" s="12"/>
      <c r="X175" s="12" t="str">
        <f>"199.44"</f>
        <v>199.44</v>
      </c>
      <c r="Y175" s="12"/>
      <c r="Z175" s="12"/>
      <c r="AA175" s="12"/>
    </row>
    <row r="176" spans="1:27">
      <c r="A176" s="9">
        <v>174</v>
      </c>
      <c r="B176" s="9">
        <v>2480</v>
      </c>
      <c r="C176" s="9" t="s">
        <v>368</v>
      </c>
      <c r="D176" s="9" t="s">
        <v>43</v>
      </c>
      <c r="E176" s="10" t="str">
        <f>"150.49"</f>
        <v>150.49</v>
      </c>
      <c r="F176" s="11" t="s">
        <v>9</v>
      </c>
      <c r="G176" s="11">
        <v>2017</v>
      </c>
      <c r="H176" s="12" t="str">
        <f>"117.60"</f>
        <v>117.60</v>
      </c>
      <c r="I176" s="12"/>
      <c r="J176" s="12"/>
      <c r="K176" s="12" t="str">
        <f>"122.49"</f>
        <v>122.49</v>
      </c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</row>
    <row r="177" spans="1:27">
      <c r="A177" s="9">
        <v>175</v>
      </c>
      <c r="B177" s="9">
        <v>8352</v>
      </c>
      <c r="C177" s="9" t="s">
        <v>523</v>
      </c>
      <c r="D177" s="9" t="s">
        <v>12</v>
      </c>
      <c r="E177" s="10" t="str">
        <f>"150.80"</f>
        <v>150.80</v>
      </c>
      <c r="F177" s="11" t="s">
        <v>9</v>
      </c>
      <c r="G177" s="11">
        <v>2017</v>
      </c>
      <c r="H177" s="12" t="str">
        <f>"121.91"</f>
        <v>121.91</v>
      </c>
      <c r="I177" s="12"/>
      <c r="J177" s="12"/>
      <c r="K177" s="12"/>
      <c r="L177" s="12"/>
      <c r="M177" s="12" t="str">
        <f>"122.80"</f>
        <v>122.80</v>
      </c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</row>
    <row r="178" spans="1:27">
      <c r="A178" s="9">
        <v>176</v>
      </c>
      <c r="B178" s="9">
        <v>5806</v>
      </c>
      <c r="C178" s="9" t="s">
        <v>1202</v>
      </c>
      <c r="D178" s="9" t="s">
        <v>248</v>
      </c>
      <c r="E178" s="10" t="str">
        <f>"151.49"</f>
        <v>151.49</v>
      </c>
      <c r="F178" s="11" t="s">
        <v>11</v>
      </c>
      <c r="G178" s="11">
        <v>2017</v>
      </c>
      <c r="H178" s="12" t="str">
        <f>"123.49"</f>
        <v>123.49</v>
      </c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</row>
    <row r="179" spans="1:27">
      <c r="A179" s="9">
        <v>177</v>
      </c>
      <c r="B179" s="9">
        <v>2573</v>
      </c>
      <c r="C179" s="9" t="s">
        <v>312</v>
      </c>
      <c r="D179" s="9" t="s">
        <v>15</v>
      </c>
      <c r="E179" s="10" t="str">
        <f>"152.32"</f>
        <v>152.32</v>
      </c>
      <c r="F179" s="11" t="s">
        <v>11</v>
      </c>
      <c r="G179" s="11">
        <v>2017</v>
      </c>
      <c r="H179" s="12" t="str">
        <f>"124.32"</f>
        <v>124.32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</row>
    <row r="180" spans="1:27">
      <c r="A180" s="9">
        <v>178</v>
      </c>
      <c r="B180" s="9">
        <v>10136</v>
      </c>
      <c r="C180" s="9" t="s">
        <v>394</v>
      </c>
      <c r="D180" s="9" t="s">
        <v>10</v>
      </c>
      <c r="E180" s="10" t="str">
        <f>"152.80"</f>
        <v>152.80</v>
      </c>
      <c r="F180" s="11"/>
      <c r="G180" s="11">
        <v>2017</v>
      </c>
      <c r="H180" s="12" t="str">
        <f>"288.06"</f>
        <v>288.06</v>
      </c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 t="str">
        <f>"217.09"</f>
        <v>217.09</v>
      </c>
      <c r="T180" s="12"/>
      <c r="U180" s="12"/>
      <c r="V180" s="12"/>
      <c r="W180" s="12"/>
      <c r="X180" s="12"/>
      <c r="Y180" s="12"/>
      <c r="Z180" s="12" t="str">
        <f>"146.42"</f>
        <v>146.42</v>
      </c>
      <c r="AA180" s="12" t="str">
        <f>"159.17"</f>
        <v>159.17</v>
      </c>
    </row>
    <row r="181" spans="1:27">
      <c r="A181" s="9">
        <v>179</v>
      </c>
      <c r="B181" s="9">
        <v>1899</v>
      </c>
      <c r="C181" s="9" t="s">
        <v>198</v>
      </c>
      <c r="D181" s="9" t="s">
        <v>33</v>
      </c>
      <c r="E181" s="10" t="str">
        <f>"154.26"</f>
        <v>154.26</v>
      </c>
      <c r="F181" s="11" t="s">
        <v>9</v>
      </c>
      <c r="G181" s="11">
        <v>2017</v>
      </c>
      <c r="H181" s="12"/>
      <c r="I181" s="12"/>
      <c r="J181" s="12"/>
      <c r="K181" s="12" t="str">
        <f>"126.26"</f>
        <v>126.26</v>
      </c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</row>
    <row r="182" spans="1:27">
      <c r="A182" s="9">
        <v>180</v>
      </c>
      <c r="B182" s="9">
        <v>10382</v>
      </c>
      <c r="C182" s="9" t="s">
        <v>387</v>
      </c>
      <c r="D182" s="9" t="s">
        <v>10</v>
      </c>
      <c r="E182" s="10" t="str">
        <f>"154.63"</f>
        <v>154.63</v>
      </c>
      <c r="F182" s="11"/>
      <c r="G182" s="11">
        <v>2017</v>
      </c>
      <c r="H182" s="12" t="str">
        <f>"136.58"</f>
        <v>136.58</v>
      </c>
      <c r="I182" s="12"/>
      <c r="J182" s="12" t="str">
        <f>"185.45"</f>
        <v>185.45</v>
      </c>
      <c r="K182" s="12"/>
      <c r="L182" s="12"/>
      <c r="M182" s="12"/>
      <c r="N182" s="12"/>
      <c r="O182" s="12"/>
      <c r="P182" s="12"/>
      <c r="Q182" s="12"/>
      <c r="R182" s="12"/>
      <c r="S182" s="12"/>
      <c r="T182" s="12" t="str">
        <f>"197.38"</f>
        <v>197.38</v>
      </c>
      <c r="U182" s="12" t="str">
        <f>"123.81"</f>
        <v>123.81</v>
      </c>
      <c r="V182" s="12"/>
      <c r="W182" s="12"/>
      <c r="X182" s="12"/>
      <c r="Y182" s="12"/>
      <c r="Z182" s="12"/>
      <c r="AA182" s="12"/>
    </row>
    <row r="183" spans="1:27">
      <c r="A183" s="9">
        <v>181</v>
      </c>
      <c r="B183" s="9">
        <v>8628</v>
      </c>
      <c r="C183" s="9" t="s">
        <v>310</v>
      </c>
      <c r="D183" s="9" t="s">
        <v>10</v>
      </c>
      <c r="E183" s="10" t="str">
        <f>"156.14"</f>
        <v>156.14</v>
      </c>
      <c r="F183" s="11" t="s">
        <v>9</v>
      </c>
      <c r="G183" s="11">
        <v>2017</v>
      </c>
      <c r="H183" s="12" t="str">
        <f>"134.23"</f>
        <v>134.23</v>
      </c>
      <c r="I183" s="12"/>
      <c r="J183" s="12" t="str">
        <f>"128.14"</f>
        <v>128.14</v>
      </c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>
      <c r="A184" s="9">
        <v>182</v>
      </c>
      <c r="B184" s="9">
        <v>3261</v>
      </c>
      <c r="C184" s="9" t="s">
        <v>344</v>
      </c>
      <c r="D184" s="9" t="s">
        <v>105</v>
      </c>
      <c r="E184" s="10" t="str">
        <f>"156.55"</f>
        <v>156.55</v>
      </c>
      <c r="F184" s="11"/>
      <c r="G184" s="11">
        <v>2017</v>
      </c>
      <c r="H184" s="12" t="str">
        <f>"102.91"</f>
        <v>102.91</v>
      </c>
      <c r="I184" s="12"/>
      <c r="J184" s="12"/>
      <c r="K184" s="12"/>
      <c r="L184" s="12" t="str">
        <f>"153.96"</f>
        <v>153.96</v>
      </c>
      <c r="M184" s="12"/>
      <c r="N184" s="12"/>
      <c r="O184" s="12"/>
      <c r="P184" s="12"/>
      <c r="Q184" s="12" t="str">
        <f>"159.13"</f>
        <v>159.13</v>
      </c>
      <c r="R184" s="12"/>
      <c r="S184" s="12"/>
      <c r="T184" s="12"/>
      <c r="U184" s="12"/>
      <c r="V184" s="12"/>
      <c r="W184" s="12"/>
      <c r="X184" s="12"/>
      <c r="Y184" s="12"/>
      <c r="Z184" s="12"/>
      <c r="AA184" s="12"/>
    </row>
    <row r="185" spans="1:27">
      <c r="A185" s="9">
        <v>183</v>
      </c>
      <c r="B185" s="9">
        <v>2276</v>
      </c>
      <c r="C185" s="9" t="s">
        <v>573</v>
      </c>
      <c r="D185" s="9" t="s">
        <v>64</v>
      </c>
      <c r="E185" s="10" t="str">
        <f>"156.63"</f>
        <v>156.63</v>
      </c>
      <c r="F185" s="11" t="s">
        <v>9</v>
      </c>
      <c r="G185" s="11">
        <v>2017</v>
      </c>
      <c r="H185" s="12" t="str">
        <f>"107.48"</f>
        <v>107.48</v>
      </c>
      <c r="I185" s="12"/>
      <c r="J185" s="12"/>
      <c r="K185" s="12"/>
      <c r="L185" s="12"/>
      <c r="M185" s="12"/>
      <c r="N185" s="12"/>
      <c r="O185" s="12"/>
      <c r="P185" s="12"/>
      <c r="Q185" s="12" t="str">
        <f>"128.63"</f>
        <v>128.63</v>
      </c>
      <c r="R185" s="12"/>
      <c r="S185" s="12"/>
      <c r="T185" s="12"/>
      <c r="U185" s="12"/>
      <c r="V185" s="12"/>
      <c r="W185" s="12"/>
      <c r="X185" s="12"/>
      <c r="Y185" s="12"/>
      <c r="Z185" s="12"/>
      <c r="AA185" s="12"/>
    </row>
    <row r="186" spans="1:27">
      <c r="A186" s="9">
        <v>184</v>
      </c>
      <c r="B186" s="9">
        <v>6312</v>
      </c>
      <c r="C186" s="9" t="s">
        <v>421</v>
      </c>
      <c r="D186" s="9" t="s">
        <v>17</v>
      </c>
      <c r="E186" s="10" t="str">
        <f>"156.96"</f>
        <v>156.96</v>
      </c>
      <c r="F186" s="11"/>
      <c r="G186" s="11">
        <v>2017</v>
      </c>
      <c r="H186" s="12" t="str">
        <f>"137.36"</f>
        <v>137.36</v>
      </c>
      <c r="I186" s="12"/>
      <c r="J186" s="12"/>
      <c r="K186" s="12"/>
      <c r="L186" s="12" t="str">
        <f>"206.77"</f>
        <v>206.77</v>
      </c>
      <c r="M186" s="12"/>
      <c r="N186" s="12"/>
      <c r="O186" s="12"/>
      <c r="P186" s="12"/>
      <c r="Q186" s="12" t="str">
        <f>"177.63"</f>
        <v>177.63</v>
      </c>
      <c r="R186" s="12"/>
      <c r="S186" s="12"/>
      <c r="T186" s="12"/>
      <c r="U186" s="12"/>
      <c r="V186" s="12"/>
      <c r="W186" s="12" t="str">
        <f>"136.28"</f>
        <v>136.28</v>
      </c>
      <c r="X186" s="12"/>
      <c r="Y186" s="12"/>
      <c r="Z186" s="12"/>
      <c r="AA186" s="12"/>
    </row>
    <row r="187" spans="1:27">
      <c r="A187" s="9">
        <v>185</v>
      </c>
      <c r="B187" s="9">
        <v>10332</v>
      </c>
      <c r="C187" s="9" t="s">
        <v>378</v>
      </c>
      <c r="D187" s="9" t="s">
        <v>12</v>
      </c>
      <c r="E187" s="10" t="str">
        <f>"157.94"</f>
        <v>157.94</v>
      </c>
      <c r="F187" s="11" t="s">
        <v>9</v>
      </c>
      <c r="G187" s="11">
        <v>2017</v>
      </c>
      <c r="H187" s="12" t="str">
        <f>"129.03"</f>
        <v>129.03</v>
      </c>
      <c r="I187" s="12"/>
      <c r="J187" s="12"/>
      <c r="K187" s="12"/>
      <c r="L187" s="12"/>
      <c r="M187" s="12" t="str">
        <f>"129.94"</f>
        <v>129.94</v>
      </c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</row>
    <row r="188" spans="1:27">
      <c r="A188" s="9">
        <v>186</v>
      </c>
      <c r="B188" s="9">
        <v>8632</v>
      </c>
      <c r="C188" s="9" t="s">
        <v>476</v>
      </c>
      <c r="D188" s="9" t="s">
        <v>10</v>
      </c>
      <c r="E188" s="10" t="str">
        <f>"157.97"</f>
        <v>157.97</v>
      </c>
      <c r="F188" s="11" t="s">
        <v>11</v>
      </c>
      <c r="G188" s="11">
        <v>2017</v>
      </c>
      <c r="H188" s="12" t="str">
        <f>"129.97"</f>
        <v>129.97</v>
      </c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</row>
    <row r="189" spans="1:27">
      <c r="A189" s="9">
        <v>187</v>
      </c>
      <c r="B189" s="9">
        <v>1247</v>
      </c>
      <c r="C189" s="9" t="s">
        <v>413</v>
      </c>
      <c r="D189" s="9" t="s">
        <v>55</v>
      </c>
      <c r="E189" s="10" t="str">
        <f>"157.97"</f>
        <v>157.97</v>
      </c>
      <c r="F189" s="11" t="s">
        <v>11</v>
      </c>
      <c r="G189" s="11">
        <v>2017</v>
      </c>
      <c r="H189" s="12" t="str">
        <f>"129.97"</f>
        <v>129.97</v>
      </c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</row>
    <row r="190" spans="1:27">
      <c r="A190" s="9">
        <v>188</v>
      </c>
      <c r="B190" s="9">
        <v>10334</v>
      </c>
      <c r="C190" s="9" t="s">
        <v>209</v>
      </c>
      <c r="D190" s="9" t="s">
        <v>19</v>
      </c>
      <c r="E190" s="10" t="str">
        <f>"158.36"</f>
        <v>158.36</v>
      </c>
      <c r="F190" s="11" t="s">
        <v>9</v>
      </c>
      <c r="G190" s="11">
        <v>2017</v>
      </c>
      <c r="H190" s="12" t="str">
        <f>"165.71"</f>
        <v>165.71</v>
      </c>
      <c r="I190" s="12"/>
      <c r="J190" s="12"/>
      <c r="K190" s="12"/>
      <c r="L190" s="12"/>
      <c r="M190" s="12"/>
      <c r="N190" s="12"/>
      <c r="O190" s="12"/>
      <c r="P190" s="12"/>
      <c r="Q190" s="12"/>
      <c r="R190" s="12" t="str">
        <f>"130.36"</f>
        <v>130.36</v>
      </c>
      <c r="S190" s="12"/>
      <c r="T190" s="12"/>
      <c r="U190" s="12"/>
      <c r="V190" s="12"/>
      <c r="W190" s="12"/>
      <c r="X190" s="12"/>
      <c r="Y190" s="12"/>
      <c r="Z190" s="12"/>
      <c r="AA190" s="12"/>
    </row>
    <row r="191" spans="1:27">
      <c r="A191" s="9">
        <v>189</v>
      </c>
      <c r="B191" s="9">
        <v>1426</v>
      </c>
      <c r="C191" s="9" t="s">
        <v>698</v>
      </c>
      <c r="D191" s="9" t="s">
        <v>72</v>
      </c>
      <c r="E191" s="10" t="str">
        <f>"158.93"</f>
        <v>158.93</v>
      </c>
      <c r="F191" s="11" t="s">
        <v>9</v>
      </c>
      <c r="G191" s="11">
        <v>2017</v>
      </c>
      <c r="H191" s="12" t="str">
        <f>"140.33"</f>
        <v>140.33</v>
      </c>
      <c r="I191" s="12"/>
      <c r="J191" s="12"/>
      <c r="K191" s="12"/>
      <c r="L191" s="12" t="str">
        <f>"130.93"</f>
        <v>130.93</v>
      </c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>
      <c r="A192" s="9">
        <v>190</v>
      </c>
      <c r="B192" s="9">
        <v>11362</v>
      </c>
      <c r="C192" s="9" t="s">
        <v>391</v>
      </c>
      <c r="D192" s="9" t="s">
        <v>78</v>
      </c>
      <c r="E192" s="10" t="str">
        <f>"159.40"</f>
        <v>159.40</v>
      </c>
      <c r="F192" s="11" t="s">
        <v>9</v>
      </c>
      <c r="G192" s="11">
        <v>2017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 t="str">
        <f>"131.40"</f>
        <v>131.40</v>
      </c>
      <c r="V192" s="12"/>
      <c r="W192" s="12"/>
      <c r="X192" s="12"/>
      <c r="Y192" s="12"/>
      <c r="Z192" s="12"/>
      <c r="AA192" s="12"/>
    </row>
    <row r="193" spans="1:27">
      <c r="A193" s="9">
        <v>191</v>
      </c>
      <c r="B193" s="9">
        <v>10677</v>
      </c>
      <c r="C193" s="9" t="s">
        <v>353</v>
      </c>
      <c r="D193" s="9" t="s">
        <v>8</v>
      </c>
      <c r="E193" s="10" t="str">
        <f>"159.44"</f>
        <v>159.44</v>
      </c>
      <c r="F193" s="11"/>
      <c r="G193" s="11">
        <v>2017</v>
      </c>
      <c r="H193" s="12" t="str">
        <f>"333.73"</f>
        <v>333.73</v>
      </c>
      <c r="I193" s="12"/>
      <c r="J193" s="12"/>
      <c r="K193" s="12" t="str">
        <f>"186.97"</f>
        <v>186.97</v>
      </c>
      <c r="L193" s="12"/>
      <c r="M193" s="12"/>
      <c r="N193" s="12"/>
      <c r="O193" s="12"/>
      <c r="P193" s="12"/>
      <c r="Q193" s="12"/>
      <c r="R193" s="12"/>
      <c r="S193" s="12"/>
      <c r="T193" s="12"/>
      <c r="U193" s="12" t="str">
        <f>"195.26"</f>
        <v>195.26</v>
      </c>
      <c r="V193" s="12" t="str">
        <f>"131.91"</f>
        <v>131.91</v>
      </c>
      <c r="W193" s="12"/>
      <c r="X193" s="12"/>
      <c r="Y193" s="12"/>
      <c r="Z193" s="12"/>
      <c r="AA193" s="12"/>
    </row>
    <row r="194" spans="1:27">
      <c r="A194" s="9">
        <v>192</v>
      </c>
      <c r="B194" s="9">
        <v>7883</v>
      </c>
      <c r="C194" s="9" t="s">
        <v>158</v>
      </c>
      <c r="D194" s="9" t="s">
        <v>14</v>
      </c>
      <c r="E194" s="10" t="str">
        <f>"159.45"</f>
        <v>159.45</v>
      </c>
      <c r="F194" s="11" t="s">
        <v>9</v>
      </c>
      <c r="G194" s="11">
        <v>2017</v>
      </c>
      <c r="H194" s="12" t="str">
        <f>"168.48"</f>
        <v>168.48</v>
      </c>
      <c r="I194" s="12"/>
      <c r="J194" s="12"/>
      <c r="K194" s="12" t="str">
        <f>"131.45"</f>
        <v>131.45</v>
      </c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</row>
    <row r="195" spans="1:27">
      <c r="A195" s="9">
        <v>193</v>
      </c>
      <c r="B195" s="9">
        <v>6131</v>
      </c>
      <c r="C195" s="9" t="s">
        <v>245</v>
      </c>
      <c r="D195" s="9" t="s">
        <v>19</v>
      </c>
      <c r="E195" s="10" t="str">
        <f>"160.05"</f>
        <v>160.05</v>
      </c>
      <c r="F195" s="11"/>
      <c r="G195" s="11">
        <v>2017</v>
      </c>
      <c r="H195" s="12" t="str">
        <f>"199.46"</f>
        <v>199.46</v>
      </c>
      <c r="I195" s="12"/>
      <c r="J195" s="12"/>
      <c r="K195" s="12"/>
      <c r="L195" s="12"/>
      <c r="M195" s="12"/>
      <c r="N195" s="12"/>
      <c r="O195" s="12"/>
      <c r="P195" s="12"/>
      <c r="Q195" s="12"/>
      <c r="R195" s="12" t="str">
        <f>"219.00"</f>
        <v>219.00</v>
      </c>
      <c r="S195" s="12"/>
      <c r="T195" s="12"/>
      <c r="U195" s="12"/>
      <c r="V195" s="12"/>
      <c r="W195" s="12"/>
      <c r="X195" s="12" t="str">
        <f>"101.09"</f>
        <v>101.09</v>
      </c>
      <c r="Y195" s="12"/>
      <c r="Z195" s="12"/>
      <c r="AA195" s="12"/>
    </row>
    <row r="196" spans="1:27">
      <c r="A196" s="9">
        <v>194</v>
      </c>
      <c r="B196" s="9">
        <v>4454</v>
      </c>
      <c r="C196" s="9" t="s">
        <v>157</v>
      </c>
      <c r="D196" s="9" t="s">
        <v>14</v>
      </c>
      <c r="E196" s="10" t="str">
        <f>"160.51"</f>
        <v>160.51</v>
      </c>
      <c r="F196" s="11" t="s">
        <v>9</v>
      </c>
      <c r="G196" s="11">
        <v>2017</v>
      </c>
      <c r="H196" s="12" t="str">
        <f>"109.93"</f>
        <v>109.93</v>
      </c>
      <c r="I196" s="12"/>
      <c r="J196" s="12"/>
      <c r="K196" s="12" t="str">
        <f>"132.51"</f>
        <v>132.51</v>
      </c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</row>
    <row r="197" spans="1:27">
      <c r="A197" s="9">
        <v>195</v>
      </c>
      <c r="B197" s="9">
        <v>4226</v>
      </c>
      <c r="C197" s="9" t="s">
        <v>1179</v>
      </c>
      <c r="D197" s="9" t="s">
        <v>71</v>
      </c>
      <c r="E197" s="10" t="str">
        <f>"161.13"</f>
        <v>161.13</v>
      </c>
      <c r="F197" s="11" t="s">
        <v>11</v>
      </c>
      <c r="G197" s="11">
        <v>2017</v>
      </c>
      <c r="H197" s="12" t="str">
        <f>"133.13"</f>
        <v>133.13</v>
      </c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</row>
    <row r="198" spans="1:27">
      <c r="A198" s="9">
        <v>196</v>
      </c>
      <c r="B198" s="9">
        <v>8438</v>
      </c>
      <c r="C198" s="9" t="s">
        <v>294</v>
      </c>
      <c r="D198" s="9" t="s">
        <v>49</v>
      </c>
      <c r="E198" s="10" t="str">
        <f>"161.27"</f>
        <v>161.27</v>
      </c>
      <c r="F198" s="11"/>
      <c r="G198" s="11">
        <v>2017</v>
      </c>
      <c r="H198" s="12" t="str">
        <f>"140.23"</f>
        <v>140.23</v>
      </c>
      <c r="I198" s="12"/>
      <c r="J198" s="12"/>
      <c r="K198" s="12" t="str">
        <f>"202.18"</f>
        <v>202.18</v>
      </c>
      <c r="L198" s="12"/>
      <c r="M198" s="12"/>
      <c r="N198" s="12"/>
      <c r="O198" s="12"/>
      <c r="P198" s="12"/>
      <c r="Q198" s="12"/>
      <c r="R198" s="12"/>
      <c r="S198" s="12"/>
      <c r="T198" s="12"/>
      <c r="U198" s="12" t="str">
        <f>"137.97"</f>
        <v>137.97</v>
      </c>
      <c r="V198" s="12" t="str">
        <f>"184.56"</f>
        <v>184.56</v>
      </c>
      <c r="W198" s="12"/>
      <c r="X198" s="12"/>
      <c r="Y198" s="12"/>
      <c r="Z198" s="12"/>
      <c r="AA198" s="12"/>
    </row>
    <row r="199" spans="1:27">
      <c r="A199" s="9">
        <v>197</v>
      </c>
      <c r="B199" s="9">
        <v>6867</v>
      </c>
      <c r="C199" s="9" t="s">
        <v>142</v>
      </c>
      <c r="D199" s="9" t="s">
        <v>12</v>
      </c>
      <c r="E199" s="10" t="str">
        <f>"161.73"</f>
        <v>161.73</v>
      </c>
      <c r="F199" s="11" t="s">
        <v>11</v>
      </c>
      <c r="G199" s="11">
        <v>2017</v>
      </c>
      <c r="H199" s="12" t="str">
        <f>"133.73"</f>
        <v>133.73</v>
      </c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</row>
    <row r="200" spans="1:27">
      <c r="A200" s="9">
        <v>198</v>
      </c>
      <c r="B200" s="9">
        <v>8709</v>
      </c>
      <c r="C200" s="9" t="s">
        <v>633</v>
      </c>
      <c r="D200" s="9" t="s">
        <v>33</v>
      </c>
      <c r="E200" s="10" t="str">
        <f>"162.81"</f>
        <v>162.81</v>
      </c>
      <c r="F200" s="11" t="s">
        <v>11</v>
      </c>
      <c r="G200" s="11">
        <v>2017</v>
      </c>
      <c r="H200" s="12" t="str">
        <f>"134.81"</f>
        <v>134.81</v>
      </c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</row>
    <row r="201" spans="1:27">
      <c r="A201" s="9">
        <v>199</v>
      </c>
      <c r="B201" s="9">
        <v>2989</v>
      </c>
      <c r="C201" s="9" t="s">
        <v>363</v>
      </c>
      <c r="D201" s="9" t="s">
        <v>46</v>
      </c>
      <c r="E201" s="10" t="str">
        <f>"163.38"</f>
        <v>163.38</v>
      </c>
      <c r="F201" s="11" t="s">
        <v>9</v>
      </c>
      <c r="G201" s="11">
        <v>2017</v>
      </c>
      <c r="H201" s="12" t="str">
        <f>"112.19"</f>
        <v>112.19</v>
      </c>
      <c r="I201" s="12"/>
      <c r="J201" s="12"/>
      <c r="K201" s="12"/>
      <c r="L201" s="12" t="str">
        <f>"135.38"</f>
        <v>135.38</v>
      </c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</row>
    <row r="202" spans="1:27">
      <c r="A202" s="9">
        <v>200</v>
      </c>
      <c r="B202" s="9">
        <v>10005</v>
      </c>
      <c r="C202" s="9" t="s">
        <v>599</v>
      </c>
      <c r="D202" s="9" t="s">
        <v>57</v>
      </c>
      <c r="E202" s="10" t="str">
        <f>"163.82"</f>
        <v>163.82</v>
      </c>
      <c r="F202" s="11" t="s">
        <v>11</v>
      </c>
      <c r="G202" s="11">
        <v>2017</v>
      </c>
      <c r="H202" s="12" t="str">
        <f>"135.82"</f>
        <v>135.82</v>
      </c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</row>
    <row r="203" spans="1:27">
      <c r="A203" s="9">
        <v>201</v>
      </c>
      <c r="B203" s="9">
        <v>6847</v>
      </c>
      <c r="C203" s="9" t="s">
        <v>273</v>
      </c>
      <c r="D203" s="9" t="s">
        <v>10</v>
      </c>
      <c r="E203" s="10" t="str">
        <f>"164.22"</f>
        <v>164.22</v>
      </c>
      <c r="F203" s="11"/>
      <c r="G203" s="11">
        <v>2017</v>
      </c>
      <c r="H203" s="12" t="str">
        <f>"354.16"</f>
        <v>354.16</v>
      </c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 t="str">
        <f>"158.88"</f>
        <v>158.88</v>
      </c>
      <c r="T203" s="12" t="str">
        <f>"169.55"</f>
        <v>169.55</v>
      </c>
      <c r="U203" s="12"/>
      <c r="V203" s="12"/>
      <c r="W203" s="12"/>
      <c r="X203" s="12"/>
      <c r="Y203" s="12"/>
      <c r="Z203" s="12"/>
      <c r="AA203" s="12"/>
    </row>
    <row r="204" spans="1:27">
      <c r="A204" s="9">
        <v>202</v>
      </c>
      <c r="B204" s="9">
        <v>7050</v>
      </c>
      <c r="C204" s="9" t="s">
        <v>192</v>
      </c>
      <c r="D204" s="9" t="s">
        <v>89</v>
      </c>
      <c r="E204" s="10" t="str">
        <f>"164.31"</f>
        <v>164.31</v>
      </c>
      <c r="F204" s="11" t="s">
        <v>9</v>
      </c>
      <c r="G204" s="11">
        <v>2017</v>
      </c>
      <c r="H204" s="12" t="str">
        <f>"163.83"</f>
        <v>163.83</v>
      </c>
      <c r="I204" s="12"/>
      <c r="J204" s="12"/>
      <c r="K204" s="12"/>
      <c r="L204" s="12"/>
      <c r="M204" s="12"/>
      <c r="N204" s="12"/>
      <c r="O204" s="12"/>
      <c r="P204" s="12" t="str">
        <f>"136.31"</f>
        <v>136.31</v>
      </c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</row>
    <row r="205" spans="1:27">
      <c r="A205" s="9">
        <v>203</v>
      </c>
      <c r="B205" s="9">
        <v>1487</v>
      </c>
      <c r="C205" s="9" t="s">
        <v>503</v>
      </c>
      <c r="D205" s="9" t="s">
        <v>504</v>
      </c>
      <c r="E205" s="10" t="str">
        <f>"164.75"</f>
        <v>164.75</v>
      </c>
      <c r="F205" s="11" t="s">
        <v>9</v>
      </c>
      <c r="G205" s="11">
        <v>2017</v>
      </c>
      <c r="H205" s="12" t="str">
        <f>"128.85"</f>
        <v>128.85</v>
      </c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 t="str">
        <f>"136.75"</f>
        <v>136.75</v>
      </c>
      <c r="Y205" s="12"/>
      <c r="Z205" s="12"/>
      <c r="AA205" s="12"/>
    </row>
    <row r="206" spans="1:27">
      <c r="A206" s="9">
        <v>204</v>
      </c>
      <c r="B206" s="9">
        <v>10297</v>
      </c>
      <c r="C206" s="9" t="s">
        <v>527</v>
      </c>
      <c r="D206" s="9" t="s">
        <v>12</v>
      </c>
      <c r="E206" s="10" t="str">
        <f>"165.16"</f>
        <v>165.16</v>
      </c>
      <c r="F206" s="11" t="s">
        <v>9</v>
      </c>
      <c r="G206" s="11">
        <v>2017</v>
      </c>
      <c r="H206" s="12" t="str">
        <f>"200.88"</f>
        <v>200.88</v>
      </c>
      <c r="I206" s="12"/>
      <c r="J206" s="12"/>
      <c r="K206" s="12"/>
      <c r="L206" s="12"/>
      <c r="M206" s="12" t="str">
        <f>"137.16"</f>
        <v>137.16</v>
      </c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</row>
    <row r="207" spans="1:27">
      <c r="A207" s="9">
        <v>205</v>
      </c>
      <c r="B207" s="9">
        <v>10278</v>
      </c>
      <c r="C207" s="9" t="s">
        <v>267</v>
      </c>
      <c r="D207" s="9" t="s">
        <v>12</v>
      </c>
      <c r="E207" s="10" t="str">
        <f>"166.78"</f>
        <v>166.78</v>
      </c>
      <c r="F207" s="11" t="s">
        <v>9</v>
      </c>
      <c r="G207" s="11">
        <v>2017</v>
      </c>
      <c r="H207" s="12" t="str">
        <f>"151.64"</f>
        <v>151.64</v>
      </c>
      <c r="I207" s="12"/>
      <c r="J207" s="12"/>
      <c r="K207" s="12"/>
      <c r="L207" s="12"/>
      <c r="M207" s="12"/>
      <c r="N207" s="12"/>
      <c r="O207" s="12"/>
      <c r="P207" s="12" t="str">
        <f>"138.78"</f>
        <v>138.78</v>
      </c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</row>
    <row r="208" spans="1:27">
      <c r="A208" s="9">
        <v>206</v>
      </c>
      <c r="B208" s="9">
        <v>7806</v>
      </c>
      <c r="C208" s="9" t="s">
        <v>262</v>
      </c>
      <c r="D208" s="9" t="s">
        <v>214</v>
      </c>
      <c r="E208" s="10" t="str">
        <f>"166.87"</f>
        <v>166.87</v>
      </c>
      <c r="F208" s="11" t="s">
        <v>11</v>
      </c>
      <c r="G208" s="11">
        <v>2017</v>
      </c>
      <c r="H208" s="12" t="str">
        <f>"138.87"</f>
        <v>138.87</v>
      </c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</row>
    <row r="209" spans="1:27">
      <c r="A209" s="9">
        <v>207</v>
      </c>
      <c r="B209" s="9">
        <v>10277</v>
      </c>
      <c r="C209" s="9" t="s">
        <v>287</v>
      </c>
      <c r="D209" s="9" t="s">
        <v>12</v>
      </c>
      <c r="E209" s="10" t="str">
        <f>"167.15"</f>
        <v>167.15</v>
      </c>
      <c r="F209" s="11" t="s">
        <v>9</v>
      </c>
      <c r="G209" s="11">
        <v>2017</v>
      </c>
      <c r="H209" s="12" t="str">
        <f>"164.88"</f>
        <v>164.88</v>
      </c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 t="str">
        <f>"139.15"</f>
        <v>139.15</v>
      </c>
      <c r="V209" s="12"/>
      <c r="W209" s="12"/>
      <c r="X209" s="12"/>
      <c r="Y209" s="12"/>
      <c r="Z209" s="12"/>
      <c r="AA209" s="12"/>
    </row>
    <row r="210" spans="1:27">
      <c r="A210" s="9">
        <v>208</v>
      </c>
      <c r="B210" s="9">
        <v>5487</v>
      </c>
      <c r="C210" s="9" t="s">
        <v>288</v>
      </c>
      <c r="D210" s="9" t="s">
        <v>19</v>
      </c>
      <c r="E210" s="10" t="str">
        <f>"168.63"</f>
        <v>168.63</v>
      </c>
      <c r="F210" s="11"/>
      <c r="G210" s="11">
        <v>2017</v>
      </c>
      <c r="H210" s="12" t="str">
        <f>"318.09"</f>
        <v>318.09</v>
      </c>
      <c r="I210" s="12"/>
      <c r="J210" s="12"/>
      <c r="K210" s="12" t="str">
        <f>"173.03"</f>
        <v>173.03</v>
      </c>
      <c r="L210" s="12"/>
      <c r="M210" s="12"/>
      <c r="N210" s="12" t="str">
        <f>"181.58"</f>
        <v>181.58</v>
      </c>
      <c r="O210" s="12" t="str">
        <f>"199.00"</f>
        <v>199.00</v>
      </c>
      <c r="P210" s="12"/>
      <c r="Q210" s="12"/>
      <c r="R210" s="12" t="str">
        <f>"272.90"</f>
        <v>272.90</v>
      </c>
      <c r="S210" s="12"/>
      <c r="T210" s="12"/>
      <c r="U210" s="12" t="str">
        <f>"164.22"</f>
        <v>164.22</v>
      </c>
      <c r="V210" s="12"/>
      <c r="W210" s="12"/>
      <c r="X210" s="12"/>
      <c r="Y210" s="12"/>
      <c r="Z210" s="12"/>
      <c r="AA210" s="12"/>
    </row>
    <row r="211" spans="1:27">
      <c r="A211" s="9">
        <v>209</v>
      </c>
      <c r="B211" s="9">
        <v>10690</v>
      </c>
      <c r="C211" s="9" t="s">
        <v>457</v>
      </c>
      <c r="D211" s="9" t="s">
        <v>14</v>
      </c>
      <c r="E211" s="10" t="str">
        <f>"169.06"</f>
        <v>169.06</v>
      </c>
      <c r="F211" s="11" t="s">
        <v>11</v>
      </c>
      <c r="G211" s="11">
        <v>2017</v>
      </c>
      <c r="H211" s="12" t="str">
        <f>"141.06"</f>
        <v>141.06</v>
      </c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>
      <c r="A212" s="9">
        <v>210</v>
      </c>
      <c r="B212" s="9">
        <v>2408</v>
      </c>
      <c r="C212" s="9" t="s">
        <v>337</v>
      </c>
      <c r="D212" s="9" t="s">
        <v>10</v>
      </c>
      <c r="E212" s="10" t="str">
        <f>"170.99"</f>
        <v>170.99</v>
      </c>
      <c r="F212" s="11" t="s">
        <v>9</v>
      </c>
      <c r="G212" s="11">
        <v>2017</v>
      </c>
      <c r="H212" s="12" t="str">
        <f>"123.12"</f>
        <v>123.12</v>
      </c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 t="str">
        <f>"142.99"</f>
        <v>142.99</v>
      </c>
    </row>
    <row r="213" spans="1:27">
      <c r="A213" s="9">
        <v>211</v>
      </c>
      <c r="B213" s="9">
        <v>3908</v>
      </c>
      <c r="C213" s="9" t="s">
        <v>379</v>
      </c>
      <c r="D213" s="9" t="s">
        <v>95</v>
      </c>
      <c r="E213" s="10" t="str">
        <f>"171.03"</f>
        <v>171.03</v>
      </c>
      <c r="F213" s="11"/>
      <c r="G213" s="11">
        <v>2017</v>
      </c>
      <c r="H213" s="12" t="str">
        <f>"154.98"</f>
        <v>154.98</v>
      </c>
      <c r="I213" s="12"/>
      <c r="J213" s="12"/>
      <c r="K213" s="12"/>
      <c r="L213" s="12"/>
      <c r="M213" s="12"/>
      <c r="N213" s="12"/>
      <c r="O213" s="12"/>
      <c r="P213" s="12" t="str">
        <f>"166.71"</f>
        <v>166.71</v>
      </c>
      <c r="Q213" s="12"/>
      <c r="R213" s="12"/>
      <c r="S213" s="12"/>
      <c r="T213" s="12"/>
      <c r="U213" s="12" t="str">
        <f>"175.35"</f>
        <v>175.35</v>
      </c>
      <c r="V213" s="12"/>
      <c r="W213" s="12"/>
      <c r="X213" s="12"/>
      <c r="Y213" s="12"/>
      <c r="Z213" s="12"/>
      <c r="AA213" s="12"/>
    </row>
    <row r="214" spans="1:27">
      <c r="A214" s="9">
        <v>212</v>
      </c>
      <c r="B214" s="9">
        <v>3987</v>
      </c>
      <c r="C214" s="9" t="s">
        <v>226</v>
      </c>
      <c r="D214" s="9" t="s">
        <v>24</v>
      </c>
      <c r="E214" s="10" t="str">
        <f>"171.47"</f>
        <v>171.47</v>
      </c>
      <c r="F214" s="11"/>
      <c r="G214" s="11">
        <v>2017</v>
      </c>
      <c r="H214" s="12" t="str">
        <f>"154.37"</f>
        <v>154.37</v>
      </c>
      <c r="I214" s="12"/>
      <c r="J214" s="12"/>
      <c r="K214" s="12" t="str">
        <f>"151.07"</f>
        <v>151.07</v>
      </c>
      <c r="L214" s="12"/>
      <c r="M214" s="12"/>
      <c r="N214" s="12"/>
      <c r="O214" s="12"/>
      <c r="P214" s="12"/>
      <c r="Q214" s="12"/>
      <c r="R214" s="12"/>
      <c r="S214" s="12"/>
      <c r="T214" s="12"/>
      <c r="U214" s="12" t="str">
        <f>"191.87"</f>
        <v>191.87</v>
      </c>
      <c r="V214" s="12"/>
      <c r="W214" s="12"/>
      <c r="X214" s="12"/>
      <c r="Y214" s="12"/>
      <c r="Z214" s="12"/>
      <c r="AA214" s="12"/>
    </row>
    <row r="215" spans="1:27">
      <c r="A215" s="9">
        <v>213</v>
      </c>
      <c r="B215" s="9">
        <v>6324</v>
      </c>
      <c r="C215" s="9" t="s">
        <v>1171</v>
      </c>
      <c r="D215" s="9" t="s">
        <v>46</v>
      </c>
      <c r="E215" s="10" t="str">
        <f>"171.88"</f>
        <v>171.88</v>
      </c>
      <c r="F215" s="11" t="s">
        <v>11</v>
      </c>
      <c r="G215" s="11">
        <v>2017</v>
      </c>
      <c r="H215" s="12" t="str">
        <f>"143.88"</f>
        <v>143.88</v>
      </c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>
      <c r="A216" s="9">
        <v>214</v>
      </c>
      <c r="B216" s="9">
        <v>1836</v>
      </c>
      <c r="C216" s="9" t="s">
        <v>440</v>
      </c>
      <c r="D216" s="9" t="s">
        <v>27</v>
      </c>
      <c r="E216" s="10" t="str">
        <f>"172.60"</f>
        <v>172.60</v>
      </c>
      <c r="F216" s="11" t="s">
        <v>9</v>
      </c>
      <c r="G216" s="11">
        <v>2017</v>
      </c>
      <c r="H216" s="12" t="str">
        <f>"107.74"</f>
        <v>107.74</v>
      </c>
      <c r="I216" s="12"/>
      <c r="J216" s="12"/>
      <c r="K216" s="12"/>
      <c r="L216" s="12" t="str">
        <f>"144.60"</f>
        <v>144.60</v>
      </c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>
      <c r="A217" s="9">
        <v>215</v>
      </c>
      <c r="B217" s="9">
        <v>742</v>
      </c>
      <c r="C217" s="9" t="s">
        <v>412</v>
      </c>
      <c r="D217" s="9" t="s">
        <v>14</v>
      </c>
      <c r="E217" s="10" t="str">
        <f>"173.23"</f>
        <v>173.23</v>
      </c>
      <c r="F217" s="11" t="s">
        <v>9</v>
      </c>
      <c r="G217" s="11">
        <v>2017</v>
      </c>
      <c r="H217" s="12" t="str">
        <f>"170.42"</f>
        <v>170.42</v>
      </c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 t="str">
        <f>"145.23"</f>
        <v>145.23</v>
      </c>
      <c r="X217" s="12"/>
      <c r="Y217" s="12"/>
      <c r="Z217" s="12"/>
      <c r="AA217" s="12"/>
    </row>
    <row r="218" spans="1:27">
      <c r="A218" s="9">
        <v>216</v>
      </c>
      <c r="B218" s="9">
        <v>4366</v>
      </c>
      <c r="C218" s="9" t="s">
        <v>481</v>
      </c>
      <c r="D218" s="9" t="s">
        <v>42</v>
      </c>
      <c r="E218" s="10" t="str">
        <f>"173.91"</f>
        <v>173.91</v>
      </c>
      <c r="F218" s="11" t="s">
        <v>11</v>
      </c>
      <c r="G218" s="11">
        <v>2017</v>
      </c>
      <c r="H218" s="12" t="str">
        <f>"145.91"</f>
        <v>145.91</v>
      </c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>
      <c r="A219" s="9">
        <v>217</v>
      </c>
      <c r="B219" s="9">
        <v>10988</v>
      </c>
      <c r="C219" s="9" t="s">
        <v>375</v>
      </c>
      <c r="D219" s="9" t="s">
        <v>68</v>
      </c>
      <c r="E219" s="10" t="str">
        <f>"174.03"</f>
        <v>174.03</v>
      </c>
      <c r="F219" s="11" t="s">
        <v>9</v>
      </c>
      <c r="G219" s="11">
        <v>2017</v>
      </c>
      <c r="H219" s="12" t="str">
        <f>"155.84"</f>
        <v>155.84</v>
      </c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 t="str">
        <f>"146.03"</f>
        <v>146.03</v>
      </c>
      <c r="Y219" s="12"/>
      <c r="Z219" s="12"/>
      <c r="AA219" s="12"/>
    </row>
    <row r="220" spans="1:27">
      <c r="A220" s="9">
        <v>218</v>
      </c>
      <c r="B220" s="9">
        <v>5374</v>
      </c>
      <c r="C220" s="9" t="s">
        <v>366</v>
      </c>
      <c r="D220" s="9" t="s">
        <v>77</v>
      </c>
      <c r="E220" s="10" t="str">
        <f>"174.41"</f>
        <v>174.41</v>
      </c>
      <c r="F220" s="11" t="s">
        <v>9</v>
      </c>
      <c r="G220" s="11">
        <v>2017</v>
      </c>
      <c r="H220" s="12"/>
      <c r="I220" s="12"/>
      <c r="J220" s="12"/>
      <c r="K220" s="12"/>
      <c r="L220" s="12"/>
      <c r="M220" s="12"/>
      <c r="N220" s="12"/>
      <c r="O220" s="12"/>
      <c r="P220" s="12" t="str">
        <f>"146.41"</f>
        <v>146.41</v>
      </c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>
      <c r="A221" s="9">
        <v>219</v>
      </c>
      <c r="B221" s="9">
        <v>350</v>
      </c>
      <c r="C221" s="9" t="s">
        <v>564</v>
      </c>
      <c r="D221" s="9" t="s">
        <v>84</v>
      </c>
      <c r="E221" s="10" t="str">
        <f>"174.65"</f>
        <v>174.65</v>
      </c>
      <c r="F221" s="11"/>
      <c r="G221" s="11">
        <v>2017</v>
      </c>
      <c r="H221" s="12" t="str">
        <f>"111.14"</f>
        <v>111.14</v>
      </c>
      <c r="I221" s="12"/>
      <c r="J221" s="12"/>
      <c r="K221" s="12" t="str">
        <f>"212.35"</f>
        <v>212.35</v>
      </c>
      <c r="L221" s="12"/>
      <c r="M221" s="12"/>
      <c r="N221" s="12"/>
      <c r="O221" s="12"/>
      <c r="P221" s="12"/>
      <c r="Q221" s="12"/>
      <c r="R221" s="12"/>
      <c r="S221" s="12"/>
      <c r="T221" s="12"/>
      <c r="U221" s="12" t="str">
        <f>"136.94"</f>
        <v>136.94</v>
      </c>
      <c r="V221" s="12"/>
      <c r="W221" s="12"/>
      <c r="X221" s="12"/>
      <c r="Y221" s="12"/>
      <c r="Z221" s="12"/>
      <c r="AA221" s="12"/>
    </row>
    <row r="222" spans="1:27">
      <c r="A222" s="9">
        <v>220</v>
      </c>
      <c r="B222" s="9">
        <v>3102</v>
      </c>
      <c r="C222" s="9" t="s">
        <v>326</v>
      </c>
      <c r="D222" s="9" t="s">
        <v>42</v>
      </c>
      <c r="E222" s="10" t="str">
        <f>"175.44"</f>
        <v>175.44</v>
      </c>
      <c r="F222" s="11"/>
      <c r="G222" s="11">
        <v>2017</v>
      </c>
      <c r="H222" s="12"/>
      <c r="I222" s="12"/>
      <c r="J222" s="12"/>
      <c r="K222" s="12" t="str">
        <f>"193.29"</f>
        <v>193.29</v>
      </c>
      <c r="L222" s="12"/>
      <c r="M222" s="12"/>
      <c r="N222" s="12"/>
      <c r="O222" s="12"/>
      <c r="P222" s="12"/>
      <c r="Q222" s="12"/>
      <c r="R222" s="12"/>
      <c r="S222" s="12"/>
      <c r="T222" s="12"/>
      <c r="U222" s="12" t="str">
        <f>"157.58"</f>
        <v>157.58</v>
      </c>
      <c r="V222" s="12"/>
      <c r="W222" s="12"/>
      <c r="X222" s="12"/>
      <c r="Y222" s="12"/>
      <c r="Z222" s="12"/>
      <c r="AA222" s="12"/>
    </row>
    <row r="223" spans="1:27">
      <c r="A223" s="9">
        <v>221</v>
      </c>
      <c r="B223" s="9">
        <v>4365</v>
      </c>
      <c r="C223" s="9" t="s">
        <v>1180</v>
      </c>
      <c r="D223" s="9" t="s">
        <v>1181</v>
      </c>
      <c r="E223" s="10" t="str">
        <f>"175.51"</f>
        <v>175.51</v>
      </c>
      <c r="F223" s="11" t="s">
        <v>11</v>
      </c>
      <c r="G223" s="11">
        <v>2017</v>
      </c>
      <c r="H223" s="12" t="str">
        <f>"147.51"</f>
        <v>147.51</v>
      </c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</row>
    <row r="224" spans="1:27">
      <c r="A224" s="9">
        <v>222</v>
      </c>
      <c r="B224" s="9">
        <v>10715</v>
      </c>
      <c r="C224" s="9" t="s">
        <v>518</v>
      </c>
      <c r="D224" s="9" t="s">
        <v>49</v>
      </c>
      <c r="E224" s="10" t="str">
        <f>"175.58"</f>
        <v>175.58</v>
      </c>
      <c r="F224" s="11" t="s">
        <v>9</v>
      </c>
      <c r="G224" s="11">
        <v>2017</v>
      </c>
      <c r="H224" s="12" t="str">
        <f>"99.62"</f>
        <v>99.62</v>
      </c>
      <c r="I224" s="12"/>
      <c r="J224" s="12"/>
      <c r="K224" s="12"/>
      <c r="L224" s="12"/>
      <c r="M224" s="12"/>
      <c r="N224" s="12"/>
      <c r="O224" s="12"/>
      <c r="P224" s="12" t="str">
        <f>"147.58"</f>
        <v>147.58</v>
      </c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</row>
    <row r="225" spans="1:27">
      <c r="A225" s="9">
        <v>223</v>
      </c>
      <c r="B225" s="9">
        <v>2317</v>
      </c>
      <c r="C225" s="9" t="s">
        <v>529</v>
      </c>
      <c r="D225" s="9" t="s">
        <v>10</v>
      </c>
      <c r="E225" s="10" t="str">
        <f>"175.68"</f>
        <v>175.68</v>
      </c>
      <c r="F225" s="11" t="s">
        <v>11</v>
      </c>
      <c r="G225" s="11">
        <v>2017</v>
      </c>
      <c r="H225" s="12" t="str">
        <f>"147.68"</f>
        <v>147.68</v>
      </c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</row>
    <row r="226" spans="1:27">
      <c r="A226" s="9">
        <v>224</v>
      </c>
      <c r="B226" s="9">
        <v>10499</v>
      </c>
      <c r="C226" s="9" t="s">
        <v>269</v>
      </c>
      <c r="D226" s="9" t="s">
        <v>10</v>
      </c>
      <c r="E226" s="10" t="str">
        <f>"176.54"</f>
        <v>176.54</v>
      </c>
      <c r="F226" s="11"/>
      <c r="G226" s="11">
        <v>2017</v>
      </c>
      <c r="H226" s="12" t="str">
        <f>"176.38"</f>
        <v>176.38</v>
      </c>
      <c r="I226" s="12"/>
      <c r="J226" s="12" t="str">
        <f>"116.87"</f>
        <v>116.87</v>
      </c>
      <c r="K226" s="12"/>
      <c r="L226" s="12"/>
      <c r="M226" s="12"/>
      <c r="N226" s="12"/>
      <c r="O226" s="12"/>
      <c r="P226" s="12"/>
      <c r="Q226" s="12"/>
      <c r="R226" s="12"/>
      <c r="S226" s="12"/>
      <c r="T226" s="12" t="str">
        <f>"236.20"</f>
        <v>236.20</v>
      </c>
      <c r="U226" s="12"/>
      <c r="V226" s="12"/>
      <c r="W226" s="12"/>
      <c r="X226" s="12"/>
      <c r="Y226" s="12"/>
      <c r="Z226" s="12"/>
      <c r="AA226" s="12"/>
    </row>
    <row r="227" spans="1:27">
      <c r="A227" s="9">
        <v>225</v>
      </c>
      <c r="B227" s="9">
        <v>2915</v>
      </c>
      <c r="C227" s="9" t="s">
        <v>196</v>
      </c>
      <c r="D227" s="9" t="s">
        <v>20</v>
      </c>
      <c r="E227" s="10" t="str">
        <f>"176.66"</f>
        <v>176.66</v>
      </c>
      <c r="F227" s="11" t="s">
        <v>9</v>
      </c>
      <c r="G227" s="11">
        <v>2017</v>
      </c>
      <c r="H227" s="12" t="str">
        <f>"96.70"</f>
        <v>96.70</v>
      </c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 t="str">
        <f>"148.66"</f>
        <v>148.66</v>
      </c>
      <c r="Y227" s="12"/>
      <c r="Z227" s="12"/>
      <c r="AA227" s="12"/>
    </row>
    <row r="228" spans="1:27">
      <c r="A228" s="9">
        <v>226</v>
      </c>
      <c r="B228" s="9">
        <v>10127</v>
      </c>
      <c r="C228" s="9" t="s">
        <v>328</v>
      </c>
      <c r="D228" s="9" t="s">
        <v>10</v>
      </c>
      <c r="E228" s="10" t="str">
        <f>"176.89"</f>
        <v>176.89</v>
      </c>
      <c r="F228" s="11"/>
      <c r="G228" s="11">
        <v>2017</v>
      </c>
      <c r="H228" s="12" t="str">
        <f>"221.76"</f>
        <v>221.76</v>
      </c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 t="str">
        <f>"193.36"</f>
        <v>193.36</v>
      </c>
      <c r="T228" s="12"/>
      <c r="U228" s="12"/>
      <c r="V228" s="12"/>
      <c r="W228" s="12"/>
      <c r="X228" s="12"/>
      <c r="Y228" s="12"/>
      <c r="Z228" s="12" t="str">
        <f>"160.42"</f>
        <v>160.42</v>
      </c>
      <c r="AA228" s="12"/>
    </row>
    <row r="229" spans="1:27">
      <c r="A229" s="9">
        <v>227</v>
      </c>
      <c r="B229" s="9">
        <v>4253</v>
      </c>
      <c r="C229" s="9" t="s">
        <v>726</v>
      </c>
      <c r="D229" s="9" t="s">
        <v>95</v>
      </c>
      <c r="E229" s="10" t="str">
        <f>"178.03"</f>
        <v>178.03</v>
      </c>
      <c r="F229" s="11" t="s">
        <v>11</v>
      </c>
      <c r="G229" s="11">
        <v>2017</v>
      </c>
      <c r="H229" s="12" t="str">
        <f>"150.03"</f>
        <v>150.03</v>
      </c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>
      <c r="A230" s="9">
        <v>228</v>
      </c>
      <c r="B230" s="9">
        <v>10285</v>
      </c>
      <c r="C230" s="9" t="s">
        <v>405</v>
      </c>
      <c r="D230" s="9" t="s">
        <v>10</v>
      </c>
      <c r="E230" s="10" t="str">
        <f>"178.06"</f>
        <v>178.06</v>
      </c>
      <c r="F230" s="11"/>
      <c r="G230" s="11">
        <v>2017</v>
      </c>
      <c r="H230" s="12" t="str">
        <f>"238.52"</f>
        <v>238.52</v>
      </c>
      <c r="I230" s="12"/>
      <c r="J230" s="12"/>
      <c r="K230" s="12"/>
      <c r="L230" s="12"/>
      <c r="M230" s="12"/>
      <c r="N230" s="12"/>
      <c r="O230" s="12"/>
      <c r="P230" s="12"/>
      <c r="Q230" s="12"/>
      <c r="R230" s="12" t="str">
        <f>"344.00"</f>
        <v>344.00</v>
      </c>
      <c r="S230" s="12"/>
      <c r="T230" s="12"/>
      <c r="U230" s="12" t="str">
        <f>"223.43"</f>
        <v>223.43</v>
      </c>
      <c r="V230" s="12"/>
      <c r="W230" s="12"/>
      <c r="X230" s="12"/>
      <c r="Y230" s="12" t="str">
        <f>"162.93"</f>
        <v>162.93</v>
      </c>
      <c r="Z230" s="12" t="str">
        <f>"193.18"</f>
        <v>193.18</v>
      </c>
      <c r="AA230" s="12" t="str">
        <f>"257.08"</f>
        <v>257.08</v>
      </c>
    </row>
    <row r="231" spans="1:27">
      <c r="A231" s="9">
        <v>229</v>
      </c>
      <c r="B231" s="9">
        <v>2287</v>
      </c>
      <c r="C231" s="9" t="s">
        <v>352</v>
      </c>
      <c r="D231" s="9" t="s">
        <v>10</v>
      </c>
      <c r="E231" s="10" t="str">
        <f>"178.11"</f>
        <v>178.11</v>
      </c>
      <c r="F231" s="11"/>
      <c r="G231" s="11">
        <v>2017</v>
      </c>
      <c r="H231" s="12" t="str">
        <f>"210.39"</f>
        <v>210.39</v>
      </c>
      <c r="I231" s="12"/>
      <c r="J231" s="12" t="str">
        <f>"208.76"</f>
        <v>208.76</v>
      </c>
      <c r="K231" s="12"/>
      <c r="L231" s="12"/>
      <c r="M231" s="12"/>
      <c r="N231" s="12"/>
      <c r="O231" s="12"/>
      <c r="P231" s="12"/>
      <c r="Q231" s="12"/>
      <c r="R231" s="12"/>
      <c r="S231" s="12"/>
      <c r="T231" s="12" t="str">
        <f>"180.99"</f>
        <v>180.99</v>
      </c>
      <c r="U231" s="12"/>
      <c r="V231" s="12"/>
      <c r="W231" s="12"/>
      <c r="X231" s="12" t="str">
        <f>"211.35"</f>
        <v>211.35</v>
      </c>
      <c r="Y231" s="12"/>
      <c r="Z231" s="12"/>
      <c r="AA231" s="12" t="str">
        <f>"175.22"</f>
        <v>175.22</v>
      </c>
    </row>
    <row r="232" spans="1:27">
      <c r="A232" s="9">
        <v>230</v>
      </c>
      <c r="B232" s="9">
        <v>1844</v>
      </c>
      <c r="C232" s="9" t="s">
        <v>103</v>
      </c>
      <c r="D232" s="9" t="s">
        <v>38</v>
      </c>
      <c r="E232" s="10" t="str">
        <f>"178.25"</f>
        <v>178.25</v>
      </c>
      <c r="F232" s="11" t="s">
        <v>11</v>
      </c>
      <c r="G232" s="11">
        <v>2017</v>
      </c>
      <c r="H232" s="12" t="str">
        <f>"150.25"</f>
        <v>150.25</v>
      </c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</row>
    <row r="233" spans="1:27">
      <c r="A233" s="9">
        <v>231</v>
      </c>
      <c r="B233" s="9">
        <v>467</v>
      </c>
      <c r="C233" s="9" t="s">
        <v>452</v>
      </c>
      <c r="D233" s="9" t="s">
        <v>49</v>
      </c>
      <c r="E233" s="10" t="str">
        <f>"178.55"</f>
        <v>178.55</v>
      </c>
      <c r="F233" s="11" t="s">
        <v>9</v>
      </c>
      <c r="G233" s="11">
        <v>2017</v>
      </c>
      <c r="H233" s="12" t="str">
        <f>"149.02"</f>
        <v>149.02</v>
      </c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 t="str">
        <f>"150.55"</f>
        <v>150.55</v>
      </c>
      <c r="W233" s="12"/>
      <c r="X233" s="12"/>
      <c r="Y233" s="12"/>
      <c r="Z233" s="12"/>
      <c r="AA233" s="12"/>
    </row>
    <row r="234" spans="1:27">
      <c r="A234" s="9">
        <v>232</v>
      </c>
      <c r="B234" s="9">
        <v>2017</v>
      </c>
      <c r="C234" s="9" t="s">
        <v>404</v>
      </c>
      <c r="D234" s="9" t="s">
        <v>400</v>
      </c>
      <c r="E234" s="10" t="str">
        <f>"178.84"</f>
        <v>178.84</v>
      </c>
      <c r="F234" s="11" t="s">
        <v>11</v>
      </c>
      <c r="G234" s="11">
        <v>2017</v>
      </c>
      <c r="H234" s="12" t="str">
        <f>"150.84"</f>
        <v>150.84</v>
      </c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</row>
    <row r="235" spans="1:27">
      <c r="A235" s="9">
        <v>233</v>
      </c>
      <c r="B235" s="9">
        <v>8465</v>
      </c>
      <c r="C235" s="9" t="s">
        <v>515</v>
      </c>
      <c r="D235" s="9" t="s">
        <v>10</v>
      </c>
      <c r="E235" s="10" t="str">
        <f>"179.23"</f>
        <v>179.23</v>
      </c>
      <c r="F235" s="11" t="s">
        <v>9</v>
      </c>
      <c r="G235" s="11">
        <v>2017</v>
      </c>
      <c r="H235" s="12" t="str">
        <f>"188.31"</f>
        <v>188.31</v>
      </c>
      <c r="I235" s="12"/>
      <c r="J235" s="12" t="str">
        <f>"151.23"</f>
        <v>151.23</v>
      </c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</row>
    <row r="236" spans="1:27">
      <c r="A236" s="9">
        <v>234</v>
      </c>
      <c r="B236" s="9">
        <v>10478</v>
      </c>
      <c r="C236" s="9" t="s">
        <v>150</v>
      </c>
      <c r="D236" s="9" t="s">
        <v>19</v>
      </c>
      <c r="E236" s="10" t="str">
        <f>"179.45"</f>
        <v>179.45</v>
      </c>
      <c r="F236" s="11"/>
      <c r="G236" s="11">
        <v>2017</v>
      </c>
      <c r="H236" s="12" t="str">
        <f>"202.16"</f>
        <v>202.16</v>
      </c>
      <c r="I236" s="12"/>
      <c r="J236" s="12"/>
      <c r="K236" s="12"/>
      <c r="L236" s="12"/>
      <c r="M236" s="12"/>
      <c r="N236" s="12"/>
      <c r="O236" s="12" t="str">
        <f>"479.47"</f>
        <v>479.47</v>
      </c>
      <c r="P236" s="12"/>
      <c r="Q236" s="12"/>
      <c r="R236" s="12" t="str">
        <f>"168.62"</f>
        <v>168.62</v>
      </c>
      <c r="S236" s="12"/>
      <c r="T236" s="12"/>
      <c r="U236" s="12"/>
      <c r="V236" s="12"/>
      <c r="W236" s="12"/>
      <c r="X236" s="12"/>
      <c r="Y236" s="12"/>
      <c r="Z236" s="12"/>
      <c r="AA236" s="12" t="str">
        <f>"190.27"</f>
        <v>190.27</v>
      </c>
    </row>
    <row r="237" spans="1:27">
      <c r="A237" s="9">
        <v>235</v>
      </c>
      <c r="B237" s="9">
        <v>10087</v>
      </c>
      <c r="C237" s="9" t="s">
        <v>293</v>
      </c>
      <c r="D237" s="9" t="s">
        <v>47</v>
      </c>
      <c r="E237" s="10" t="str">
        <f>"179.46"</f>
        <v>179.46</v>
      </c>
      <c r="F237" s="11" t="s">
        <v>9</v>
      </c>
      <c r="G237" s="11">
        <v>2017</v>
      </c>
      <c r="H237" s="12" t="str">
        <f>"133.71"</f>
        <v>133.71</v>
      </c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 t="str">
        <f>"151.46"</f>
        <v>151.46</v>
      </c>
      <c r="V237" s="12"/>
      <c r="W237" s="12"/>
      <c r="X237" s="12"/>
      <c r="Y237" s="12"/>
      <c r="Z237" s="12"/>
      <c r="AA237" s="12"/>
    </row>
    <row r="238" spans="1:27">
      <c r="A238" s="9">
        <v>236</v>
      </c>
      <c r="B238" s="9">
        <v>8319</v>
      </c>
      <c r="C238" s="9" t="s">
        <v>302</v>
      </c>
      <c r="D238" s="9" t="s">
        <v>37</v>
      </c>
      <c r="E238" s="10" t="str">
        <f>"180.27"</f>
        <v>180.27</v>
      </c>
      <c r="F238" s="11" t="s">
        <v>9</v>
      </c>
      <c r="G238" s="11">
        <v>2017</v>
      </c>
      <c r="H238" s="12" t="str">
        <f>"119.80"</f>
        <v>119.80</v>
      </c>
      <c r="I238" s="12"/>
      <c r="J238" s="12"/>
      <c r="K238" s="12" t="str">
        <f>"152.27"</f>
        <v>152.27</v>
      </c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</row>
    <row r="239" spans="1:27">
      <c r="A239" s="9">
        <v>237</v>
      </c>
      <c r="B239" s="9">
        <v>4377</v>
      </c>
      <c r="C239" s="9" t="s">
        <v>260</v>
      </c>
      <c r="D239" s="9" t="s">
        <v>21</v>
      </c>
      <c r="E239" s="10" t="str">
        <f>"181.55"</f>
        <v>181.55</v>
      </c>
      <c r="F239" s="11"/>
      <c r="G239" s="11">
        <v>2017</v>
      </c>
      <c r="H239" s="12" t="str">
        <f>"142.37"</f>
        <v>142.37</v>
      </c>
      <c r="I239" s="12"/>
      <c r="J239" s="12"/>
      <c r="K239" s="12"/>
      <c r="L239" s="12" t="str">
        <f>"191.44"</f>
        <v>191.44</v>
      </c>
      <c r="M239" s="12"/>
      <c r="N239" s="12"/>
      <c r="O239" s="12"/>
      <c r="P239" s="12" t="str">
        <f>"171.65"</f>
        <v>171.65</v>
      </c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</row>
    <row r="240" spans="1:27">
      <c r="A240" s="9">
        <v>238</v>
      </c>
      <c r="B240" s="9">
        <v>5336</v>
      </c>
      <c r="C240" s="9" t="s">
        <v>710</v>
      </c>
      <c r="D240" s="9" t="s">
        <v>59</v>
      </c>
      <c r="E240" s="10" t="str">
        <f>"181.71"</f>
        <v>181.71</v>
      </c>
      <c r="F240" s="11" t="s">
        <v>9</v>
      </c>
      <c r="G240" s="11">
        <v>2017</v>
      </c>
      <c r="H240" s="12" t="str">
        <f>"185.81"</f>
        <v>185.81</v>
      </c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 t="str">
        <f>"153.71"</f>
        <v>153.71</v>
      </c>
      <c r="Z240" s="12"/>
      <c r="AA240" s="12"/>
    </row>
    <row r="241" spans="1:27">
      <c r="A241" s="9">
        <v>239</v>
      </c>
      <c r="B241" s="9">
        <v>8103</v>
      </c>
      <c r="C241" s="9" t="s">
        <v>227</v>
      </c>
      <c r="D241" s="9" t="s">
        <v>29</v>
      </c>
      <c r="E241" s="10" t="str">
        <f>"182.36"</f>
        <v>182.36</v>
      </c>
      <c r="F241" s="11"/>
      <c r="G241" s="11">
        <v>2017</v>
      </c>
      <c r="H241" s="12" t="str">
        <f>"207.84"</f>
        <v>207.84</v>
      </c>
      <c r="I241" s="12"/>
      <c r="J241" s="12"/>
      <c r="K241" s="12" t="str">
        <f>"195.78"</f>
        <v>195.78</v>
      </c>
      <c r="L241" s="12"/>
      <c r="M241" s="12"/>
      <c r="N241" s="12"/>
      <c r="O241" s="12"/>
      <c r="P241" s="12"/>
      <c r="Q241" s="12"/>
      <c r="R241" s="12"/>
      <c r="S241" s="12"/>
      <c r="T241" s="12"/>
      <c r="U241" s="12" t="str">
        <f>"168.94"</f>
        <v>168.94</v>
      </c>
      <c r="V241" s="12"/>
      <c r="W241" s="12"/>
      <c r="X241" s="12"/>
      <c r="Y241" s="12"/>
      <c r="Z241" s="12"/>
      <c r="AA241" s="12"/>
    </row>
    <row r="242" spans="1:27">
      <c r="A242" s="9">
        <v>240</v>
      </c>
      <c r="B242" s="9">
        <v>3008</v>
      </c>
      <c r="C242" s="9" t="s">
        <v>393</v>
      </c>
      <c r="D242" s="9" t="s">
        <v>130</v>
      </c>
      <c r="E242" s="10" t="str">
        <f>"182.98"</f>
        <v>182.98</v>
      </c>
      <c r="F242" s="11" t="s">
        <v>11</v>
      </c>
      <c r="G242" s="11">
        <v>2017</v>
      </c>
      <c r="H242" s="12" t="str">
        <f>"154.98"</f>
        <v>154.98</v>
      </c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</row>
    <row r="243" spans="1:27">
      <c r="A243" s="9">
        <v>241</v>
      </c>
      <c r="B243" s="9">
        <v>3338</v>
      </c>
      <c r="C243" s="9" t="s">
        <v>385</v>
      </c>
      <c r="D243" s="9" t="s">
        <v>33</v>
      </c>
      <c r="E243" s="10" t="str">
        <f>"183.22"</f>
        <v>183.22</v>
      </c>
      <c r="F243" s="11"/>
      <c r="G243" s="11">
        <v>2017</v>
      </c>
      <c r="H243" s="12" t="str">
        <f>"165.81"</f>
        <v>165.81</v>
      </c>
      <c r="I243" s="12"/>
      <c r="J243" s="12"/>
      <c r="K243" s="12" t="str">
        <f>"248.32"</f>
        <v>248.32</v>
      </c>
      <c r="L243" s="12"/>
      <c r="M243" s="12"/>
      <c r="N243" s="12"/>
      <c r="O243" s="12"/>
      <c r="P243" s="12" t="str">
        <f>"118.12"</f>
        <v>118.12</v>
      </c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</row>
    <row r="244" spans="1:27">
      <c r="A244" s="9">
        <v>242</v>
      </c>
      <c r="B244" s="9">
        <v>10869</v>
      </c>
      <c r="C244" s="9" t="s">
        <v>426</v>
      </c>
      <c r="D244" s="9" t="s">
        <v>10</v>
      </c>
      <c r="E244" s="10" t="str">
        <f>"183.41"</f>
        <v>183.41</v>
      </c>
      <c r="F244" s="11"/>
      <c r="G244" s="11">
        <v>2017</v>
      </c>
      <c r="H244" s="12" t="str">
        <f>"238.08"</f>
        <v>238.08</v>
      </c>
      <c r="I244" s="12" t="str">
        <f>"195.20"</f>
        <v>195.20</v>
      </c>
      <c r="J244" s="12" t="str">
        <f>"320.53"</f>
        <v>320.53</v>
      </c>
      <c r="K244" s="12"/>
      <c r="L244" s="12"/>
      <c r="M244" s="12"/>
      <c r="N244" s="12"/>
      <c r="O244" s="12"/>
      <c r="P244" s="12"/>
      <c r="Q244" s="12"/>
      <c r="R244" s="12"/>
      <c r="S244" s="12" t="str">
        <f>"171.62"</f>
        <v>171.62</v>
      </c>
      <c r="T244" s="12" t="str">
        <f>"299.37"</f>
        <v>299.37</v>
      </c>
      <c r="U244" s="12"/>
      <c r="V244" s="12"/>
      <c r="W244" s="12"/>
      <c r="X244" s="12"/>
      <c r="Y244" s="12"/>
      <c r="Z244" s="12"/>
      <c r="AA244" s="12"/>
    </row>
    <row r="245" spans="1:27">
      <c r="A245" s="9">
        <v>243</v>
      </c>
      <c r="B245" s="9">
        <v>1342</v>
      </c>
      <c r="C245" s="9" t="s">
        <v>674</v>
      </c>
      <c r="D245" s="9" t="s">
        <v>49</v>
      </c>
      <c r="E245" s="10" t="str">
        <f>"183.42"</f>
        <v>183.42</v>
      </c>
      <c r="F245" s="11" t="s">
        <v>11</v>
      </c>
      <c r="G245" s="11">
        <v>2017</v>
      </c>
      <c r="H245" s="12" t="str">
        <f>"155.42"</f>
        <v>155.42</v>
      </c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</row>
    <row r="246" spans="1:27">
      <c r="A246" s="9">
        <v>244</v>
      </c>
      <c r="B246" s="9">
        <v>4005</v>
      </c>
      <c r="C246" s="9" t="s">
        <v>443</v>
      </c>
      <c r="D246" s="9" t="s">
        <v>63</v>
      </c>
      <c r="E246" s="10" t="str">
        <f>"183.66"</f>
        <v>183.66</v>
      </c>
      <c r="F246" s="11"/>
      <c r="G246" s="11">
        <v>2017</v>
      </c>
      <c r="H246" s="12" t="str">
        <f>"145.39"</f>
        <v>145.39</v>
      </c>
      <c r="I246" s="12"/>
      <c r="J246" s="12"/>
      <c r="K246" s="12"/>
      <c r="L246" s="12"/>
      <c r="M246" s="12"/>
      <c r="N246" s="12"/>
      <c r="O246" s="12"/>
      <c r="P246" s="12" t="str">
        <f>"164.01"</f>
        <v>164.01</v>
      </c>
      <c r="Q246" s="12"/>
      <c r="R246" s="12"/>
      <c r="S246" s="12"/>
      <c r="T246" s="12"/>
      <c r="U246" s="12"/>
      <c r="V246" s="12"/>
      <c r="W246" s="12"/>
      <c r="X246" s="12" t="str">
        <f>"203.30"</f>
        <v>203.30</v>
      </c>
      <c r="Y246" s="12"/>
      <c r="Z246" s="12"/>
      <c r="AA246" s="12"/>
    </row>
    <row r="247" spans="1:27">
      <c r="A247" s="9">
        <v>245</v>
      </c>
      <c r="B247" s="9">
        <v>10385</v>
      </c>
      <c r="C247" s="9" t="s">
        <v>582</v>
      </c>
      <c r="D247" s="9" t="s">
        <v>19</v>
      </c>
      <c r="E247" s="10" t="str">
        <f>"184.12"</f>
        <v>184.12</v>
      </c>
      <c r="F247" s="11"/>
      <c r="G247" s="11">
        <v>2017</v>
      </c>
      <c r="H247" s="12" t="str">
        <f>"265.65"</f>
        <v>265.65</v>
      </c>
      <c r="I247" s="12"/>
      <c r="J247" s="12"/>
      <c r="K247" s="12"/>
      <c r="L247" s="12"/>
      <c r="M247" s="12"/>
      <c r="N247" s="12" t="str">
        <f>"209.45"</f>
        <v>209.45</v>
      </c>
      <c r="O247" s="12"/>
      <c r="P247" s="12"/>
      <c r="Q247" s="12"/>
      <c r="R247" s="12" t="str">
        <f>"337.94"</f>
        <v>337.94</v>
      </c>
      <c r="S247" s="12"/>
      <c r="T247" s="12"/>
      <c r="U247" s="12" t="str">
        <f>"606.00"</f>
        <v>606.00</v>
      </c>
      <c r="V247" s="12"/>
      <c r="W247" s="12"/>
      <c r="X247" s="12"/>
      <c r="Y247" s="12"/>
      <c r="Z247" s="12" t="str">
        <f>"158.78"</f>
        <v>158.78</v>
      </c>
      <c r="AA247" s="12"/>
    </row>
    <row r="248" spans="1:27">
      <c r="A248" s="9">
        <v>246</v>
      </c>
      <c r="B248" s="9">
        <v>8090</v>
      </c>
      <c r="C248" s="9" t="s">
        <v>345</v>
      </c>
      <c r="D248" s="9" t="s">
        <v>65</v>
      </c>
      <c r="E248" s="10" t="str">
        <f>"184.33"</f>
        <v>184.33</v>
      </c>
      <c r="F248" s="11" t="s">
        <v>9</v>
      </c>
      <c r="G248" s="11">
        <v>2017</v>
      </c>
      <c r="H248" s="12" t="str">
        <f>"154.70"</f>
        <v>154.70</v>
      </c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 t="str">
        <f>"156.33"</f>
        <v>156.33</v>
      </c>
      <c r="V248" s="12"/>
      <c r="W248" s="12"/>
      <c r="X248" s="12"/>
      <c r="Y248" s="12"/>
      <c r="Z248" s="12"/>
      <c r="AA248" s="12"/>
    </row>
    <row r="249" spans="1:27">
      <c r="A249" s="9">
        <v>247</v>
      </c>
      <c r="B249" s="9">
        <v>2382</v>
      </c>
      <c r="C249" s="9" t="s">
        <v>713</v>
      </c>
      <c r="D249" s="9" t="s">
        <v>34</v>
      </c>
      <c r="E249" s="10" t="str">
        <f>"184.54"</f>
        <v>184.54</v>
      </c>
      <c r="F249" s="11" t="s">
        <v>9</v>
      </c>
      <c r="G249" s="11">
        <v>2017</v>
      </c>
      <c r="H249" s="12" t="str">
        <f>"190.98"</f>
        <v>190.98</v>
      </c>
      <c r="I249" s="12"/>
      <c r="J249" s="12"/>
      <c r="K249" s="12"/>
      <c r="L249" s="12" t="str">
        <f>"156.54"</f>
        <v>156.54</v>
      </c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>
      <c r="A250" s="9">
        <v>248</v>
      </c>
      <c r="B250" s="9">
        <v>3996</v>
      </c>
      <c r="C250" s="9" t="s">
        <v>454</v>
      </c>
      <c r="D250" s="9" t="s">
        <v>38</v>
      </c>
      <c r="E250" s="10" t="str">
        <f>"184.81"</f>
        <v>184.81</v>
      </c>
      <c r="F250" s="11" t="s">
        <v>9</v>
      </c>
      <c r="G250" s="11">
        <v>2017</v>
      </c>
      <c r="H250" s="12" t="str">
        <f>"152.16"</f>
        <v>152.16</v>
      </c>
      <c r="I250" s="12"/>
      <c r="J250" s="12"/>
      <c r="K250" s="12"/>
      <c r="L250" s="12"/>
      <c r="M250" s="12"/>
      <c r="N250" s="12"/>
      <c r="O250" s="12"/>
      <c r="P250" s="12" t="str">
        <f>"156.81"</f>
        <v>156.81</v>
      </c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>
      <c r="A251" s="9">
        <v>249</v>
      </c>
      <c r="B251" s="9">
        <v>3346</v>
      </c>
      <c r="C251" s="9" t="s">
        <v>278</v>
      </c>
      <c r="D251" s="9" t="s">
        <v>64</v>
      </c>
      <c r="E251" s="10" t="str">
        <f>"185.18"</f>
        <v>185.18</v>
      </c>
      <c r="F251" s="11" t="s">
        <v>9</v>
      </c>
      <c r="G251" s="11">
        <v>2017</v>
      </c>
      <c r="H251" s="12" t="str">
        <f>"214.41"</f>
        <v>214.41</v>
      </c>
      <c r="I251" s="12"/>
      <c r="J251" s="12"/>
      <c r="K251" s="12"/>
      <c r="L251" s="12"/>
      <c r="M251" s="12"/>
      <c r="N251" s="12"/>
      <c r="O251" s="12"/>
      <c r="P251" s="12" t="str">
        <f>"157.18"</f>
        <v>157.18</v>
      </c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>
      <c r="A252" s="9">
        <v>250</v>
      </c>
      <c r="B252" s="9">
        <v>11412</v>
      </c>
      <c r="C252" s="9" t="s">
        <v>514</v>
      </c>
      <c r="D252" s="9" t="s">
        <v>63</v>
      </c>
      <c r="E252" s="10" t="str">
        <f>"185.76"</f>
        <v>185.76</v>
      </c>
      <c r="F252" s="11"/>
      <c r="G252" s="11">
        <v>2017</v>
      </c>
      <c r="H252" s="12"/>
      <c r="I252" s="12"/>
      <c r="J252" s="12"/>
      <c r="K252" s="12"/>
      <c r="L252" s="12" t="str">
        <f>"198.47"</f>
        <v>198.47</v>
      </c>
      <c r="M252" s="12"/>
      <c r="N252" s="12"/>
      <c r="O252" s="12"/>
      <c r="P252" s="12"/>
      <c r="Q252" s="12" t="str">
        <f>"173.04"</f>
        <v>173.04</v>
      </c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>
      <c r="A253" s="9">
        <v>251</v>
      </c>
      <c r="B253" s="9">
        <v>4152</v>
      </c>
      <c r="C253" s="9" t="s">
        <v>749</v>
      </c>
      <c r="D253" s="9" t="s">
        <v>95</v>
      </c>
      <c r="E253" s="10" t="str">
        <f>"186.20"</f>
        <v>186.20</v>
      </c>
      <c r="F253" s="11" t="s">
        <v>9</v>
      </c>
      <c r="G253" s="11">
        <v>2017</v>
      </c>
      <c r="H253" s="12"/>
      <c r="I253" s="12"/>
      <c r="J253" s="12"/>
      <c r="K253" s="12"/>
      <c r="L253" s="12" t="str">
        <f>"158.20"</f>
        <v>158.20</v>
      </c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>
      <c r="A254" s="9">
        <v>252</v>
      </c>
      <c r="B254" s="9">
        <v>10502</v>
      </c>
      <c r="C254" s="9" t="s">
        <v>329</v>
      </c>
      <c r="D254" s="9" t="s">
        <v>19</v>
      </c>
      <c r="E254" s="10" t="str">
        <f>"186.27"</f>
        <v>186.27</v>
      </c>
      <c r="F254" s="11"/>
      <c r="G254" s="11">
        <v>2017</v>
      </c>
      <c r="H254" s="12" t="str">
        <f>"539.72"</f>
        <v>539.72</v>
      </c>
      <c r="I254" s="12"/>
      <c r="J254" s="12"/>
      <c r="K254" s="12"/>
      <c r="L254" s="12"/>
      <c r="M254" s="12"/>
      <c r="N254" s="12"/>
      <c r="O254" s="12"/>
      <c r="P254" s="12"/>
      <c r="Q254" s="12"/>
      <c r="R254" s="12" t="str">
        <f>"351.02"</f>
        <v>351.02</v>
      </c>
      <c r="S254" s="12"/>
      <c r="T254" s="12"/>
      <c r="U254" s="12"/>
      <c r="V254" s="12"/>
      <c r="W254" s="12"/>
      <c r="X254" s="12"/>
      <c r="Y254" s="12"/>
      <c r="Z254" s="12" t="str">
        <f>"199.95"</f>
        <v>199.95</v>
      </c>
      <c r="AA254" s="12" t="str">
        <f>"172.58"</f>
        <v>172.58</v>
      </c>
    </row>
    <row r="255" spans="1:27">
      <c r="A255" s="9">
        <v>253</v>
      </c>
      <c r="B255" s="9">
        <v>10314</v>
      </c>
      <c r="C255" s="9" t="s">
        <v>614</v>
      </c>
      <c r="D255" s="9" t="s">
        <v>25</v>
      </c>
      <c r="E255" s="10" t="str">
        <f>"186.96"</f>
        <v>186.96</v>
      </c>
      <c r="F255" s="11" t="s">
        <v>11</v>
      </c>
      <c r="G255" s="11">
        <v>2017</v>
      </c>
      <c r="H255" s="12" t="str">
        <f>"158.96"</f>
        <v>158.96</v>
      </c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>
      <c r="A256" s="9">
        <v>254</v>
      </c>
      <c r="B256" s="9">
        <v>2214</v>
      </c>
      <c r="C256" s="9" t="s">
        <v>628</v>
      </c>
      <c r="D256" s="9" t="s">
        <v>77</v>
      </c>
      <c r="E256" s="10" t="str">
        <f>"187.61"</f>
        <v>187.61</v>
      </c>
      <c r="F256" s="11" t="s">
        <v>11</v>
      </c>
      <c r="G256" s="11">
        <v>2017</v>
      </c>
      <c r="H256" s="12" t="str">
        <f>"159.61"</f>
        <v>159.61</v>
      </c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>
      <c r="A257" s="9">
        <v>255</v>
      </c>
      <c r="B257" s="9">
        <v>1435</v>
      </c>
      <c r="C257" s="9" t="s">
        <v>229</v>
      </c>
      <c r="D257" s="9" t="s">
        <v>21</v>
      </c>
      <c r="E257" s="10" t="str">
        <f>"188.06"</f>
        <v>188.06</v>
      </c>
      <c r="F257" s="11"/>
      <c r="G257" s="11">
        <v>2017</v>
      </c>
      <c r="H257" s="12" t="str">
        <f>"131.15"</f>
        <v>131.15</v>
      </c>
      <c r="I257" s="12"/>
      <c r="J257" s="12"/>
      <c r="K257" s="12" t="str">
        <f>"201.11"</f>
        <v>201.11</v>
      </c>
      <c r="L257" s="12"/>
      <c r="M257" s="12"/>
      <c r="N257" s="12"/>
      <c r="O257" s="12"/>
      <c r="P257" s="12" t="str">
        <f>"175.00"</f>
        <v>175.00</v>
      </c>
      <c r="Q257" s="12"/>
      <c r="R257" s="12"/>
      <c r="S257" s="12"/>
      <c r="T257" s="12"/>
      <c r="U257" s="12" t="str">
        <f>"202.12"</f>
        <v>202.12</v>
      </c>
      <c r="V257" s="12"/>
      <c r="W257" s="12"/>
      <c r="X257" s="12" t="str">
        <f>"459.57"</f>
        <v>459.57</v>
      </c>
      <c r="Y257" s="12"/>
      <c r="Z257" s="12"/>
      <c r="AA257" s="12"/>
    </row>
    <row r="258" spans="1:27">
      <c r="A258" s="9">
        <v>256</v>
      </c>
      <c r="B258" s="9">
        <v>2239</v>
      </c>
      <c r="C258" s="9" t="s">
        <v>415</v>
      </c>
      <c r="D258" s="9" t="s">
        <v>10</v>
      </c>
      <c r="E258" s="10" t="str">
        <f>"188.21"</f>
        <v>188.21</v>
      </c>
      <c r="F258" s="11"/>
      <c r="G258" s="11">
        <v>2017</v>
      </c>
      <c r="H258" s="12" t="str">
        <f>"142.92"</f>
        <v>142.92</v>
      </c>
      <c r="I258" s="12"/>
      <c r="J258" s="12" t="str">
        <f>"219.24"</f>
        <v>219.24</v>
      </c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 t="str">
        <f>"157.18"</f>
        <v>157.18</v>
      </c>
    </row>
    <row r="259" spans="1:27">
      <c r="A259" s="9">
        <v>257</v>
      </c>
      <c r="B259" s="9">
        <v>11085</v>
      </c>
      <c r="C259" s="9" t="s">
        <v>474</v>
      </c>
      <c r="D259" s="9" t="s">
        <v>475</v>
      </c>
      <c r="E259" s="10" t="str">
        <f>"188.61"</f>
        <v>188.61</v>
      </c>
      <c r="F259" s="11"/>
      <c r="G259" s="11">
        <v>2017</v>
      </c>
      <c r="H259" s="12" t="str">
        <f>"171.90"</f>
        <v>171.90</v>
      </c>
      <c r="I259" s="12"/>
      <c r="J259" s="12"/>
      <c r="K259" s="12" t="str">
        <f>"219.45"</f>
        <v>219.45</v>
      </c>
      <c r="L259" s="12"/>
      <c r="M259" s="12"/>
      <c r="N259" s="12"/>
      <c r="O259" s="12"/>
      <c r="P259" s="12" t="str">
        <f>"157.76"</f>
        <v>157.76</v>
      </c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</row>
    <row r="260" spans="1:27">
      <c r="A260" s="9">
        <v>258</v>
      </c>
      <c r="B260" s="9">
        <v>3372</v>
      </c>
      <c r="C260" s="9" t="s">
        <v>1183</v>
      </c>
      <c r="D260" s="9" t="s">
        <v>93</v>
      </c>
      <c r="E260" s="10" t="str">
        <f>"189.00"</f>
        <v>189.00</v>
      </c>
      <c r="F260" s="11" t="s">
        <v>11</v>
      </c>
      <c r="G260" s="11">
        <v>2017</v>
      </c>
      <c r="H260" s="12" t="str">
        <f>"161.00"</f>
        <v>161.00</v>
      </c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</row>
    <row r="261" spans="1:27">
      <c r="A261" s="9">
        <v>259</v>
      </c>
      <c r="B261" s="9">
        <v>10299</v>
      </c>
      <c r="C261" s="9" t="s">
        <v>228</v>
      </c>
      <c r="D261" s="9" t="s">
        <v>25</v>
      </c>
      <c r="E261" s="10" t="str">
        <f>"189.07"</f>
        <v>189.07</v>
      </c>
      <c r="F261" s="11" t="s">
        <v>9</v>
      </c>
      <c r="G261" s="11">
        <v>2017</v>
      </c>
      <c r="H261" s="12" t="str">
        <f>"208.99"</f>
        <v>208.99</v>
      </c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 t="str">
        <f>"161.07"</f>
        <v>161.07</v>
      </c>
      <c r="Y261" s="12"/>
      <c r="Z261" s="12"/>
      <c r="AA261" s="12"/>
    </row>
    <row r="262" spans="1:27">
      <c r="A262" s="9">
        <v>260</v>
      </c>
      <c r="B262" s="9">
        <v>9547</v>
      </c>
      <c r="C262" s="9" t="s">
        <v>325</v>
      </c>
      <c r="D262" s="9" t="s">
        <v>53</v>
      </c>
      <c r="E262" s="10" t="str">
        <f>"189.61"</f>
        <v>189.61</v>
      </c>
      <c r="F262" s="11" t="s">
        <v>9</v>
      </c>
      <c r="G262" s="11">
        <v>2017</v>
      </c>
      <c r="H262" s="12" t="str">
        <f>"254.77"</f>
        <v>254.77</v>
      </c>
      <c r="I262" s="12"/>
      <c r="J262" s="12"/>
      <c r="K262" s="12"/>
      <c r="L262" s="12"/>
      <c r="M262" s="12"/>
      <c r="N262" s="12"/>
      <c r="O262" s="12"/>
      <c r="P262" s="12" t="str">
        <f>"161.61"</f>
        <v>161.61</v>
      </c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</row>
    <row r="263" spans="1:27">
      <c r="A263" s="9">
        <v>261</v>
      </c>
      <c r="B263" s="9">
        <v>7354</v>
      </c>
      <c r="C263" s="9" t="s">
        <v>177</v>
      </c>
      <c r="D263" s="9" t="s">
        <v>51</v>
      </c>
      <c r="E263" s="10" t="str">
        <f>"189.77"</f>
        <v>189.77</v>
      </c>
      <c r="F263" s="11" t="s">
        <v>11</v>
      </c>
      <c r="G263" s="11">
        <v>2017</v>
      </c>
      <c r="H263" s="12" t="str">
        <f>"161.77"</f>
        <v>161.77</v>
      </c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>
      <c r="A264" s="9">
        <v>262</v>
      </c>
      <c r="B264" s="9">
        <v>1820</v>
      </c>
      <c r="C264" s="9" t="s">
        <v>199</v>
      </c>
      <c r="D264" s="9" t="s">
        <v>65</v>
      </c>
      <c r="E264" s="10" t="str">
        <f>"190.06"</f>
        <v>190.06</v>
      </c>
      <c r="F264" s="11" t="s">
        <v>11</v>
      </c>
      <c r="G264" s="11">
        <v>2017</v>
      </c>
      <c r="H264" s="12" t="str">
        <f>"162.06"</f>
        <v>162.06</v>
      </c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>
      <c r="A265" s="9">
        <v>263</v>
      </c>
      <c r="B265" s="9">
        <v>5258</v>
      </c>
      <c r="C265" s="9" t="s">
        <v>540</v>
      </c>
      <c r="D265" s="9" t="s">
        <v>130</v>
      </c>
      <c r="E265" s="10" t="str">
        <f>"190.32"</f>
        <v>190.32</v>
      </c>
      <c r="F265" s="11" t="s">
        <v>9</v>
      </c>
      <c r="G265" s="11">
        <v>2017</v>
      </c>
      <c r="H265" s="12" t="str">
        <f>"187.74"</f>
        <v>187.74</v>
      </c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 t="str">
        <f>"162.32"</f>
        <v>162.32</v>
      </c>
      <c r="W265" s="12"/>
      <c r="X265" s="12"/>
      <c r="Y265" s="12"/>
      <c r="Z265" s="12"/>
      <c r="AA265" s="12"/>
    </row>
    <row r="266" spans="1:27">
      <c r="A266" s="9">
        <v>264</v>
      </c>
      <c r="B266" s="9">
        <v>10187</v>
      </c>
      <c r="C266" s="9" t="s">
        <v>410</v>
      </c>
      <c r="D266" s="9" t="s">
        <v>10</v>
      </c>
      <c r="E266" s="10" t="str">
        <f>"190.40"</f>
        <v>190.40</v>
      </c>
      <c r="F266" s="11"/>
      <c r="G266" s="11">
        <v>2017</v>
      </c>
      <c r="H266" s="12" t="str">
        <f>"200.32"</f>
        <v>200.32</v>
      </c>
      <c r="I266" s="12"/>
      <c r="J266" s="12" t="str">
        <f>"282.29"</f>
        <v>282.29</v>
      </c>
      <c r="K266" s="12"/>
      <c r="L266" s="12"/>
      <c r="M266" s="12"/>
      <c r="N266" s="12"/>
      <c r="O266" s="12"/>
      <c r="P266" s="12"/>
      <c r="Q266" s="12"/>
      <c r="R266" s="12"/>
      <c r="S266" s="12"/>
      <c r="T266" s="12" t="str">
        <f>"212.85"</f>
        <v>212.85</v>
      </c>
      <c r="U266" s="12"/>
      <c r="V266" s="12"/>
      <c r="W266" s="12"/>
      <c r="X266" s="12"/>
      <c r="Y266" s="12"/>
      <c r="Z266" s="12"/>
      <c r="AA266" s="12" t="str">
        <f>"167.95"</f>
        <v>167.95</v>
      </c>
    </row>
    <row r="267" spans="1:27">
      <c r="A267" s="9">
        <v>265</v>
      </c>
      <c r="B267" s="9">
        <v>5159</v>
      </c>
      <c r="C267" s="9" t="s">
        <v>485</v>
      </c>
      <c r="D267" s="9" t="s">
        <v>10</v>
      </c>
      <c r="E267" s="10" t="str">
        <f>"190.55"</f>
        <v>190.55</v>
      </c>
      <c r="F267" s="11" t="s">
        <v>9</v>
      </c>
      <c r="G267" s="11">
        <v>2017</v>
      </c>
      <c r="H267" s="12" t="str">
        <f>"104.99"</f>
        <v>104.99</v>
      </c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 t="str">
        <f>"162.55"</f>
        <v>162.55</v>
      </c>
      <c r="Y267" s="12"/>
      <c r="Z267" s="12"/>
      <c r="AA267" s="12"/>
    </row>
    <row r="268" spans="1:27">
      <c r="A268" s="9">
        <v>266</v>
      </c>
      <c r="B268" s="9">
        <v>1079</v>
      </c>
      <c r="C268" s="9" t="s">
        <v>333</v>
      </c>
      <c r="D268" s="9" t="s">
        <v>33</v>
      </c>
      <c r="E268" s="10" t="str">
        <f>"190.71"</f>
        <v>190.71</v>
      </c>
      <c r="F268" s="11" t="s">
        <v>9</v>
      </c>
      <c r="G268" s="11">
        <v>2017</v>
      </c>
      <c r="H268" s="12" t="str">
        <f>"181.37"</f>
        <v>181.37</v>
      </c>
      <c r="I268" s="12"/>
      <c r="J268" s="12"/>
      <c r="K268" s="12"/>
      <c r="L268" s="12" t="str">
        <f>"162.71"</f>
        <v>162.71</v>
      </c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>
      <c r="A269" s="9">
        <v>267</v>
      </c>
      <c r="B269" s="9">
        <v>2403</v>
      </c>
      <c r="C269" s="9" t="s">
        <v>441</v>
      </c>
      <c r="D269" s="9" t="s">
        <v>10</v>
      </c>
      <c r="E269" s="10" t="str">
        <f>"190.93"</f>
        <v>190.93</v>
      </c>
      <c r="F269" s="11"/>
      <c r="G269" s="11">
        <v>2017</v>
      </c>
      <c r="H269" s="12" t="str">
        <f>"119.47"</f>
        <v>119.47</v>
      </c>
      <c r="I269" s="12"/>
      <c r="J269" s="12"/>
      <c r="K269" s="12" t="str">
        <f>"211.42"</f>
        <v>211.42</v>
      </c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 t="str">
        <f>"361.55"</f>
        <v>361.55</v>
      </c>
      <c r="Y269" s="12"/>
      <c r="Z269" s="12"/>
      <c r="AA269" s="12" t="str">
        <f>"170.44"</f>
        <v>170.44</v>
      </c>
    </row>
    <row r="270" spans="1:27">
      <c r="A270" s="9">
        <v>268</v>
      </c>
      <c r="B270" s="9">
        <v>10190</v>
      </c>
      <c r="C270" s="9" t="s">
        <v>444</v>
      </c>
      <c r="D270" s="9" t="s">
        <v>10</v>
      </c>
      <c r="E270" s="10" t="str">
        <f>"191.15"</f>
        <v>191.15</v>
      </c>
      <c r="F270" s="11"/>
      <c r="G270" s="11">
        <v>2017</v>
      </c>
      <c r="H270" s="12" t="str">
        <f>"325.07"</f>
        <v>325.07</v>
      </c>
      <c r="I270" s="12" t="str">
        <f>"453.93"</f>
        <v>453.93</v>
      </c>
      <c r="J270" s="12" t="str">
        <f>"300.30"</f>
        <v>300.30</v>
      </c>
      <c r="K270" s="12"/>
      <c r="L270" s="12"/>
      <c r="M270" s="12"/>
      <c r="N270" s="12"/>
      <c r="O270" s="12"/>
      <c r="P270" s="12"/>
      <c r="Q270" s="12"/>
      <c r="R270" s="12"/>
      <c r="S270" s="12" t="str">
        <f>"239.52"</f>
        <v>239.52</v>
      </c>
      <c r="T270" s="12" t="str">
        <f>"488.88"</f>
        <v>488.88</v>
      </c>
      <c r="U270" s="12"/>
      <c r="V270" s="12"/>
      <c r="W270" s="12"/>
      <c r="X270" s="12"/>
      <c r="Y270" s="12"/>
      <c r="Z270" s="12" t="str">
        <f>"177.35"</f>
        <v>177.35</v>
      </c>
      <c r="AA270" s="12" t="str">
        <f>"204.95"</f>
        <v>204.95</v>
      </c>
    </row>
    <row r="271" spans="1:27">
      <c r="A271" s="9">
        <v>269</v>
      </c>
      <c r="B271" s="9">
        <v>2718</v>
      </c>
      <c r="C271" s="9" t="s">
        <v>282</v>
      </c>
      <c r="D271" s="9" t="s">
        <v>12</v>
      </c>
      <c r="E271" s="10" t="str">
        <f>"191.44"</f>
        <v>191.44</v>
      </c>
      <c r="F271" s="11" t="s">
        <v>9</v>
      </c>
      <c r="G271" s="11">
        <v>2017</v>
      </c>
      <c r="H271" s="12" t="str">
        <f>"178.28"</f>
        <v>178.28</v>
      </c>
      <c r="I271" s="12"/>
      <c r="J271" s="12"/>
      <c r="K271" s="12" t="str">
        <f>"163.44"</f>
        <v>163.44</v>
      </c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>
      <c r="A272" s="9">
        <v>270</v>
      </c>
      <c r="B272" s="9">
        <v>8483</v>
      </c>
      <c r="C272" s="9" t="s">
        <v>532</v>
      </c>
      <c r="D272" s="9" t="s">
        <v>10</v>
      </c>
      <c r="E272" s="10" t="str">
        <f>"191.79"</f>
        <v>191.79</v>
      </c>
      <c r="F272" s="11" t="s">
        <v>9</v>
      </c>
      <c r="G272" s="11">
        <v>2017</v>
      </c>
      <c r="H272" s="12" t="str">
        <f>"161.45"</f>
        <v>161.45</v>
      </c>
      <c r="I272" s="12"/>
      <c r="J272" s="12" t="str">
        <f>"163.79"</f>
        <v>163.79</v>
      </c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>
      <c r="A273" s="9">
        <v>271</v>
      </c>
      <c r="B273" s="9">
        <v>4528</v>
      </c>
      <c r="C273" s="9" t="s">
        <v>418</v>
      </c>
      <c r="D273" s="9" t="s">
        <v>39</v>
      </c>
      <c r="E273" s="10" t="str">
        <f>"192.09"</f>
        <v>192.09</v>
      </c>
      <c r="F273" s="11" t="s">
        <v>9</v>
      </c>
      <c r="G273" s="11">
        <v>2017</v>
      </c>
      <c r="H273" s="12" t="str">
        <f>"186.21"</f>
        <v>186.21</v>
      </c>
      <c r="I273" s="12"/>
      <c r="J273" s="12"/>
      <c r="K273" s="12"/>
      <c r="L273" s="12"/>
      <c r="M273" s="12"/>
      <c r="N273" s="12"/>
      <c r="O273" s="12"/>
      <c r="P273" s="12" t="str">
        <f>"164.09"</f>
        <v>164.09</v>
      </c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>
      <c r="A274" s="9">
        <v>272</v>
      </c>
      <c r="B274" s="9">
        <v>6369</v>
      </c>
      <c r="C274" s="9" t="s">
        <v>701</v>
      </c>
      <c r="D274" s="9" t="s">
        <v>702</v>
      </c>
      <c r="E274" s="10" t="str">
        <f>"192.69"</f>
        <v>192.69</v>
      </c>
      <c r="F274" s="11" t="s">
        <v>11</v>
      </c>
      <c r="G274" s="11">
        <v>2017</v>
      </c>
      <c r="H274" s="12" t="str">
        <f>"164.69"</f>
        <v>164.69</v>
      </c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>
      <c r="A275" s="9">
        <v>273</v>
      </c>
      <c r="B275" s="9">
        <v>5478</v>
      </c>
      <c r="C275" s="9" t="s">
        <v>235</v>
      </c>
      <c r="D275" s="9" t="s">
        <v>19</v>
      </c>
      <c r="E275" s="10" t="str">
        <f>"192.88"</f>
        <v>192.88</v>
      </c>
      <c r="F275" s="11"/>
      <c r="G275" s="11">
        <v>2017</v>
      </c>
      <c r="H275" s="12" t="str">
        <f>"197.55"</f>
        <v>197.55</v>
      </c>
      <c r="I275" s="12"/>
      <c r="J275" s="12"/>
      <c r="K275" s="12"/>
      <c r="L275" s="12"/>
      <c r="M275" s="12"/>
      <c r="N275" s="12" t="str">
        <f>"239.30"</f>
        <v>239.30</v>
      </c>
      <c r="O275" s="12"/>
      <c r="P275" s="12"/>
      <c r="Q275" s="12"/>
      <c r="R275" s="12" t="str">
        <f>"483.34"</f>
        <v>483.34</v>
      </c>
      <c r="S275" s="12"/>
      <c r="T275" s="12"/>
      <c r="U275" s="12" t="str">
        <f>"146.45"</f>
        <v>146.45</v>
      </c>
      <c r="V275" s="12"/>
      <c r="W275" s="12"/>
      <c r="X275" s="12"/>
      <c r="Y275" s="12"/>
      <c r="Z275" s="12"/>
      <c r="AA275" s="12"/>
    </row>
    <row r="276" spans="1:27">
      <c r="A276" s="9">
        <v>274</v>
      </c>
      <c r="B276" s="9">
        <v>6971</v>
      </c>
      <c r="C276" s="9" t="s">
        <v>631</v>
      </c>
      <c r="D276" s="9" t="s">
        <v>49</v>
      </c>
      <c r="E276" s="10" t="str">
        <f>"193.18"</f>
        <v>193.18</v>
      </c>
      <c r="F276" s="11"/>
      <c r="G276" s="11">
        <v>2017</v>
      </c>
      <c r="H276" s="12" t="str">
        <f>"173.49"</f>
        <v>173.49</v>
      </c>
      <c r="I276" s="12"/>
      <c r="J276" s="12"/>
      <c r="K276" s="12" t="str">
        <f>"217.46"</f>
        <v>217.46</v>
      </c>
      <c r="L276" s="12"/>
      <c r="M276" s="12"/>
      <c r="N276" s="12"/>
      <c r="O276" s="12"/>
      <c r="P276" s="12" t="str">
        <f>"168.89"</f>
        <v>168.89</v>
      </c>
      <c r="Q276" s="12"/>
      <c r="R276" s="12"/>
      <c r="S276" s="12"/>
      <c r="T276" s="12"/>
      <c r="U276" s="12"/>
      <c r="V276" s="12" t="str">
        <f>"262.52"</f>
        <v>262.52</v>
      </c>
      <c r="W276" s="12"/>
      <c r="X276" s="12"/>
      <c r="Y276" s="12"/>
      <c r="Z276" s="12"/>
      <c r="AA276" s="12"/>
    </row>
    <row r="277" spans="1:27">
      <c r="A277" s="9">
        <v>275</v>
      </c>
      <c r="B277" s="9">
        <v>10126</v>
      </c>
      <c r="C277" s="9" t="s">
        <v>241</v>
      </c>
      <c r="D277" s="9" t="s">
        <v>10</v>
      </c>
      <c r="E277" s="10" t="str">
        <f>"193.31"</f>
        <v>193.31</v>
      </c>
      <c r="F277" s="11" t="s">
        <v>9</v>
      </c>
      <c r="G277" s="11">
        <v>2017</v>
      </c>
      <c r="H277" s="12" t="str">
        <f>"197.11"</f>
        <v>197.11</v>
      </c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 t="str">
        <f>"165.31"</f>
        <v>165.31</v>
      </c>
    </row>
    <row r="278" spans="1:27">
      <c r="A278" s="9">
        <v>276</v>
      </c>
      <c r="B278" s="9">
        <v>6180</v>
      </c>
      <c r="C278" s="9" t="s">
        <v>292</v>
      </c>
      <c r="D278" s="9" t="s">
        <v>133</v>
      </c>
      <c r="E278" s="10" t="str">
        <f>"193.64"</f>
        <v>193.64</v>
      </c>
      <c r="F278" s="11" t="s">
        <v>9</v>
      </c>
      <c r="G278" s="11">
        <v>2017</v>
      </c>
      <c r="H278" s="12" t="str">
        <f>"179.65"</f>
        <v>179.65</v>
      </c>
      <c r="I278" s="12"/>
      <c r="J278" s="12"/>
      <c r="K278" s="12" t="str">
        <f>"165.64"</f>
        <v>165.64</v>
      </c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>
      <c r="A279" s="9">
        <v>277</v>
      </c>
      <c r="B279" s="9">
        <v>10618</v>
      </c>
      <c r="C279" s="9" t="s">
        <v>467</v>
      </c>
      <c r="D279" s="9" t="s">
        <v>10</v>
      </c>
      <c r="E279" s="10" t="str">
        <f>"194.80"</f>
        <v>194.80</v>
      </c>
      <c r="F279" s="11" t="s">
        <v>9</v>
      </c>
      <c r="G279" s="11">
        <v>2017</v>
      </c>
      <c r="H279" s="12" t="str">
        <f>"165.75"</f>
        <v>165.75</v>
      </c>
      <c r="I279" s="12"/>
      <c r="J279" s="12" t="str">
        <f>"166.80"</f>
        <v>166.80</v>
      </c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>
      <c r="A280" s="9">
        <v>278</v>
      </c>
      <c r="B280" s="9">
        <v>10998</v>
      </c>
      <c r="C280" s="9" t="s">
        <v>349</v>
      </c>
      <c r="D280" s="9" t="s">
        <v>14</v>
      </c>
      <c r="E280" s="10" t="str">
        <f>"195.06"</f>
        <v>195.06</v>
      </c>
      <c r="F280" s="11" t="s">
        <v>9</v>
      </c>
      <c r="G280" s="11">
        <v>2017</v>
      </c>
      <c r="H280" s="12" t="str">
        <f>"359.23"</f>
        <v>359.23</v>
      </c>
      <c r="I280" s="12"/>
      <c r="J280" s="12"/>
      <c r="K280" s="12" t="str">
        <f>"167.06"</f>
        <v>167.06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>
      <c r="A281" s="9">
        <v>279</v>
      </c>
      <c r="B281" s="9">
        <v>1047</v>
      </c>
      <c r="C281" s="9" t="s">
        <v>374</v>
      </c>
      <c r="D281" s="9" t="s">
        <v>28</v>
      </c>
      <c r="E281" s="10" t="str">
        <f>"195.63"</f>
        <v>195.63</v>
      </c>
      <c r="F281" s="11" t="s">
        <v>9</v>
      </c>
      <c r="G281" s="11">
        <v>2017</v>
      </c>
      <c r="H281" s="12"/>
      <c r="I281" s="12"/>
      <c r="J281" s="12"/>
      <c r="K281" s="12" t="str">
        <f>"167.63"</f>
        <v>167.63</v>
      </c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>
      <c r="A282" s="9">
        <v>280</v>
      </c>
      <c r="B282" s="9">
        <v>3312</v>
      </c>
      <c r="C282" s="9" t="s">
        <v>530</v>
      </c>
      <c r="D282" s="9" t="s">
        <v>10</v>
      </c>
      <c r="E282" s="10" t="str">
        <f>"195.81"</f>
        <v>195.81</v>
      </c>
      <c r="F282" s="11" t="s">
        <v>11</v>
      </c>
      <c r="G282" s="11">
        <v>2017</v>
      </c>
      <c r="H282" s="12" t="str">
        <f>"167.81"</f>
        <v>167.81</v>
      </c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>
      <c r="A283" s="9">
        <v>281</v>
      </c>
      <c r="B283" s="9">
        <v>10890</v>
      </c>
      <c r="C283" s="9" t="s">
        <v>854</v>
      </c>
      <c r="D283" s="9" t="s">
        <v>10</v>
      </c>
      <c r="E283" s="10" t="str">
        <f>"196.75"</f>
        <v>196.75</v>
      </c>
      <c r="F283" s="11"/>
      <c r="G283" s="11">
        <v>2017</v>
      </c>
      <c r="H283" s="12" t="str">
        <f>"308.50"</f>
        <v>308.50</v>
      </c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 t="str">
        <f>"257.15"</f>
        <v>257.15</v>
      </c>
      <c r="T283" s="12" t="str">
        <f>"305.09"</f>
        <v>305.09</v>
      </c>
      <c r="U283" s="12"/>
      <c r="V283" s="12"/>
      <c r="W283" s="12"/>
      <c r="X283" s="12"/>
      <c r="Y283" s="12"/>
      <c r="Z283" s="12" t="str">
        <f>"184.76"</f>
        <v>184.76</v>
      </c>
      <c r="AA283" s="12" t="str">
        <f>"208.73"</f>
        <v>208.73</v>
      </c>
    </row>
    <row r="284" spans="1:27">
      <c r="A284" s="9">
        <v>282</v>
      </c>
      <c r="B284" s="9">
        <v>5072</v>
      </c>
      <c r="C284" s="9" t="s">
        <v>174</v>
      </c>
      <c r="D284" s="9" t="s">
        <v>58</v>
      </c>
      <c r="E284" s="10" t="str">
        <f>"197.10"</f>
        <v>197.10</v>
      </c>
      <c r="F284" s="11" t="s">
        <v>11</v>
      </c>
      <c r="G284" s="11">
        <v>2017</v>
      </c>
      <c r="H284" s="12" t="str">
        <f>"169.10"</f>
        <v>169.10</v>
      </c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>
      <c r="A285" s="9">
        <v>283</v>
      </c>
      <c r="B285" s="9">
        <v>5292</v>
      </c>
      <c r="C285" s="9" t="s">
        <v>361</v>
      </c>
      <c r="D285" s="9" t="s">
        <v>48</v>
      </c>
      <c r="E285" s="10" t="str">
        <f>"197.31"</f>
        <v>197.31</v>
      </c>
      <c r="F285" s="11"/>
      <c r="G285" s="11">
        <v>2017</v>
      </c>
      <c r="H285" s="12" t="str">
        <f>"173.04"</f>
        <v>173.04</v>
      </c>
      <c r="I285" s="12"/>
      <c r="J285" s="12"/>
      <c r="K285" s="12"/>
      <c r="L285" s="12" t="str">
        <f>"180.89"</f>
        <v>180.89</v>
      </c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 t="str">
        <f>"213.73"</f>
        <v>213.73</v>
      </c>
      <c r="Y285" s="12"/>
      <c r="Z285" s="12"/>
      <c r="AA285" s="12"/>
    </row>
    <row r="286" spans="1:27">
      <c r="A286" s="9">
        <v>284</v>
      </c>
      <c r="B286" s="9">
        <v>1519</v>
      </c>
      <c r="C286" s="9" t="s">
        <v>465</v>
      </c>
      <c r="D286" s="9" t="s">
        <v>36</v>
      </c>
      <c r="E286" s="10" t="str">
        <f>"197.75"</f>
        <v>197.75</v>
      </c>
      <c r="F286" s="11" t="s">
        <v>9</v>
      </c>
      <c r="G286" s="11">
        <v>2017</v>
      </c>
      <c r="H286" s="12" t="str">
        <f>"212.53"</f>
        <v>212.53</v>
      </c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 t="str">
        <f>"169.75"</f>
        <v>169.75</v>
      </c>
      <c r="V286" s="12"/>
      <c r="W286" s="12"/>
      <c r="X286" s="12"/>
      <c r="Y286" s="12"/>
      <c r="Z286" s="12"/>
      <c r="AA286" s="12"/>
    </row>
    <row r="287" spans="1:27">
      <c r="A287" s="9">
        <v>285</v>
      </c>
      <c r="B287" s="9">
        <v>5679</v>
      </c>
      <c r="C287" s="9" t="s">
        <v>435</v>
      </c>
      <c r="D287" s="9" t="s">
        <v>14</v>
      </c>
      <c r="E287" s="10" t="str">
        <f>"198.03"</f>
        <v>198.03</v>
      </c>
      <c r="F287" s="11"/>
      <c r="G287" s="11">
        <v>2017</v>
      </c>
      <c r="H287" s="12" t="str">
        <f>"139.74"</f>
        <v>139.74</v>
      </c>
      <c r="I287" s="12"/>
      <c r="J287" s="12"/>
      <c r="K287" s="12" t="str">
        <f>"180.43"</f>
        <v>180.43</v>
      </c>
      <c r="L287" s="12"/>
      <c r="M287" s="12"/>
      <c r="N287" s="12"/>
      <c r="O287" s="12"/>
      <c r="P287" s="12"/>
      <c r="Q287" s="12"/>
      <c r="R287" s="12"/>
      <c r="S287" s="12"/>
      <c r="T287" s="12"/>
      <c r="U287" s="12" t="str">
        <f>"215.62"</f>
        <v>215.62</v>
      </c>
      <c r="V287" s="12"/>
      <c r="W287" s="12"/>
      <c r="X287" s="12"/>
      <c r="Y287" s="12"/>
      <c r="Z287" s="12"/>
      <c r="AA287" s="12"/>
    </row>
    <row r="288" spans="1:27">
      <c r="A288" s="9">
        <v>286</v>
      </c>
      <c r="B288" s="9">
        <v>11256</v>
      </c>
      <c r="C288" s="9" t="s">
        <v>650</v>
      </c>
      <c r="D288" s="9" t="s">
        <v>10</v>
      </c>
      <c r="E288" s="10" t="str">
        <f>"198.38"</f>
        <v>198.38</v>
      </c>
      <c r="F288" s="11"/>
      <c r="G288" s="11">
        <v>2017</v>
      </c>
      <c r="H288" s="12"/>
      <c r="I288" s="12" t="str">
        <f>"360.84"</f>
        <v>360.84</v>
      </c>
      <c r="J288" s="12" t="str">
        <f>"357.18"</f>
        <v>357.18</v>
      </c>
      <c r="K288" s="12"/>
      <c r="L288" s="12"/>
      <c r="M288" s="12"/>
      <c r="N288" s="12"/>
      <c r="O288" s="12"/>
      <c r="P288" s="12"/>
      <c r="Q288" s="12"/>
      <c r="R288" s="12"/>
      <c r="S288" s="12" t="str">
        <f>"226.26"</f>
        <v>226.26</v>
      </c>
      <c r="T288" s="12"/>
      <c r="U288" s="12"/>
      <c r="V288" s="12"/>
      <c r="W288" s="12"/>
      <c r="X288" s="12"/>
      <c r="Y288" s="12"/>
      <c r="Z288" s="12" t="str">
        <f>"170.49"</f>
        <v>170.49</v>
      </c>
      <c r="AA288" s="12"/>
    </row>
    <row r="289" spans="1:27">
      <c r="A289" s="9">
        <v>287</v>
      </c>
      <c r="B289" s="9">
        <v>8630</v>
      </c>
      <c r="C289" s="9" t="s">
        <v>462</v>
      </c>
      <c r="D289" s="9" t="s">
        <v>10</v>
      </c>
      <c r="E289" s="10" t="str">
        <f>"199.12"</f>
        <v>199.12</v>
      </c>
      <c r="F289" s="11" t="s">
        <v>11</v>
      </c>
      <c r="G289" s="11">
        <v>2017</v>
      </c>
      <c r="H289" s="12" t="str">
        <f>"171.12"</f>
        <v>171.12</v>
      </c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>
      <c r="A290" s="9">
        <v>288</v>
      </c>
      <c r="B290" s="9">
        <v>10722</v>
      </c>
      <c r="C290" s="9" t="s">
        <v>472</v>
      </c>
      <c r="D290" s="9" t="s">
        <v>19</v>
      </c>
      <c r="E290" s="10" t="str">
        <f>"199.82"</f>
        <v>199.82</v>
      </c>
      <c r="F290" s="11"/>
      <c r="G290" s="11">
        <v>2017</v>
      </c>
      <c r="H290" s="12" t="str">
        <f>"589.62"</f>
        <v>589.62</v>
      </c>
      <c r="I290" s="12"/>
      <c r="J290" s="12"/>
      <c r="K290" s="12"/>
      <c r="L290" s="12"/>
      <c r="M290" s="12"/>
      <c r="N290" s="12"/>
      <c r="O290" s="12"/>
      <c r="P290" s="12"/>
      <c r="Q290" s="12"/>
      <c r="R290" s="12" t="str">
        <f>"527.98"</f>
        <v>527.98</v>
      </c>
      <c r="S290" s="12"/>
      <c r="T290" s="12"/>
      <c r="U290" s="12" t="str">
        <f>"213.85"</f>
        <v>213.85</v>
      </c>
      <c r="V290" s="12"/>
      <c r="W290" s="12"/>
      <c r="X290" s="12"/>
      <c r="Y290" s="12" t="str">
        <f>"185.79"</f>
        <v>185.79</v>
      </c>
      <c r="Z290" s="12"/>
      <c r="AA290" s="12"/>
    </row>
    <row r="291" spans="1:27">
      <c r="A291" s="9">
        <v>289</v>
      </c>
      <c r="B291" s="9">
        <v>1349</v>
      </c>
      <c r="C291" s="9" t="s">
        <v>634</v>
      </c>
      <c r="D291" s="9" t="s">
        <v>63</v>
      </c>
      <c r="E291" s="10" t="str">
        <f>"200.33"</f>
        <v>200.33</v>
      </c>
      <c r="F291" s="11"/>
      <c r="G291" s="11">
        <v>2017</v>
      </c>
      <c r="H291" s="12" t="str">
        <f>"168.45"</f>
        <v>168.45</v>
      </c>
      <c r="I291" s="12"/>
      <c r="J291" s="12"/>
      <c r="K291" s="12"/>
      <c r="L291" s="12"/>
      <c r="M291" s="12"/>
      <c r="N291" s="12"/>
      <c r="O291" s="12"/>
      <c r="P291" s="12"/>
      <c r="Q291" s="12" t="str">
        <f>"199.10"</f>
        <v>199.10</v>
      </c>
      <c r="R291" s="12"/>
      <c r="S291" s="12"/>
      <c r="T291" s="12"/>
      <c r="U291" s="12"/>
      <c r="V291" s="12"/>
      <c r="W291" s="12" t="str">
        <f>"201.55"</f>
        <v>201.55</v>
      </c>
      <c r="X291" s="12"/>
      <c r="Y291" s="12"/>
      <c r="Z291" s="12"/>
      <c r="AA291" s="12"/>
    </row>
    <row r="292" spans="1:27">
      <c r="A292" s="9">
        <v>290</v>
      </c>
      <c r="B292" s="9">
        <v>9134</v>
      </c>
      <c r="C292" s="9" t="s">
        <v>671</v>
      </c>
      <c r="D292" s="9" t="s">
        <v>43</v>
      </c>
      <c r="E292" s="10" t="str">
        <f>"200.48"</f>
        <v>200.48</v>
      </c>
      <c r="F292" s="11" t="s">
        <v>11</v>
      </c>
      <c r="G292" s="11">
        <v>2017</v>
      </c>
      <c r="H292" s="12" t="str">
        <f>"172.48"</f>
        <v>172.48</v>
      </c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>
      <c r="A293" s="9">
        <v>291</v>
      </c>
      <c r="B293" s="9">
        <v>2540</v>
      </c>
      <c r="C293" s="9" t="s">
        <v>622</v>
      </c>
      <c r="D293" s="9" t="s">
        <v>20</v>
      </c>
      <c r="E293" s="10" t="str">
        <f>"201.06"</f>
        <v>201.06</v>
      </c>
      <c r="F293" s="11" t="s">
        <v>11</v>
      </c>
      <c r="G293" s="11">
        <v>2017</v>
      </c>
      <c r="H293" s="12" t="str">
        <f>"173.06"</f>
        <v>173.06</v>
      </c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>
      <c r="A294" s="9">
        <v>292</v>
      </c>
      <c r="B294" s="9">
        <v>11039</v>
      </c>
      <c r="C294" s="9" t="s">
        <v>617</v>
      </c>
      <c r="D294" s="9" t="s">
        <v>12</v>
      </c>
      <c r="E294" s="10" t="str">
        <f>"201.25"</f>
        <v>201.25</v>
      </c>
      <c r="F294" s="11" t="s">
        <v>9</v>
      </c>
      <c r="G294" s="11">
        <v>2017</v>
      </c>
      <c r="H294" s="12" t="str">
        <f>"192.44"</f>
        <v>192.44</v>
      </c>
      <c r="I294" s="12"/>
      <c r="J294" s="12"/>
      <c r="K294" s="12"/>
      <c r="L294" s="12"/>
      <c r="M294" s="12" t="str">
        <f>"173.25"</f>
        <v>173.25</v>
      </c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>
      <c r="A295" s="9">
        <v>293</v>
      </c>
      <c r="B295" s="9">
        <v>3126</v>
      </c>
      <c r="C295" s="9" t="s">
        <v>314</v>
      </c>
      <c r="D295" s="9" t="s">
        <v>51</v>
      </c>
      <c r="E295" s="10" t="str">
        <f>"201.76"</f>
        <v>201.76</v>
      </c>
      <c r="F295" s="11" t="s">
        <v>9</v>
      </c>
      <c r="G295" s="11">
        <v>2017</v>
      </c>
      <c r="H295" s="12" t="str">
        <f>"207.49"</f>
        <v>207.49</v>
      </c>
      <c r="I295" s="12"/>
      <c r="J295" s="12"/>
      <c r="K295" s="12"/>
      <c r="L295" s="12"/>
      <c r="M295" s="12"/>
      <c r="N295" s="12"/>
      <c r="O295" s="12"/>
      <c r="P295" s="12" t="str">
        <f>"173.76"</f>
        <v>173.76</v>
      </c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>
      <c r="A296" s="9">
        <v>294</v>
      </c>
      <c r="B296" s="9">
        <v>6370</v>
      </c>
      <c r="C296" s="9" t="s">
        <v>777</v>
      </c>
      <c r="D296" s="9" t="s">
        <v>702</v>
      </c>
      <c r="E296" s="10" t="str">
        <f>"202.05"</f>
        <v>202.05</v>
      </c>
      <c r="F296" s="11" t="s">
        <v>11</v>
      </c>
      <c r="G296" s="11">
        <v>2017</v>
      </c>
      <c r="H296" s="12" t="str">
        <f>"174.05"</f>
        <v>174.05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>
      <c r="A297" s="9">
        <v>295</v>
      </c>
      <c r="B297" s="9">
        <v>8486</v>
      </c>
      <c r="C297" s="9" t="s">
        <v>360</v>
      </c>
      <c r="D297" s="9" t="s">
        <v>10</v>
      </c>
      <c r="E297" s="10" t="str">
        <f>"203.12"</f>
        <v>203.12</v>
      </c>
      <c r="F297" s="11"/>
      <c r="G297" s="11">
        <v>2017</v>
      </c>
      <c r="H297" s="12" t="str">
        <f>"151.66"</f>
        <v>151.66</v>
      </c>
      <c r="I297" s="12"/>
      <c r="J297" s="12" t="str">
        <f>"166.80"</f>
        <v>166.80</v>
      </c>
      <c r="K297" s="12"/>
      <c r="L297" s="12"/>
      <c r="M297" s="12"/>
      <c r="N297" s="12"/>
      <c r="O297" s="12"/>
      <c r="P297" s="12"/>
      <c r="Q297" s="12"/>
      <c r="R297" s="12"/>
      <c r="S297" s="12"/>
      <c r="T297" s="12" t="str">
        <f>"239.44"</f>
        <v>239.44</v>
      </c>
      <c r="U297" s="12"/>
      <c r="V297" s="12"/>
      <c r="W297" s="12"/>
      <c r="X297" s="12"/>
      <c r="Y297" s="12"/>
      <c r="Z297" s="12"/>
      <c r="AA297" s="12"/>
    </row>
    <row r="298" spans="1:27">
      <c r="A298" s="9">
        <v>296</v>
      </c>
      <c r="B298" s="9">
        <v>5871</v>
      </c>
      <c r="C298" s="9" t="s">
        <v>297</v>
      </c>
      <c r="D298" s="9" t="s">
        <v>298</v>
      </c>
      <c r="E298" s="10" t="str">
        <f>"203.50"</f>
        <v>203.50</v>
      </c>
      <c r="F298" s="11"/>
      <c r="G298" s="11">
        <v>2017</v>
      </c>
      <c r="H298" s="12" t="str">
        <f>"172.71"</f>
        <v>172.71</v>
      </c>
      <c r="I298" s="12"/>
      <c r="J298" s="12"/>
      <c r="K298" s="12" t="str">
        <f>"217.18"</f>
        <v>217.18</v>
      </c>
      <c r="L298" s="12"/>
      <c r="M298" s="12"/>
      <c r="N298" s="12"/>
      <c r="O298" s="12"/>
      <c r="P298" s="12"/>
      <c r="Q298" s="12"/>
      <c r="R298" s="12"/>
      <c r="S298" s="12"/>
      <c r="T298" s="12"/>
      <c r="U298" s="12" t="str">
        <f>"189.81"</f>
        <v>189.81</v>
      </c>
      <c r="V298" s="12"/>
      <c r="W298" s="12"/>
      <c r="X298" s="12"/>
      <c r="Y298" s="12"/>
      <c r="Z298" s="12"/>
      <c r="AA298" s="12"/>
    </row>
    <row r="299" spans="1:27">
      <c r="A299" s="9">
        <v>297</v>
      </c>
      <c r="B299" s="9">
        <v>4409</v>
      </c>
      <c r="C299" s="9" t="s">
        <v>223</v>
      </c>
      <c r="D299" s="9" t="s">
        <v>14</v>
      </c>
      <c r="E299" s="10" t="str">
        <f>"203.53"</f>
        <v>203.53</v>
      </c>
      <c r="F299" s="11" t="s">
        <v>11</v>
      </c>
      <c r="G299" s="11">
        <v>2017</v>
      </c>
      <c r="H299" s="12" t="str">
        <f>"175.53"</f>
        <v>175.53</v>
      </c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>
      <c r="A300" s="9">
        <v>298</v>
      </c>
      <c r="B300" s="9">
        <v>2450</v>
      </c>
      <c r="C300" s="9" t="s">
        <v>875</v>
      </c>
      <c r="D300" s="9" t="s">
        <v>61</v>
      </c>
      <c r="E300" s="10" t="str">
        <f>"203.61"</f>
        <v>203.61</v>
      </c>
      <c r="F300" s="11" t="s">
        <v>11</v>
      </c>
      <c r="G300" s="11">
        <v>2017</v>
      </c>
      <c r="H300" s="12" t="str">
        <f>"175.61"</f>
        <v>175.61</v>
      </c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>
      <c r="A301" s="9">
        <v>299</v>
      </c>
      <c r="B301" s="9">
        <v>4092</v>
      </c>
      <c r="C301" s="9" t="s">
        <v>419</v>
      </c>
      <c r="D301" s="9" t="s">
        <v>30</v>
      </c>
      <c r="E301" s="10" t="str">
        <f>"203.73"</f>
        <v>203.73</v>
      </c>
      <c r="F301" s="11" t="s">
        <v>9</v>
      </c>
      <c r="G301" s="11">
        <v>2017</v>
      </c>
      <c r="H301" s="12" t="str">
        <f>"189.43"</f>
        <v>189.43</v>
      </c>
      <c r="I301" s="12"/>
      <c r="J301" s="12"/>
      <c r="K301" s="12" t="str">
        <f>"175.73"</f>
        <v>175.73</v>
      </c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>
      <c r="A302" s="9">
        <v>300</v>
      </c>
      <c r="B302" s="9">
        <v>10188</v>
      </c>
      <c r="C302" s="9" t="s">
        <v>526</v>
      </c>
      <c r="D302" s="9" t="s">
        <v>10</v>
      </c>
      <c r="E302" s="10" t="str">
        <f>"204.21"</f>
        <v>204.21</v>
      </c>
      <c r="F302" s="11"/>
      <c r="G302" s="11">
        <v>2017</v>
      </c>
      <c r="H302" s="12" t="str">
        <f>"362.44"</f>
        <v>362.44</v>
      </c>
      <c r="I302" s="12" t="str">
        <f>"227.68"</f>
        <v>227.68</v>
      </c>
      <c r="J302" s="12"/>
      <c r="K302" s="12"/>
      <c r="L302" s="12"/>
      <c r="M302" s="12"/>
      <c r="N302" s="12"/>
      <c r="O302" s="12"/>
      <c r="P302" s="12"/>
      <c r="Q302" s="12"/>
      <c r="R302" s="12"/>
      <c r="S302" s="12" t="str">
        <f>"212.29"</f>
        <v>212.29</v>
      </c>
      <c r="T302" s="12"/>
      <c r="U302" s="12"/>
      <c r="V302" s="12"/>
      <c r="W302" s="12"/>
      <c r="X302" s="12"/>
      <c r="Y302" s="12"/>
      <c r="Z302" s="12" t="str">
        <f>"203.89"</f>
        <v>203.89</v>
      </c>
      <c r="AA302" s="12" t="str">
        <f>"204.53"</f>
        <v>204.53</v>
      </c>
    </row>
    <row r="303" spans="1:27">
      <c r="A303" s="9">
        <v>301</v>
      </c>
      <c r="B303" s="9">
        <v>3684</v>
      </c>
      <c r="C303" s="9" t="s">
        <v>306</v>
      </c>
      <c r="D303" s="9" t="s">
        <v>54</v>
      </c>
      <c r="E303" s="10" t="str">
        <f>"204.27"</f>
        <v>204.27</v>
      </c>
      <c r="F303" s="11"/>
      <c r="G303" s="11">
        <v>2017</v>
      </c>
      <c r="H303" s="12" t="str">
        <f>"194.22"</f>
        <v>194.22</v>
      </c>
      <c r="I303" s="12"/>
      <c r="J303" s="12"/>
      <c r="K303" s="12"/>
      <c r="L303" s="12"/>
      <c r="M303" s="12"/>
      <c r="N303" s="12"/>
      <c r="O303" s="12"/>
      <c r="P303" s="12" t="str">
        <f>"206.34"</f>
        <v>206.34</v>
      </c>
      <c r="Q303" s="12"/>
      <c r="R303" s="12"/>
      <c r="S303" s="12"/>
      <c r="T303" s="12"/>
      <c r="U303" s="12" t="str">
        <f>"202.20"</f>
        <v>202.20</v>
      </c>
      <c r="V303" s="12"/>
      <c r="W303" s="12"/>
      <c r="X303" s="12"/>
      <c r="Y303" s="12"/>
      <c r="Z303" s="12"/>
      <c r="AA303" s="12"/>
    </row>
    <row r="304" spans="1:27">
      <c r="A304" s="9">
        <v>302</v>
      </c>
      <c r="B304" s="9">
        <v>756</v>
      </c>
      <c r="C304" s="9" t="s">
        <v>554</v>
      </c>
      <c r="D304" s="9" t="s">
        <v>20</v>
      </c>
      <c r="E304" s="10" t="str">
        <f>"204.37"</f>
        <v>204.37</v>
      </c>
      <c r="F304" s="11" t="s">
        <v>11</v>
      </c>
      <c r="G304" s="11">
        <v>2017</v>
      </c>
      <c r="H304" s="12" t="str">
        <f>"176.37"</f>
        <v>176.37</v>
      </c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>
      <c r="A305" s="9">
        <v>303</v>
      </c>
      <c r="B305" s="9">
        <v>1405</v>
      </c>
      <c r="C305" s="9" t="s">
        <v>1194</v>
      </c>
      <c r="D305" s="9" t="s">
        <v>67</v>
      </c>
      <c r="E305" s="10" t="str">
        <f>"205.07"</f>
        <v>205.07</v>
      </c>
      <c r="F305" s="11" t="s">
        <v>11</v>
      </c>
      <c r="G305" s="11">
        <v>2017</v>
      </c>
      <c r="H305" s="12" t="str">
        <f>"177.07"</f>
        <v>177.07</v>
      </c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>
      <c r="A306" s="9">
        <v>304</v>
      </c>
      <c r="B306" s="9">
        <v>7633</v>
      </c>
      <c r="C306" s="9" t="s">
        <v>639</v>
      </c>
      <c r="D306" s="9" t="s">
        <v>22</v>
      </c>
      <c r="E306" s="10" t="str">
        <f>"205.16"</f>
        <v>205.16</v>
      </c>
      <c r="F306" s="11" t="s">
        <v>11</v>
      </c>
      <c r="G306" s="11">
        <v>2017</v>
      </c>
      <c r="H306" s="12" t="str">
        <f>"177.16"</f>
        <v>177.16</v>
      </c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>
      <c r="A307" s="9">
        <v>305</v>
      </c>
      <c r="B307" s="9">
        <v>1343</v>
      </c>
      <c r="C307" s="9" t="s">
        <v>414</v>
      </c>
      <c r="D307" s="9" t="s">
        <v>49</v>
      </c>
      <c r="E307" s="10" t="str">
        <f>"205.38"</f>
        <v>205.38</v>
      </c>
      <c r="F307" s="11"/>
      <c r="G307" s="11">
        <v>2017</v>
      </c>
      <c r="H307" s="12" t="str">
        <f>"223.47"</f>
        <v>223.47</v>
      </c>
      <c r="I307" s="12"/>
      <c r="J307" s="12"/>
      <c r="K307" s="12" t="str">
        <f>"247.04"</f>
        <v>247.04</v>
      </c>
      <c r="L307" s="12"/>
      <c r="M307" s="12"/>
      <c r="N307" s="12"/>
      <c r="O307" s="12"/>
      <c r="P307" s="12" t="str">
        <f>"164.23"</f>
        <v>164.23</v>
      </c>
      <c r="Q307" s="12"/>
      <c r="R307" s="12"/>
      <c r="S307" s="12"/>
      <c r="T307" s="12"/>
      <c r="U307" s="12"/>
      <c r="V307" s="12" t="str">
        <f>"246.52"</f>
        <v>246.52</v>
      </c>
      <c r="W307" s="12"/>
      <c r="X307" s="12"/>
      <c r="Y307" s="12"/>
      <c r="Z307" s="12"/>
      <c r="AA307" s="12"/>
    </row>
    <row r="308" spans="1:27">
      <c r="A308" s="9">
        <v>306</v>
      </c>
      <c r="B308" s="9">
        <v>3347</v>
      </c>
      <c r="C308" s="9" t="s">
        <v>389</v>
      </c>
      <c r="D308" s="9" t="s">
        <v>54</v>
      </c>
      <c r="E308" s="10" t="str">
        <f>"206.43"</f>
        <v>206.43</v>
      </c>
      <c r="F308" s="11" t="s">
        <v>11</v>
      </c>
      <c r="G308" s="11">
        <v>2017</v>
      </c>
      <c r="H308" s="12" t="str">
        <f>"178.43"</f>
        <v>178.43</v>
      </c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>
      <c r="A309" s="9">
        <v>307</v>
      </c>
      <c r="B309" s="9">
        <v>6864</v>
      </c>
      <c r="C309" s="9" t="s">
        <v>693</v>
      </c>
      <c r="D309" s="9" t="s">
        <v>12</v>
      </c>
      <c r="E309" s="10" t="str">
        <f>"206.48"</f>
        <v>206.48</v>
      </c>
      <c r="F309" s="11" t="s">
        <v>11</v>
      </c>
      <c r="G309" s="11">
        <v>2017</v>
      </c>
      <c r="H309" s="12" t="str">
        <f>"178.48"</f>
        <v>178.48</v>
      </c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>
      <c r="A310" s="9">
        <v>308</v>
      </c>
      <c r="B310" s="9">
        <v>6405</v>
      </c>
      <c r="C310" s="9" t="s">
        <v>381</v>
      </c>
      <c r="D310" s="9" t="s">
        <v>189</v>
      </c>
      <c r="E310" s="10" t="str">
        <f>"206.85"</f>
        <v>206.85</v>
      </c>
      <c r="F310" s="11" t="s">
        <v>9</v>
      </c>
      <c r="G310" s="11">
        <v>2017</v>
      </c>
      <c r="H310" s="12"/>
      <c r="I310" s="12"/>
      <c r="J310" s="12"/>
      <c r="K310" s="12"/>
      <c r="L310" s="12"/>
      <c r="M310" s="12"/>
      <c r="N310" s="12"/>
      <c r="O310" s="12"/>
      <c r="P310" s="12" t="str">
        <f>"178.85"</f>
        <v>178.85</v>
      </c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>
      <c r="A311" s="9">
        <v>309</v>
      </c>
      <c r="B311" s="9">
        <v>4219</v>
      </c>
      <c r="C311" s="9" t="s">
        <v>600</v>
      </c>
      <c r="D311" s="9" t="s">
        <v>49</v>
      </c>
      <c r="E311" s="10" t="str">
        <f>"207.23"</f>
        <v>207.23</v>
      </c>
      <c r="F311" s="11" t="s">
        <v>9</v>
      </c>
      <c r="G311" s="11">
        <v>2017</v>
      </c>
      <c r="H311" s="12" t="str">
        <f>"193.43"</f>
        <v>193.43</v>
      </c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 t="str">
        <f>"179.23"</f>
        <v>179.23</v>
      </c>
      <c r="Y311" s="12"/>
      <c r="Z311" s="12"/>
      <c r="AA311" s="12"/>
    </row>
    <row r="312" spans="1:27">
      <c r="A312" s="9">
        <v>310</v>
      </c>
      <c r="B312" s="9">
        <v>8495</v>
      </c>
      <c r="C312" s="9" t="s">
        <v>659</v>
      </c>
      <c r="D312" s="9" t="s">
        <v>10</v>
      </c>
      <c r="E312" s="10" t="str">
        <f>"207.45"</f>
        <v>207.45</v>
      </c>
      <c r="F312" s="11" t="s">
        <v>11</v>
      </c>
      <c r="G312" s="11">
        <v>2017</v>
      </c>
      <c r="H312" s="12" t="str">
        <f>"179.45"</f>
        <v>179.45</v>
      </c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>
      <c r="A313" s="9">
        <v>311</v>
      </c>
      <c r="B313" s="9">
        <v>4225</v>
      </c>
      <c r="C313" s="9" t="s">
        <v>369</v>
      </c>
      <c r="D313" s="9" t="s">
        <v>89</v>
      </c>
      <c r="E313" s="10" t="str">
        <f>"207.89"</f>
        <v>207.89</v>
      </c>
      <c r="F313" s="11"/>
      <c r="G313" s="11">
        <v>2017</v>
      </c>
      <c r="H313" s="12" t="str">
        <f>"159.90"</f>
        <v>159.90</v>
      </c>
      <c r="I313" s="12"/>
      <c r="J313" s="12"/>
      <c r="K313" s="12"/>
      <c r="L313" s="12" t="str">
        <f>"210.48"</f>
        <v>210.48</v>
      </c>
      <c r="M313" s="12"/>
      <c r="N313" s="12"/>
      <c r="O313" s="12"/>
      <c r="P313" s="12"/>
      <c r="Q313" s="12" t="str">
        <f>"205.29"</f>
        <v>205.29</v>
      </c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>
      <c r="A314" s="9">
        <v>312</v>
      </c>
      <c r="B314" s="9">
        <v>8215</v>
      </c>
      <c r="C314" s="9" t="s">
        <v>335</v>
      </c>
      <c r="D314" s="9" t="s">
        <v>64</v>
      </c>
      <c r="E314" s="10" t="str">
        <f>"208.20"</f>
        <v>208.20</v>
      </c>
      <c r="F314" s="11" t="s">
        <v>11</v>
      </c>
      <c r="G314" s="11">
        <v>2017</v>
      </c>
      <c r="H314" s="12" t="str">
        <f>"180.20"</f>
        <v>180.20</v>
      </c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>
      <c r="A315" s="9">
        <v>313</v>
      </c>
      <c r="B315" s="9">
        <v>4429</v>
      </c>
      <c r="C315" s="9" t="s">
        <v>316</v>
      </c>
      <c r="D315" s="9" t="s">
        <v>37</v>
      </c>
      <c r="E315" s="10" t="str">
        <f>"208.29"</f>
        <v>208.29</v>
      </c>
      <c r="F315" s="11"/>
      <c r="G315" s="11">
        <v>2017</v>
      </c>
      <c r="H315" s="12" t="str">
        <f>"215.15"</f>
        <v>215.15</v>
      </c>
      <c r="I315" s="12"/>
      <c r="J315" s="12"/>
      <c r="K315" s="12" t="str">
        <f>"215.33"</f>
        <v>215.33</v>
      </c>
      <c r="L315" s="12"/>
      <c r="M315" s="12"/>
      <c r="N315" s="12"/>
      <c r="O315" s="12"/>
      <c r="P315" s="12"/>
      <c r="Q315" s="12"/>
      <c r="R315" s="12"/>
      <c r="S315" s="12"/>
      <c r="T315" s="12"/>
      <c r="U315" s="12" t="str">
        <f>"201.24"</f>
        <v>201.24</v>
      </c>
      <c r="V315" s="12" t="str">
        <f>"277.11"</f>
        <v>277.11</v>
      </c>
      <c r="W315" s="12"/>
      <c r="X315" s="12"/>
      <c r="Y315" s="12"/>
      <c r="Z315" s="12"/>
      <c r="AA315" s="12"/>
    </row>
    <row r="316" spans="1:27">
      <c r="A316" s="9">
        <v>314</v>
      </c>
      <c r="B316" s="9">
        <v>1821</v>
      </c>
      <c r="C316" s="9" t="s">
        <v>926</v>
      </c>
      <c r="D316" s="9" t="s">
        <v>46</v>
      </c>
      <c r="E316" s="10" t="str">
        <f>"208.33"</f>
        <v>208.33</v>
      </c>
      <c r="F316" s="11" t="s">
        <v>11</v>
      </c>
      <c r="G316" s="11">
        <v>2017</v>
      </c>
      <c r="H316" s="12" t="str">
        <f>"180.33"</f>
        <v>180.33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>
      <c r="A317" s="9">
        <v>315</v>
      </c>
      <c r="B317" s="9">
        <v>7046</v>
      </c>
      <c r="C317" s="9" t="s">
        <v>550</v>
      </c>
      <c r="D317" s="9" t="s">
        <v>62</v>
      </c>
      <c r="E317" s="10" t="str">
        <f>"208.80"</f>
        <v>208.80</v>
      </c>
      <c r="F317" s="11" t="s">
        <v>11</v>
      </c>
      <c r="G317" s="11">
        <v>2017</v>
      </c>
      <c r="H317" s="12" t="str">
        <f>"180.80"</f>
        <v>180.80</v>
      </c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>
      <c r="A318" s="9">
        <v>316</v>
      </c>
      <c r="B318" s="9">
        <v>3662</v>
      </c>
      <c r="C318" s="9" t="s">
        <v>497</v>
      </c>
      <c r="D318" s="9" t="s">
        <v>64</v>
      </c>
      <c r="E318" s="10" t="str">
        <f>"209.36"</f>
        <v>209.36</v>
      </c>
      <c r="F318" s="11"/>
      <c r="G318" s="11">
        <v>2017</v>
      </c>
      <c r="H318" s="12" t="str">
        <f>"140.09"</f>
        <v>140.09</v>
      </c>
      <c r="I318" s="12"/>
      <c r="J318" s="12"/>
      <c r="K318" s="12"/>
      <c r="L318" s="12" t="str">
        <f>"229.59"</f>
        <v>229.59</v>
      </c>
      <c r="M318" s="12"/>
      <c r="N318" s="12"/>
      <c r="O318" s="12"/>
      <c r="P318" s="12"/>
      <c r="Q318" s="12" t="str">
        <f>"189.13"</f>
        <v>189.13</v>
      </c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>
      <c r="A319" s="9">
        <v>317</v>
      </c>
      <c r="B319" s="9">
        <v>5551</v>
      </c>
      <c r="C319" s="9" t="s">
        <v>311</v>
      </c>
      <c r="D319" s="9" t="s">
        <v>51</v>
      </c>
      <c r="E319" s="10" t="str">
        <f>"209.58"</f>
        <v>209.58</v>
      </c>
      <c r="F319" s="11"/>
      <c r="G319" s="11">
        <v>2017</v>
      </c>
      <c r="H319" s="12" t="str">
        <f>"181.85"</f>
        <v>181.85</v>
      </c>
      <c r="I319" s="12"/>
      <c r="J319" s="12"/>
      <c r="K319" s="12"/>
      <c r="L319" s="12"/>
      <c r="M319" s="12"/>
      <c r="N319" s="12"/>
      <c r="O319" s="12"/>
      <c r="P319" s="12" t="str">
        <f>"170.34"</f>
        <v>170.34</v>
      </c>
      <c r="Q319" s="12"/>
      <c r="R319" s="12"/>
      <c r="S319" s="12"/>
      <c r="T319" s="12"/>
      <c r="U319" s="12"/>
      <c r="V319" s="12"/>
      <c r="W319" s="12"/>
      <c r="X319" s="12" t="str">
        <f>"248.82"</f>
        <v>248.82</v>
      </c>
      <c r="Y319" s="12"/>
      <c r="Z319" s="12"/>
      <c r="AA319" s="12"/>
    </row>
    <row r="320" spans="1:27">
      <c r="A320" s="9">
        <v>318</v>
      </c>
      <c r="B320" s="9">
        <v>1368</v>
      </c>
      <c r="C320" s="9" t="s">
        <v>682</v>
      </c>
      <c r="D320" s="9" t="s">
        <v>32</v>
      </c>
      <c r="E320" s="10" t="str">
        <f>"209.74"</f>
        <v>209.74</v>
      </c>
      <c r="F320" s="11" t="s">
        <v>11</v>
      </c>
      <c r="G320" s="11">
        <v>2017</v>
      </c>
      <c r="H320" s="12" t="str">
        <f>"181.74"</f>
        <v>181.74</v>
      </c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>
      <c r="A321" s="9">
        <v>319</v>
      </c>
      <c r="B321" s="9">
        <v>11109</v>
      </c>
      <c r="C321" s="9" t="s">
        <v>534</v>
      </c>
      <c r="D321" s="9" t="s">
        <v>10</v>
      </c>
      <c r="E321" s="10" t="str">
        <f>"209.84"</f>
        <v>209.84</v>
      </c>
      <c r="F321" s="11"/>
      <c r="G321" s="11">
        <v>2017</v>
      </c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 t="str">
        <f>"237.34"</f>
        <v>237.34</v>
      </c>
      <c r="T321" s="12"/>
      <c r="U321" s="12"/>
      <c r="V321" s="12"/>
      <c r="W321" s="12"/>
      <c r="X321" s="12"/>
      <c r="Y321" s="12"/>
      <c r="Z321" s="12" t="str">
        <f>"207.45"</f>
        <v>207.45</v>
      </c>
      <c r="AA321" s="12" t="str">
        <f>"212.23"</f>
        <v>212.23</v>
      </c>
    </row>
    <row r="322" spans="1:27">
      <c r="A322" s="9">
        <v>320</v>
      </c>
      <c r="B322" s="9">
        <v>10163</v>
      </c>
      <c r="C322" s="9" t="s">
        <v>466</v>
      </c>
      <c r="D322" s="9" t="s">
        <v>10</v>
      </c>
      <c r="E322" s="10" t="str">
        <f>"209.92"</f>
        <v>209.92</v>
      </c>
      <c r="F322" s="11"/>
      <c r="G322" s="11">
        <v>2017</v>
      </c>
      <c r="H322" s="12" t="str">
        <f>"249.19"</f>
        <v>249.19</v>
      </c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 t="str">
        <f>"189.69"</f>
        <v>189.69</v>
      </c>
      <c r="T322" s="12" t="str">
        <f>"300.29"</f>
        <v>300.29</v>
      </c>
      <c r="U322" s="12"/>
      <c r="V322" s="12"/>
      <c r="W322" s="12"/>
      <c r="X322" s="12"/>
      <c r="Y322" s="12"/>
      <c r="Z322" s="12" t="str">
        <f>"230.15"</f>
        <v>230.15</v>
      </c>
      <c r="AA322" s="12"/>
    </row>
    <row r="323" spans="1:27">
      <c r="A323" s="9">
        <v>321</v>
      </c>
      <c r="B323" s="9">
        <v>10538</v>
      </c>
      <c r="C323" s="9" t="s">
        <v>751</v>
      </c>
      <c r="D323" s="9" t="s">
        <v>10</v>
      </c>
      <c r="E323" s="10" t="str">
        <f>"210.15"</f>
        <v>210.15</v>
      </c>
      <c r="F323" s="11" t="s">
        <v>11</v>
      </c>
      <c r="G323" s="11">
        <v>2017</v>
      </c>
      <c r="H323" s="12" t="str">
        <f>"182.15"</f>
        <v>182.15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>
      <c r="A324" s="9">
        <v>322</v>
      </c>
      <c r="B324" s="9">
        <v>1413</v>
      </c>
      <c r="C324" s="9" t="s">
        <v>601</v>
      </c>
      <c r="D324" s="9" t="s">
        <v>14</v>
      </c>
      <c r="E324" s="10" t="str">
        <f>"210.51"</f>
        <v>210.51</v>
      </c>
      <c r="F324" s="11" t="s">
        <v>11</v>
      </c>
      <c r="G324" s="11">
        <v>2017</v>
      </c>
      <c r="H324" s="12" t="str">
        <f>"182.51"</f>
        <v>182.51</v>
      </c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>
      <c r="A325" s="9">
        <v>323</v>
      </c>
      <c r="B325" s="9">
        <v>4553</v>
      </c>
      <c r="C325" s="9" t="s">
        <v>1191</v>
      </c>
      <c r="D325" s="9" t="s">
        <v>72</v>
      </c>
      <c r="E325" s="10" t="str">
        <f>"210.58"</f>
        <v>210.58</v>
      </c>
      <c r="F325" s="11" t="s">
        <v>11</v>
      </c>
      <c r="G325" s="11">
        <v>2017</v>
      </c>
      <c r="H325" s="12" t="str">
        <f>"182.58"</f>
        <v>182.58</v>
      </c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>
      <c r="A326" s="9">
        <v>324</v>
      </c>
      <c r="B326" s="9">
        <v>1989</v>
      </c>
      <c r="C326" s="9" t="s">
        <v>712</v>
      </c>
      <c r="D326" s="9" t="s">
        <v>14</v>
      </c>
      <c r="E326" s="10" t="str">
        <f>"211.03"</f>
        <v>211.03</v>
      </c>
      <c r="F326" s="11" t="s">
        <v>11</v>
      </c>
      <c r="G326" s="11">
        <v>2017</v>
      </c>
      <c r="H326" s="12" t="str">
        <f>"183.03"</f>
        <v>183.03</v>
      </c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>
      <c r="A327" s="9">
        <v>325</v>
      </c>
      <c r="B327" s="9">
        <v>10140</v>
      </c>
      <c r="C327" s="9" t="s">
        <v>547</v>
      </c>
      <c r="D327" s="9" t="s">
        <v>10</v>
      </c>
      <c r="E327" s="10" t="str">
        <f>"211.22"</f>
        <v>211.22</v>
      </c>
      <c r="F327" s="11"/>
      <c r="G327" s="11">
        <v>2017</v>
      </c>
      <c r="H327" s="12" t="str">
        <f>"243.26"</f>
        <v>243.26</v>
      </c>
      <c r="I327" s="12" t="str">
        <f>"288.01"</f>
        <v>288.01</v>
      </c>
      <c r="J327" s="12" t="str">
        <f>"300.15"</f>
        <v>300.15</v>
      </c>
      <c r="K327" s="12"/>
      <c r="L327" s="12"/>
      <c r="M327" s="12"/>
      <c r="N327" s="12"/>
      <c r="O327" s="12"/>
      <c r="P327" s="12"/>
      <c r="Q327" s="12"/>
      <c r="R327" s="12"/>
      <c r="S327" s="12" t="str">
        <f>"236.12"</f>
        <v>236.12</v>
      </c>
      <c r="T327" s="12" t="str">
        <f>"435.14"</f>
        <v>435.14</v>
      </c>
      <c r="U327" s="12"/>
      <c r="V327" s="12"/>
      <c r="W327" s="12"/>
      <c r="X327" s="12"/>
      <c r="Y327" s="12"/>
      <c r="Z327" s="12" t="str">
        <f>"186.32"</f>
        <v>186.32</v>
      </c>
      <c r="AA327" s="12" t="str">
        <f>"312.06"</f>
        <v>312.06</v>
      </c>
    </row>
    <row r="328" spans="1:27">
      <c r="A328" s="9">
        <v>326</v>
      </c>
      <c r="B328" s="9">
        <v>10655</v>
      </c>
      <c r="C328" s="9" t="s">
        <v>1204</v>
      </c>
      <c r="D328" s="9" t="s">
        <v>63</v>
      </c>
      <c r="E328" s="10" t="str">
        <f>"211.60"</f>
        <v>211.60</v>
      </c>
      <c r="F328" s="11" t="s">
        <v>11</v>
      </c>
      <c r="G328" s="11">
        <v>2017</v>
      </c>
      <c r="H328" s="12" t="str">
        <f>"183.60"</f>
        <v>183.60</v>
      </c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>
      <c r="A329" s="9">
        <v>327</v>
      </c>
      <c r="B329" s="9">
        <v>1166</v>
      </c>
      <c r="C329" s="9" t="s">
        <v>1195</v>
      </c>
      <c r="D329" s="9" t="s">
        <v>67</v>
      </c>
      <c r="E329" s="10" t="str">
        <f>"211.72"</f>
        <v>211.72</v>
      </c>
      <c r="F329" s="11" t="s">
        <v>11</v>
      </c>
      <c r="G329" s="11">
        <v>2017</v>
      </c>
      <c r="H329" s="12" t="str">
        <f>"183.72"</f>
        <v>183.72</v>
      </c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>
      <c r="A330" s="9">
        <v>328</v>
      </c>
      <c r="B330" s="9">
        <v>6282</v>
      </c>
      <c r="C330" s="9" t="s">
        <v>247</v>
      </c>
      <c r="D330" s="9" t="s">
        <v>248</v>
      </c>
      <c r="E330" s="10" t="str">
        <f>"211.95"</f>
        <v>211.95</v>
      </c>
      <c r="F330" s="11" t="s">
        <v>11</v>
      </c>
      <c r="G330" s="11">
        <v>2017</v>
      </c>
      <c r="H330" s="12" t="str">
        <f>"183.95"</f>
        <v>183.95</v>
      </c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>
      <c r="A331" s="9">
        <v>329</v>
      </c>
      <c r="B331" s="9">
        <v>9639</v>
      </c>
      <c r="C331" s="9" t="s">
        <v>480</v>
      </c>
      <c r="D331" s="9" t="s">
        <v>74</v>
      </c>
      <c r="E331" s="10" t="str">
        <f>"212.01"</f>
        <v>212.01</v>
      </c>
      <c r="F331" s="11" t="s">
        <v>11</v>
      </c>
      <c r="G331" s="11">
        <v>2017</v>
      </c>
      <c r="H331" s="12" t="str">
        <f>"184.01"</f>
        <v>184.01</v>
      </c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>
      <c r="A332" s="9">
        <v>330</v>
      </c>
      <c r="B332" s="9">
        <v>10982</v>
      </c>
      <c r="C332" s="9" t="s">
        <v>351</v>
      </c>
      <c r="D332" s="9" t="s">
        <v>36</v>
      </c>
      <c r="E332" s="10" t="str">
        <f>"212.05"</f>
        <v>212.05</v>
      </c>
      <c r="F332" s="11"/>
      <c r="G332" s="11">
        <v>2017</v>
      </c>
      <c r="H332" s="12"/>
      <c r="I332" s="12"/>
      <c r="J332" s="12"/>
      <c r="K332" s="12"/>
      <c r="L332" s="12"/>
      <c r="M332" s="12"/>
      <c r="N332" s="12" t="str">
        <f>"329.57"</f>
        <v>329.57</v>
      </c>
      <c r="O332" s="12" t="str">
        <f>"292.54"</f>
        <v>292.54</v>
      </c>
      <c r="P332" s="12"/>
      <c r="Q332" s="12"/>
      <c r="R332" s="12"/>
      <c r="S332" s="12"/>
      <c r="T332" s="12"/>
      <c r="U332" s="12" t="str">
        <f>"131.55"</f>
        <v>131.55</v>
      </c>
      <c r="V332" s="12"/>
      <c r="W332" s="12"/>
      <c r="X332" s="12"/>
      <c r="Y332" s="12"/>
      <c r="Z332" s="12"/>
      <c r="AA332" s="12"/>
    </row>
    <row r="333" spans="1:27">
      <c r="A333" s="9">
        <v>331</v>
      </c>
      <c r="B333" s="9">
        <v>10223</v>
      </c>
      <c r="C333" s="9" t="s">
        <v>213</v>
      </c>
      <c r="D333" s="9" t="s">
        <v>77</v>
      </c>
      <c r="E333" s="10" t="str">
        <f>"212.27"</f>
        <v>212.27</v>
      </c>
      <c r="F333" s="11" t="s">
        <v>11</v>
      </c>
      <c r="G333" s="11">
        <v>2017</v>
      </c>
      <c r="H333" s="12" t="str">
        <f>"184.27"</f>
        <v>184.27</v>
      </c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>
      <c r="A334" s="9">
        <v>332</v>
      </c>
      <c r="B334" s="9">
        <v>10723</v>
      </c>
      <c r="C334" s="9" t="s">
        <v>646</v>
      </c>
      <c r="D334" s="9" t="s">
        <v>19</v>
      </c>
      <c r="E334" s="10" t="str">
        <f>"212.40"</f>
        <v>212.40</v>
      </c>
      <c r="F334" s="11"/>
      <c r="G334" s="11">
        <v>2017</v>
      </c>
      <c r="H334" s="12" t="str">
        <f>"430.55"</f>
        <v>430.55</v>
      </c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 t="str">
        <f>"242.60"</f>
        <v>242.60</v>
      </c>
      <c r="V334" s="12"/>
      <c r="W334" s="12"/>
      <c r="X334" s="12"/>
      <c r="Y334" s="12" t="str">
        <f>"182.19"</f>
        <v>182.19</v>
      </c>
      <c r="Z334" s="12"/>
      <c r="AA334" s="12"/>
    </row>
    <row r="335" spans="1:27">
      <c r="A335" s="9">
        <v>333</v>
      </c>
      <c r="B335" s="9">
        <v>7124</v>
      </c>
      <c r="C335" s="9" t="s">
        <v>727</v>
      </c>
      <c r="D335" s="9" t="s">
        <v>248</v>
      </c>
      <c r="E335" s="10" t="str">
        <f>"212.41"</f>
        <v>212.41</v>
      </c>
      <c r="F335" s="11" t="s">
        <v>11</v>
      </c>
      <c r="G335" s="11">
        <v>2017</v>
      </c>
      <c r="H335" s="12" t="str">
        <f>"184.41"</f>
        <v>184.41</v>
      </c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>
      <c r="A336" s="9">
        <v>334</v>
      </c>
      <c r="B336" s="9">
        <v>10236</v>
      </c>
      <c r="C336" s="9" t="s">
        <v>259</v>
      </c>
      <c r="D336" s="9" t="s">
        <v>10</v>
      </c>
      <c r="E336" s="10" t="str">
        <f>"213.33"</f>
        <v>213.33</v>
      </c>
      <c r="F336" s="11" t="s">
        <v>9</v>
      </c>
      <c r="G336" s="11">
        <v>2017</v>
      </c>
      <c r="H336" s="12" t="str">
        <f>"123.74"</f>
        <v>123.74</v>
      </c>
      <c r="I336" s="12"/>
      <c r="J336" s="12"/>
      <c r="K336" s="12" t="str">
        <f>"185.33"</f>
        <v>185.33</v>
      </c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>
      <c r="A337" s="9">
        <v>335</v>
      </c>
      <c r="B337" s="9">
        <v>10871</v>
      </c>
      <c r="C337" s="9" t="s">
        <v>438</v>
      </c>
      <c r="D337" s="9" t="s">
        <v>10</v>
      </c>
      <c r="E337" s="10" t="str">
        <f>"213.55"</f>
        <v>213.55</v>
      </c>
      <c r="F337" s="11"/>
      <c r="G337" s="11">
        <v>2017</v>
      </c>
      <c r="H337" s="12" t="str">
        <f>"562.28"</f>
        <v>562.28</v>
      </c>
      <c r="I337" s="12" t="str">
        <f>"236.27"</f>
        <v>236.27</v>
      </c>
      <c r="J337" s="12" t="str">
        <f>"396.35"</f>
        <v>396.35</v>
      </c>
      <c r="K337" s="12"/>
      <c r="L337" s="12"/>
      <c r="M337" s="12"/>
      <c r="N337" s="12"/>
      <c r="O337" s="12"/>
      <c r="P337" s="12"/>
      <c r="Q337" s="12"/>
      <c r="R337" s="12"/>
      <c r="S337" s="12" t="str">
        <f>"190.82"</f>
        <v>190.82</v>
      </c>
      <c r="T337" s="12"/>
      <c r="U337" s="12"/>
      <c r="V337" s="12"/>
      <c r="W337" s="12"/>
      <c r="X337" s="12"/>
      <c r="Y337" s="12"/>
      <c r="Z337" s="12"/>
      <c r="AA337" s="12"/>
    </row>
    <row r="338" spans="1:27">
      <c r="A338" s="9">
        <v>336</v>
      </c>
      <c r="B338" s="9">
        <v>2782</v>
      </c>
      <c r="C338" s="9" t="s">
        <v>388</v>
      </c>
      <c r="D338" s="9" t="s">
        <v>208</v>
      </c>
      <c r="E338" s="10" t="str">
        <f>"213.94"</f>
        <v>213.94</v>
      </c>
      <c r="F338" s="11" t="s">
        <v>11</v>
      </c>
      <c r="G338" s="11">
        <v>2017</v>
      </c>
      <c r="H338" s="12" t="str">
        <f>"185.94"</f>
        <v>185.94</v>
      </c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>
      <c r="A339" s="9">
        <v>337</v>
      </c>
      <c r="B339" s="9">
        <v>8682</v>
      </c>
      <c r="C339" s="9" t="s">
        <v>320</v>
      </c>
      <c r="D339" s="9" t="s">
        <v>321</v>
      </c>
      <c r="E339" s="10" t="str">
        <f>"214.34"</f>
        <v>214.34</v>
      </c>
      <c r="F339" s="11"/>
      <c r="G339" s="11">
        <v>2017</v>
      </c>
      <c r="H339" s="12" t="str">
        <f>"158.17"</f>
        <v>158.17</v>
      </c>
      <c r="I339" s="12"/>
      <c r="J339" s="12"/>
      <c r="K339" s="12"/>
      <c r="L339" s="12"/>
      <c r="M339" s="12"/>
      <c r="N339" s="12"/>
      <c r="O339" s="12"/>
      <c r="P339" s="12" t="str">
        <f>"351.87"</f>
        <v>351.87</v>
      </c>
      <c r="Q339" s="12"/>
      <c r="R339" s="12"/>
      <c r="S339" s="12"/>
      <c r="T339" s="12"/>
      <c r="U339" s="12" t="str">
        <f>"194.23"</f>
        <v>194.23</v>
      </c>
      <c r="V339" s="12" t="str">
        <f>"270.52"</f>
        <v>270.52</v>
      </c>
      <c r="W339" s="12"/>
      <c r="X339" s="12" t="str">
        <f>"234.44"</f>
        <v>234.44</v>
      </c>
      <c r="Y339" s="12"/>
      <c r="Z339" s="12"/>
      <c r="AA339" s="12"/>
    </row>
    <row r="340" spans="1:27">
      <c r="A340" s="9">
        <v>338</v>
      </c>
      <c r="B340" s="9">
        <v>6314</v>
      </c>
      <c r="C340" s="9" t="s">
        <v>283</v>
      </c>
      <c r="D340" s="9" t="s">
        <v>80</v>
      </c>
      <c r="E340" s="10" t="str">
        <f>"214.41"</f>
        <v>214.41</v>
      </c>
      <c r="F340" s="11" t="s">
        <v>9</v>
      </c>
      <c r="G340" s="11">
        <v>2017</v>
      </c>
      <c r="H340" s="12" t="str">
        <f>"177.26"</f>
        <v>177.26</v>
      </c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 t="str">
        <f>"186.41"</f>
        <v>186.41</v>
      </c>
      <c r="V340" s="12"/>
      <c r="W340" s="12"/>
      <c r="X340" s="12"/>
      <c r="Y340" s="12"/>
      <c r="Z340" s="12"/>
      <c r="AA340" s="12"/>
    </row>
    <row r="341" spans="1:27">
      <c r="A341" s="9">
        <v>339</v>
      </c>
      <c r="B341" s="9">
        <v>6298</v>
      </c>
      <c r="C341" s="9" t="s">
        <v>182</v>
      </c>
      <c r="D341" s="9" t="s">
        <v>19</v>
      </c>
      <c r="E341" s="10" t="str">
        <f>"214.80"</f>
        <v>214.80</v>
      </c>
      <c r="F341" s="11" t="s">
        <v>9</v>
      </c>
      <c r="G341" s="11">
        <v>2017</v>
      </c>
      <c r="H341" s="12" t="str">
        <f>"135.63"</f>
        <v>135.63</v>
      </c>
      <c r="I341" s="12"/>
      <c r="J341" s="12"/>
      <c r="K341" s="12"/>
      <c r="L341" s="12"/>
      <c r="M341" s="12"/>
      <c r="N341" s="12"/>
      <c r="O341" s="12"/>
      <c r="P341" s="12"/>
      <c r="Q341" s="12"/>
      <c r="R341" s="12" t="str">
        <f>"186.80"</f>
        <v>186.80</v>
      </c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>
      <c r="A342" s="9">
        <v>340</v>
      </c>
      <c r="B342" s="9">
        <v>9209</v>
      </c>
      <c r="C342" s="9" t="s">
        <v>1177</v>
      </c>
      <c r="D342" s="9" t="s">
        <v>71</v>
      </c>
      <c r="E342" s="10" t="str">
        <f>"215.00"</f>
        <v>215.00</v>
      </c>
      <c r="F342" s="11" t="s">
        <v>9</v>
      </c>
      <c r="G342" s="11">
        <v>2017</v>
      </c>
      <c r="H342" s="12" t="str">
        <f>"144.37"</f>
        <v>144.37</v>
      </c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 t="str">
        <f>"187.00"</f>
        <v>187.00</v>
      </c>
      <c r="V342" s="12"/>
      <c r="W342" s="12"/>
      <c r="X342" s="12"/>
      <c r="Y342" s="12"/>
      <c r="Z342" s="12"/>
      <c r="AA342" s="12"/>
    </row>
    <row r="343" spans="1:27">
      <c r="A343" s="9">
        <v>341</v>
      </c>
      <c r="B343" s="9">
        <v>5381</v>
      </c>
      <c r="C343" s="9" t="s">
        <v>595</v>
      </c>
      <c r="D343" s="9" t="s">
        <v>80</v>
      </c>
      <c r="E343" s="10" t="str">
        <f>"215.16"</f>
        <v>215.16</v>
      </c>
      <c r="F343" s="11" t="s">
        <v>9</v>
      </c>
      <c r="G343" s="11">
        <v>2017</v>
      </c>
      <c r="H343" s="12" t="str">
        <f>"279.84"</f>
        <v>279.84</v>
      </c>
      <c r="I343" s="12"/>
      <c r="J343" s="12"/>
      <c r="K343" s="12"/>
      <c r="L343" s="12"/>
      <c r="M343" s="12" t="str">
        <f>"187.16"</f>
        <v>187.16</v>
      </c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>
      <c r="A344" s="9">
        <v>342</v>
      </c>
      <c r="B344" s="9">
        <v>3464</v>
      </c>
      <c r="C344" s="9" t="s">
        <v>420</v>
      </c>
      <c r="D344" s="9" t="s">
        <v>39</v>
      </c>
      <c r="E344" s="10" t="str">
        <f>"215.81"</f>
        <v>215.81</v>
      </c>
      <c r="F344" s="11" t="s">
        <v>11</v>
      </c>
      <c r="G344" s="11">
        <v>2017</v>
      </c>
      <c r="H344" s="12" t="str">
        <f>"187.81"</f>
        <v>187.81</v>
      </c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>
      <c r="A345" s="9">
        <v>343</v>
      </c>
      <c r="B345" s="9">
        <v>6471</v>
      </c>
      <c r="C345" s="9" t="s">
        <v>719</v>
      </c>
      <c r="D345" s="9" t="s">
        <v>95</v>
      </c>
      <c r="E345" s="10" t="str">
        <f>"216.01"</f>
        <v>216.01</v>
      </c>
      <c r="F345" s="11" t="s">
        <v>11</v>
      </c>
      <c r="G345" s="11">
        <v>2017</v>
      </c>
      <c r="H345" s="12" t="str">
        <f>"188.01"</f>
        <v>188.01</v>
      </c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>
      <c r="A346" s="9">
        <v>344</v>
      </c>
      <c r="B346" s="9">
        <v>2247</v>
      </c>
      <c r="C346" s="9" t="s">
        <v>268</v>
      </c>
      <c r="D346" s="9" t="s">
        <v>10</v>
      </c>
      <c r="E346" s="10" t="str">
        <f>"216.15"</f>
        <v>216.15</v>
      </c>
      <c r="F346" s="11"/>
      <c r="G346" s="11">
        <v>2017</v>
      </c>
      <c r="H346" s="12" t="str">
        <f>"141.09"</f>
        <v>141.09</v>
      </c>
      <c r="I346" s="12"/>
      <c r="J346" s="12" t="str">
        <f>"322.61"</f>
        <v>322.61</v>
      </c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 t="str">
        <f>"109.69"</f>
        <v>109.69</v>
      </c>
    </row>
    <row r="347" spans="1:27">
      <c r="A347" s="9">
        <v>345</v>
      </c>
      <c r="B347" s="9">
        <v>5386</v>
      </c>
      <c r="C347" s="9" t="s">
        <v>528</v>
      </c>
      <c r="D347" s="9" t="s">
        <v>49</v>
      </c>
      <c r="E347" s="10" t="str">
        <f>"216.18"</f>
        <v>216.18</v>
      </c>
      <c r="F347" s="11" t="s">
        <v>11</v>
      </c>
      <c r="G347" s="11">
        <v>2017</v>
      </c>
      <c r="H347" s="12" t="str">
        <f>"188.18"</f>
        <v>188.18</v>
      </c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>
      <c r="A348" s="9">
        <v>346</v>
      </c>
      <c r="B348" s="9">
        <v>6350</v>
      </c>
      <c r="C348" s="9" t="s">
        <v>675</v>
      </c>
      <c r="D348" s="9" t="s">
        <v>676</v>
      </c>
      <c r="E348" s="10" t="str">
        <f>"216.34"</f>
        <v>216.34</v>
      </c>
      <c r="F348" s="11" t="s">
        <v>11</v>
      </c>
      <c r="G348" s="11">
        <v>2017</v>
      </c>
      <c r="H348" s="12" t="str">
        <f>"188.34"</f>
        <v>188.34</v>
      </c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>
      <c r="A349" s="9">
        <v>347</v>
      </c>
      <c r="B349" s="9">
        <v>5108</v>
      </c>
      <c r="C349" s="9" t="s">
        <v>1166</v>
      </c>
      <c r="D349" s="9" t="s">
        <v>15</v>
      </c>
      <c r="E349" s="10" t="str">
        <f>"216.37"</f>
        <v>216.37</v>
      </c>
      <c r="F349" s="11" t="s">
        <v>11</v>
      </c>
      <c r="G349" s="11">
        <v>2017</v>
      </c>
      <c r="H349" s="12" t="str">
        <f>"188.37"</f>
        <v>188.37</v>
      </c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>
      <c r="A350" s="9">
        <v>348</v>
      </c>
      <c r="B350" s="9">
        <v>1616</v>
      </c>
      <c r="C350" s="9" t="s">
        <v>430</v>
      </c>
      <c r="D350" s="9" t="s">
        <v>20</v>
      </c>
      <c r="E350" s="10" t="str">
        <f>"216.72"</f>
        <v>216.72</v>
      </c>
      <c r="F350" s="11" t="s">
        <v>9</v>
      </c>
      <c r="G350" s="11">
        <v>2017</v>
      </c>
      <c r="H350" s="12" t="str">
        <f>"121.39"</f>
        <v>121.39</v>
      </c>
      <c r="I350" s="12"/>
      <c r="J350" s="12"/>
      <c r="K350" s="12"/>
      <c r="L350" s="12" t="str">
        <f>"188.72"</f>
        <v>188.72</v>
      </c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>
      <c r="A351" s="9">
        <v>349</v>
      </c>
      <c r="B351" s="9">
        <v>7357</v>
      </c>
      <c r="C351" s="9" t="s">
        <v>668</v>
      </c>
      <c r="D351" s="9" t="s">
        <v>22</v>
      </c>
      <c r="E351" s="10" t="str">
        <f>"216.75"</f>
        <v>216.75</v>
      </c>
      <c r="F351" s="11"/>
      <c r="G351" s="11">
        <v>2017</v>
      </c>
      <c r="H351" s="12" t="str">
        <f>"212.05"</f>
        <v>212.05</v>
      </c>
      <c r="I351" s="12"/>
      <c r="J351" s="12"/>
      <c r="K351" s="12" t="str">
        <f>"223.51"</f>
        <v>223.51</v>
      </c>
      <c r="L351" s="12"/>
      <c r="M351" s="12"/>
      <c r="N351" s="12"/>
      <c r="O351" s="12"/>
      <c r="P351" s="12" t="str">
        <f>"209.98"</f>
        <v>209.98</v>
      </c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>
      <c r="A352" s="9">
        <v>350</v>
      </c>
      <c r="B352" s="9">
        <v>4189</v>
      </c>
      <c r="C352" s="9" t="s">
        <v>1193</v>
      </c>
      <c r="D352" s="9" t="s">
        <v>67</v>
      </c>
      <c r="E352" s="10" t="str">
        <f>"217.67"</f>
        <v>217.67</v>
      </c>
      <c r="F352" s="11" t="s">
        <v>11</v>
      </c>
      <c r="G352" s="11">
        <v>2017</v>
      </c>
      <c r="H352" s="12" t="str">
        <f>"189.67"</f>
        <v>189.67</v>
      </c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>
      <c r="A353" s="9">
        <v>351</v>
      </c>
      <c r="B353" s="9">
        <v>11423</v>
      </c>
      <c r="C353" s="9" t="s">
        <v>355</v>
      </c>
      <c r="D353" s="9" t="s">
        <v>63</v>
      </c>
      <c r="E353" s="10" t="str">
        <f>"217.91"</f>
        <v>217.91</v>
      </c>
      <c r="F353" s="11" t="s">
        <v>9</v>
      </c>
      <c r="G353" s="11">
        <v>2017</v>
      </c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 t="str">
        <f>"189.91"</f>
        <v>189.91</v>
      </c>
      <c r="Y353" s="12"/>
      <c r="Z353" s="12"/>
      <c r="AA353" s="12"/>
    </row>
    <row r="354" spans="1:27">
      <c r="A354" s="9">
        <v>352</v>
      </c>
      <c r="B354" s="9">
        <v>5493</v>
      </c>
      <c r="C354" s="9" t="s">
        <v>336</v>
      </c>
      <c r="D354" s="9" t="s">
        <v>323</v>
      </c>
      <c r="E354" s="10" t="str">
        <f>"217.96"</f>
        <v>217.96</v>
      </c>
      <c r="F354" s="11"/>
      <c r="G354" s="11">
        <v>2017</v>
      </c>
      <c r="H354" s="12" t="str">
        <f>"155.10"</f>
        <v>155.10</v>
      </c>
      <c r="I354" s="12"/>
      <c r="J354" s="12"/>
      <c r="K354" s="12"/>
      <c r="L354" s="12"/>
      <c r="M354" s="12"/>
      <c r="N354" s="12"/>
      <c r="O354" s="12"/>
      <c r="P354" s="12" t="str">
        <f>"193.25"</f>
        <v>193.25</v>
      </c>
      <c r="Q354" s="12"/>
      <c r="R354" s="12"/>
      <c r="S354" s="12"/>
      <c r="T354" s="12"/>
      <c r="U354" s="12" t="str">
        <f>"254.99"</f>
        <v>254.99</v>
      </c>
      <c r="V354" s="12"/>
      <c r="W354" s="12"/>
      <c r="X354" s="12" t="str">
        <f>"242.66"</f>
        <v>242.66</v>
      </c>
      <c r="Y354" s="12"/>
      <c r="Z354" s="12"/>
      <c r="AA354" s="12"/>
    </row>
    <row r="355" spans="1:27">
      <c r="A355" s="9">
        <v>353</v>
      </c>
      <c r="B355" s="9">
        <v>3039</v>
      </c>
      <c r="C355" s="9" t="s">
        <v>555</v>
      </c>
      <c r="D355" s="9" t="s">
        <v>17</v>
      </c>
      <c r="E355" s="10" t="str">
        <f>"218.24"</f>
        <v>218.24</v>
      </c>
      <c r="F355" s="11"/>
      <c r="G355" s="11">
        <v>2017</v>
      </c>
      <c r="H355" s="12" t="str">
        <f>"154.09"</f>
        <v>154.09</v>
      </c>
      <c r="I355" s="12"/>
      <c r="J355" s="12"/>
      <c r="K355" s="12"/>
      <c r="L355" s="12" t="str">
        <f>"179.83"</f>
        <v>179.83</v>
      </c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 t="str">
        <f>"256.64"</f>
        <v>256.64</v>
      </c>
      <c r="X355" s="12"/>
      <c r="Y355" s="12"/>
      <c r="Z355" s="12"/>
      <c r="AA355" s="12"/>
    </row>
    <row r="356" spans="1:27">
      <c r="A356" s="9">
        <v>354</v>
      </c>
      <c r="B356" s="9">
        <v>6859</v>
      </c>
      <c r="C356" s="9" t="s">
        <v>318</v>
      </c>
      <c r="D356" s="9" t="s">
        <v>319</v>
      </c>
      <c r="E356" s="10" t="str">
        <f>"218.29"</f>
        <v>218.29</v>
      </c>
      <c r="F356" s="11"/>
      <c r="G356" s="11">
        <v>2017</v>
      </c>
      <c r="H356" s="12" t="str">
        <f>"246.06"</f>
        <v>246.06</v>
      </c>
      <c r="I356" s="12"/>
      <c r="J356" s="12"/>
      <c r="K356" s="12" t="str">
        <f>"222.73"</f>
        <v>222.73</v>
      </c>
      <c r="L356" s="12"/>
      <c r="M356" s="12"/>
      <c r="N356" s="12"/>
      <c r="O356" s="12"/>
      <c r="P356" s="12"/>
      <c r="Q356" s="12"/>
      <c r="R356" s="12"/>
      <c r="S356" s="12"/>
      <c r="T356" s="12"/>
      <c r="U356" s="12" t="str">
        <f>"213.85"</f>
        <v>213.85</v>
      </c>
      <c r="V356" s="12"/>
      <c r="W356" s="12"/>
      <c r="X356" s="12"/>
      <c r="Y356" s="12"/>
      <c r="Z356" s="12"/>
      <c r="AA356" s="12"/>
    </row>
    <row r="357" spans="1:27">
      <c r="A357" s="9">
        <v>355</v>
      </c>
      <c r="B357" s="9">
        <v>10444</v>
      </c>
      <c r="C357" s="9" t="s">
        <v>303</v>
      </c>
      <c r="D357" s="9" t="s">
        <v>19</v>
      </c>
      <c r="E357" s="10" t="str">
        <f>"218.40"</f>
        <v>218.40</v>
      </c>
      <c r="F357" s="11"/>
      <c r="G357" s="11">
        <v>2017</v>
      </c>
      <c r="H357" s="12" t="str">
        <f>"303.14"</f>
        <v>303.14</v>
      </c>
      <c r="I357" s="12"/>
      <c r="J357" s="12"/>
      <c r="K357" s="12"/>
      <c r="L357" s="12"/>
      <c r="M357" s="12"/>
      <c r="N357" s="12"/>
      <c r="O357" s="12" t="str">
        <f>"359.36"</f>
        <v>359.36</v>
      </c>
      <c r="P357" s="12"/>
      <c r="Q357" s="12"/>
      <c r="R357" s="12" t="str">
        <f>"356.76"</f>
        <v>356.76</v>
      </c>
      <c r="S357" s="12"/>
      <c r="T357" s="12"/>
      <c r="U357" s="12"/>
      <c r="V357" s="12"/>
      <c r="W357" s="12"/>
      <c r="X357" s="12"/>
      <c r="Y357" s="12"/>
      <c r="Z357" s="12" t="str">
        <f>"208.37"</f>
        <v>208.37</v>
      </c>
      <c r="AA357" s="12" t="str">
        <f>"228.42"</f>
        <v>228.42</v>
      </c>
    </row>
    <row r="358" spans="1:27">
      <c r="A358" s="9">
        <v>356</v>
      </c>
      <c r="B358" s="9">
        <v>10435</v>
      </c>
      <c r="C358" s="9" t="s">
        <v>358</v>
      </c>
      <c r="D358" s="9" t="s">
        <v>19</v>
      </c>
      <c r="E358" s="10" t="str">
        <f>"218.59"</f>
        <v>218.59</v>
      </c>
      <c r="F358" s="11"/>
      <c r="G358" s="11">
        <v>2017</v>
      </c>
      <c r="H358" s="12" t="str">
        <f>"532.15"</f>
        <v>532.15</v>
      </c>
      <c r="I358" s="12"/>
      <c r="J358" s="12"/>
      <c r="K358" s="12"/>
      <c r="L358" s="12"/>
      <c r="M358" s="12"/>
      <c r="N358" s="12"/>
      <c r="O358" s="12"/>
      <c r="P358" s="12"/>
      <c r="Q358" s="12"/>
      <c r="R358" s="12" t="str">
        <f>"966.42"</f>
        <v>966.42</v>
      </c>
      <c r="S358" s="12"/>
      <c r="T358" s="12"/>
      <c r="U358" s="12"/>
      <c r="V358" s="12"/>
      <c r="W358" s="12"/>
      <c r="X358" s="12"/>
      <c r="Y358" s="12"/>
      <c r="Z358" s="12" t="str">
        <f>"246.98"</f>
        <v>246.98</v>
      </c>
      <c r="AA358" s="12" t="str">
        <f>"190.19"</f>
        <v>190.19</v>
      </c>
    </row>
    <row r="359" spans="1:27">
      <c r="A359" s="9">
        <v>357</v>
      </c>
      <c r="B359" s="9">
        <v>2192</v>
      </c>
      <c r="C359" s="9" t="s">
        <v>507</v>
      </c>
      <c r="D359" s="9" t="s">
        <v>10</v>
      </c>
      <c r="E359" s="10" t="str">
        <f>"219.20"</f>
        <v>219.20</v>
      </c>
      <c r="F359" s="11"/>
      <c r="G359" s="11">
        <v>2017</v>
      </c>
      <c r="H359" s="12" t="str">
        <f>"227.95"</f>
        <v>227.95</v>
      </c>
      <c r="I359" s="12" t="str">
        <f>"215.55"</f>
        <v>215.55</v>
      </c>
      <c r="J359" s="12" t="str">
        <f>"248.22"</f>
        <v>248.22</v>
      </c>
      <c r="K359" s="12"/>
      <c r="L359" s="12"/>
      <c r="M359" s="12"/>
      <c r="N359" s="12"/>
      <c r="O359" s="12"/>
      <c r="P359" s="12"/>
      <c r="Q359" s="12"/>
      <c r="R359" s="12"/>
      <c r="S359" s="12" t="str">
        <f>"222.85"</f>
        <v>222.85</v>
      </c>
      <c r="T359" s="12"/>
      <c r="U359" s="12"/>
      <c r="V359" s="12"/>
      <c r="W359" s="12"/>
      <c r="X359" s="12"/>
      <c r="Y359" s="12"/>
      <c r="Z359" s="12"/>
      <c r="AA359" s="12"/>
    </row>
    <row r="360" spans="1:27">
      <c r="A360" s="9">
        <v>358</v>
      </c>
      <c r="B360" s="9">
        <v>2221</v>
      </c>
      <c r="C360" s="9" t="s">
        <v>782</v>
      </c>
      <c r="D360" s="9" t="s">
        <v>10</v>
      </c>
      <c r="E360" s="10" t="str">
        <f>"219.25"</f>
        <v>219.25</v>
      </c>
      <c r="F360" s="11"/>
      <c r="G360" s="11">
        <v>2017</v>
      </c>
      <c r="H360" s="12" t="str">
        <f>"245.06"</f>
        <v>245.06</v>
      </c>
      <c r="I360" s="12" t="str">
        <f>"247.49"</f>
        <v>247.49</v>
      </c>
      <c r="J360" s="12" t="str">
        <f>"274.33"</f>
        <v>274.33</v>
      </c>
      <c r="K360" s="12"/>
      <c r="L360" s="12"/>
      <c r="M360" s="12"/>
      <c r="N360" s="12"/>
      <c r="O360" s="12"/>
      <c r="P360" s="12"/>
      <c r="Q360" s="12"/>
      <c r="R360" s="12"/>
      <c r="S360" s="12" t="str">
        <f>"191.00"</f>
        <v>191.00</v>
      </c>
      <c r="T360" s="12" t="str">
        <f>"325.58"</f>
        <v>325.58</v>
      </c>
      <c r="U360" s="12"/>
      <c r="V360" s="12"/>
      <c r="W360" s="12"/>
      <c r="X360" s="12"/>
      <c r="Y360" s="12"/>
      <c r="Z360" s="12"/>
      <c r="AA360" s="12"/>
    </row>
    <row r="361" spans="1:27">
      <c r="A361" s="9">
        <v>359</v>
      </c>
      <c r="B361" s="9">
        <v>11008</v>
      </c>
      <c r="C361" s="9" t="s">
        <v>812</v>
      </c>
      <c r="D361" s="9" t="s">
        <v>97</v>
      </c>
      <c r="E361" s="10" t="str">
        <f>"219.25"</f>
        <v>219.25</v>
      </c>
      <c r="F361" s="11"/>
      <c r="G361" s="11">
        <v>2017</v>
      </c>
      <c r="H361" s="12" t="str">
        <f>"242.82"</f>
        <v>242.82</v>
      </c>
      <c r="I361" s="12"/>
      <c r="J361" s="12"/>
      <c r="K361" s="12"/>
      <c r="L361" s="12"/>
      <c r="M361" s="12" t="str">
        <f>"239.96"</f>
        <v>239.96</v>
      </c>
      <c r="N361" s="12"/>
      <c r="O361" s="12"/>
      <c r="P361" s="12"/>
      <c r="Q361" s="12"/>
      <c r="R361" s="12"/>
      <c r="S361" s="12"/>
      <c r="T361" s="12"/>
      <c r="U361" s="12"/>
      <c r="V361" s="12" t="str">
        <f>"198.53"</f>
        <v>198.53</v>
      </c>
      <c r="W361" s="12"/>
      <c r="X361" s="12"/>
      <c r="Y361" s="12"/>
      <c r="Z361" s="12"/>
      <c r="AA361" s="12"/>
    </row>
    <row r="362" spans="1:27">
      <c r="A362" s="9">
        <v>360</v>
      </c>
      <c r="B362" s="9">
        <v>2264</v>
      </c>
      <c r="C362" s="9" t="s">
        <v>613</v>
      </c>
      <c r="D362" s="9" t="s">
        <v>10</v>
      </c>
      <c r="E362" s="10" t="str">
        <f>"219.66"</f>
        <v>219.66</v>
      </c>
      <c r="F362" s="11"/>
      <c r="G362" s="11">
        <v>2017</v>
      </c>
      <c r="H362" s="12" t="str">
        <f>"251.53"</f>
        <v>251.53</v>
      </c>
      <c r="I362" s="12" t="str">
        <f>"264.77"</f>
        <v>264.77</v>
      </c>
      <c r="J362" s="12" t="str">
        <f>"241.62"</f>
        <v>241.62</v>
      </c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 t="str">
        <f>"350.37"</f>
        <v>350.37</v>
      </c>
      <c r="Y362" s="12"/>
      <c r="Z362" s="12" t="str">
        <f>"200.41"</f>
        <v>200.41</v>
      </c>
      <c r="AA362" s="12" t="str">
        <f>"238.90"</f>
        <v>238.90</v>
      </c>
    </row>
    <row r="363" spans="1:27">
      <c r="A363" s="9">
        <v>361</v>
      </c>
      <c r="B363" s="9">
        <v>7566</v>
      </c>
      <c r="C363" s="9" t="s">
        <v>395</v>
      </c>
      <c r="D363" s="9" t="s">
        <v>21</v>
      </c>
      <c r="E363" s="10" t="str">
        <f>"219.90"</f>
        <v>219.90</v>
      </c>
      <c r="F363" s="11"/>
      <c r="G363" s="11">
        <v>2017</v>
      </c>
      <c r="H363" s="12" t="str">
        <f>"238.37"</f>
        <v>238.37</v>
      </c>
      <c r="I363" s="12"/>
      <c r="J363" s="12"/>
      <c r="K363" s="12" t="str">
        <f>"215.33"</f>
        <v>215.33</v>
      </c>
      <c r="L363" s="12"/>
      <c r="M363" s="12"/>
      <c r="N363" s="12"/>
      <c r="O363" s="12"/>
      <c r="P363" s="12"/>
      <c r="Q363" s="12"/>
      <c r="R363" s="12"/>
      <c r="S363" s="12"/>
      <c r="T363" s="12"/>
      <c r="U363" s="12" t="str">
        <f>"224.46"</f>
        <v>224.46</v>
      </c>
      <c r="V363" s="12"/>
      <c r="W363" s="12"/>
      <c r="X363" s="12"/>
      <c r="Y363" s="12"/>
      <c r="Z363" s="12"/>
      <c r="AA363" s="12"/>
    </row>
    <row r="364" spans="1:27">
      <c r="A364" s="9">
        <v>362</v>
      </c>
      <c r="B364" s="9">
        <v>4951</v>
      </c>
      <c r="C364" s="9" t="s">
        <v>263</v>
      </c>
      <c r="D364" s="9" t="s">
        <v>53</v>
      </c>
      <c r="E364" s="10" t="str">
        <f>"220.16"</f>
        <v>220.16</v>
      </c>
      <c r="F364" s="11" t="s">
        <v>11</v>
      </c>
      <c r="G364" s="11">
        <v>2017</v>
      </c>
      <c r="H364" s="12" t="str">
        <f>"192.16"</f>
        <v>192.16</v>
      </c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>
      <c r="A365" s="9">
        <v>363</v>
      </c>
      <c r="B365" s="9">
        <v>5503</v>
      </c>
      <c r="C365" s="9" t="s">
        <v>581</v>
      </c>
      <c r="D365" s="9" t="s">
        <v>30</v>
      </c>
      <c r="E365" s="10" t="str">
        <f>"220.83"</f>
        <v>220.83</v>
      </c>
      <c r="F365" s="11" t="s">
        <v>11</v>
      </c>
      <c r="G365" s="11">
        <v>2017</v>
      </c>
      <c r="H365" s="12" t="str">
        <f>"192.83"</f>
        <v>192.83</v>
      </c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>
      <c r="A366" s="9">
        <v>364</v>
      </c>
      <c r="B366" s="9">
        <v>3007</v>
      </c>
      <c r="C366" s="9" t="s">
        <v>271</v>
      </c>
      <c r="D366" s="9" t="s">
        <v>42</v>
      </c>
      <c r="E366" s="10" t="str">
        <f>"221.27"</f>
        <v>221.27</v>
      </c>
      <c r="F366" s="11" t="s">
        <v>11</v>
      </c>
      <c r="G366" s="11">
        <v>2017</v>
      </c>
      <c r="H366" s="12" t="str">
        <f>"193.27"</f>
        <v>193.27</v>
      </c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>
      <c r="A367" s="9">
        <v>365</v>
      </c>
      <c r="B367" s="9">
        <v>2037</v>
      </c>
      <c r="C367" s="9" t="s">
        <v>450</v>
      </c>
      <c r="D367" s="9" t="s">
        <v>400</v>
      </c>
      <c r="E367" s="10" t="str">
        <f>"221.40"</f>
        <v>221.40</v>
      </c>
      <c r="F367" s="11" t="s">
        <v>9</v>
      </c>
      <c r="G367" s="11">
        <v>2017</v>
      </c>
      <c r="H367" s="12" t="str">
        <f>"252.66"</f>
        <v>252.66</v>
      </c>
      <c r="I367" s="12"/>
      <c r="J367" s="12"/>
      <c r="K367" s="12"/>
      <c r="L367" s="12"/>
      <c r="M367" s="12"/>
      <c r="N367" s="12"/>
      <c r="O367" s="12"/>
      <c r="P367" s="12" t="str">
        <f>"193.40"</f>
        <v>193.40</v>
      </c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>
      <c r="A368" s="9">
        <v>366</v>
      </c>
      <c r="B368" s="9">
        <v>9969</v>
      </c>
      <c r="C368" s="9" t="s">
        <v>442</v>
      </c>
      <c r="D368" s="9" t="s">
        <v>14</v>
      </c>
      <c r="E368" s="10" t="str">
        <f>"221.52"</f>
        <v>221.52</v>
      </c>
      <c r="F368" s="11" t="s">
        <v>11</v>
      </c>
      <c r="G368" s="11">
        <v>2017</v>
      </c>
      <c r="H368" s="12" t="str">
        <f>"193.52"</f>
        <v>193.52</v>
      </c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>
      <c r="A369" s="9">
        <v>367</v>
      </c>
      <c r="B369" s="9">
        <v>5122</v>
      </c>
      <c r="C369" s="9" t="s">
        <v>390</v>
      </c>
      <c r="D369" s="9" t="s">
        <v>37</v>
      </c>
      <c r="E369" s="10" t="str">
        <f>"221.60"</f>
        <v>221.60</v>
      </c>
      <c r="F369" s="11"/>
      <c r="G369" s="11">
        <v>2017</v>
      </c>
      <c r="H369" s="12" t="str">
        <f>"215.81"</f>
        <v>215.81</v>
      </c>
      <c r="I369" s="12"/>
      <c r="J369" s="12"/>
      <c r="K369" s="12"/>
      <c r="L369" s="12"/>
      <c r="M369" s="12"/>
      <c r="N369" s="12"/>
      <c r="O369" s="12"/>
      <c r="P369" s="12" t="str">
        <f>"195.51"</f>
        <v>195.51</v>
      </c>
      <c r="Q369" s="12"/>
      <c r="R369" s="12"/>
      <c r="S369" s="12"/>
      <c r="T369" s="12"/>
      <c r="U369" s="12" t="str">
        <f>"247.69"</f>
        <v>247.69</v>
      </c>
      <c r="V369" s="12" t="str">
        <f>"249.42"</f>
        <v>249.42</v>
      </c>
      <c r="W369" s="12"/>
      <c r="X369" s="12"/>
      <c r="Y369" s="12"/>
      <c r="Z369" s="12"/>
      <c r="AA369" s="12"/>
    </row>
    <row r="370" spans="1:27">
      <c r="A370" s="9">
        <v>368</v>
      </c>
      <c r="B370" s="9">
        <v>5234</v>
      </c>
      <c r="C370" s="9" t="s">
        <v>178</v>
      </c>
      <c r="D370" s="9" t="s">
        <v>42</v>
      </c>
      <c r="E370" s="10" t="str">
        <f>"221.61"</f>
        <v>221.61</v>
      </c>
      <c r="F370" s="11"/>
      <c r="G370" s="11">
        <v>2017</v>
      </c>
      <c r="H370" s="12" t="str">
        <f>"163.39"</f>
        <v>163.39</v>
      </c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 t="str">
        <f>"204.78"</f>
        <v>204.78</v>
      </c>
      <c r="V370" s="12" t="str">
        <f>"238.44"</f>
        <v>238.44</v>
      </c>
      <c r="W370" s="12"/>
      <c r="X370" s="12"/>
      <c r="Y370" s="12"/>
      <c r="Z370" s="12"/>
      <c r="AA370" s="12"/>
    </row>
    <row r="371" spans="1:27">
      <c r="A371" s="9">
        <v>369</v>
      </c>
      <c r="B371" s="9">
        <v>10436</v>
      </c>
      <c r="C371" s="9" t="s">
        <v>289</v>
      </c>
      <c r="D371" s="9" t="s">
        <v>19</v>
      </c>
      <c r="E371" s="10" t="str">
        <f>"222.21"</f>
        <v>222.21</v>
      </c>
      <c r="F371" s="11"/>
      <c r="G371" s="11">
        <v>2017</v>
      </c>
      <c r="H371" s="12" t="str">
        <f>"341.54"</f>
        <v>341.54</v>
      </c>
      <c r="I371" s="12"/>
      <c r="J371" s="12"/>
      <c r="K371" s="12"/>
      <c r="L371" s="12"/>
      <c r="M371" s="12"/>
      <c r="N371" s="12"/>
      <c r="O371" s="12"/>
      <c r="P371" s="12"/>
      <c r="Q371" s="12"/>
      <c r="R371" s="12" t="str">
        <f>"557.32"</f>
        <v>557.32</v>
      </c>
      <c r="S371" s="12"/>
      <c r="T371" s="12"/>
      <c r="U371" s="12"/>
      <c r="V371" s="12"/>
      <c r="W371" s="12"/>
      <c r="X371" s="12"/>
      <c r="Y371" s="12" t="str">
        <f>"213.72"</f>
        <v>213.72</v>
      </c>
      <c r="Z371" s="12" t="str">
        <f>"247.90"</f>
        <v>247.90</v>
      </c>
      <c r="AA371" s="12" t="str">
        <f>"230.70"</f>
        <v>230.70</v>
      </c>
    </row>
    <row r="372" spans="1:27">
      <c r="A372" s="9">
        <v>370</v>
      </c>
      <c r="B372" s="9">
        <v>10282</v>
      </c>
      <c r="C372" s="9" t="s">
        <v>681</v>
      </c>
      <c r="D372" s="9" t="s">
        <v>14</v>
      </c>
      <c r="E372" s="10" t="str">
        <f>"222.68"</f>
        <v>222.68</v>
      </c>
      <c r="F372" s="11" t="s">
        <v>9</v>
      </c>
      <c r="G372" s="11">
        <v>2017</v>
      </c>
      <c r="H372" s="12" t="str">
        <f>"225.38"</f>
        <v>225.38</v>
      </c>
      <c r="I372" s="12"/>
      <c r="J372" s="12"/>
      <c r="K372" s="12"/>
      <c r="L372" s="12"/>
      <c r="M372" s="12" t="str">
        <f>"194.68"</f>
        <v>194.68</v>
      </c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>
      <c r="A373" s="9">
        <v>371</v>
      </c>
      <c r="B373" s="9">
        <v>1781</v>
      </c>
      <c r="C373" s="9" t="s">
        <v>684</v>
      </c>
      <c r="D373" s="9" t="s">
        <v>75</v>
      </c>
      <c r="E373" s="10" t="str">
        <f>"222.87"</f>
        <v>222.87</v>
      </c>
      <c r="F373" s="11" t="s">
        <v>11</v>
      </c>
      <c r="G373" s="11">
        <v>2017</v>
      </c>
      <c r="H373" s="12" t="str">
        <f>"194.87"</f>
        <v>194.87</v>
      </c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>
      <c r="A374" s="9">
        <v>372</v>
      </c>
      <c r="B374" s="9">
        <v>2491</v>
      </c>
      <c r="C374" s="9" t="s">
        <v>193</v>
      </c>
      <c r="D374" s="9" t="s">
        <v>51</v>
      </c>
      <c r="E374" s="10" t="str">
        <f>"223.13"</f>
        <v>223.13</v>
      </c>
      <c r="F374" s="11" t="s">
        <v>11</v>
      </c>
      <c r="G374" s="11">
        <v>2017</v>
      </c>
      <c r="H374" s="12" t="str">
        <f>"195.13"</f>
        <v>195.13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>
      <c r="A375" s="9">
        <v>373</v>
      </c>
      <c r="B375" s="9">
        <v>5368</v>
      </c>
      <c r="C375" s="9" t="s">
        <v>537</v>
      </c>
      <c r="D375" s="9" t="s">
        <v>39</v>
      </c>
      <c r="E375" s="10" t="str">
        <f>"223.68"</f>
        <v>223.68</v>
      </c>
      <c r="F375" s="11" t="s">
        <v>11</v>
      </c>
      <c r="G375" s="11">
        <v>2017</v>
      </c>
      <c r="H375" s="12" t="str">
        <f>"195.68"</f>
        <v>195.68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>
      <c r="A376" s="9">
        <v>374</v>
      </c>
      <c r="B376" s="9">
        <v>6556</v>
      </c>
      <c r="C376" s="9" t="s">
        <v>729</v>
      </c>
      <c r="D376" s="9" t="s">
        <v>130</v>
      </c>
      <c r="E376" s="10" t="str">
        <f>"224.09"</f>
        <v>224.09</v>
      </c>
      <c r="F376" s="11" t="s">
        <v>9</v>
      </c>
      <c r="G376" s="11">
        <v>2017</v>
      </c>
      <c r="H376" s="12" t="str">
        <f>"136.74"</f>
        <v>136.74</v>
      </c>
      <c r="I376" s="12"/>
      <c r="J376" s="12"/>
      <c r="K376" s="12"/>
      <c r="L376" s="12" t="str">
        <f>"196.09"</f>
        <v>196.09</v>
      </c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>
      <c r="A377" s="9">
        <v>375</v>
      </c>
      <c r="B377" s="9">
        <v>538</v>
      </c>
      <c r="C377" s="9" t="s">
        <v>1220</v>
      </c>
      <c r="D377" s="9" t="s">
        <v>17</v>
      </c>
      <c r="E377" s="10" t="str">
        <f>"224.48"</f>
        <v>224.48</v>
      </c>
      <c r="F377" s="11" t="s">
        <v>11</v>
      </c>
      <c r="G377" s="11">
        <v>2017</v>
      </c>
      <c r="H377" s="12" t="str">
        <f>"196.48"</f>
        <v>196.48</v>
      </c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>
      <c r="A378" s="9">
        <v>376</v>
      </c>
      <c r="B378" s="9">
        <v>11344</v>
      </c>
      <c r="C378" s="9" t="s">
        <v>615</v>
      </c>
      <c r="D378" s="9" t="s">
        <v>38</v>
      </c>
      <c r="E378" s="10" t="str">
        <f>"224.64"</f>
        <v>224.64</v>
      </c>
      <c r="F378" s="11"/>
      <c r="G378" s="11">
        <v>2017</v>
      </c>
      <c r="H378" s="12"/>
      <c r="I378" s="12"/>
      <c r="J378" s="12"/>
      <c r="K378" s="12"/>
      <c r="L378" s="12" t="str">
        <f>"225.35"</f>
        <v>225.35</v>
      </c>
      <c r="M378" s="12"/>
      <c r="N378" s="12"/>
      <c r="O378" s="12"/>
      <c r="P378" s="12"/>
      <c r="Q378" s="12" t="str">
        <f>"223.93"</f>
        <v>223.93</v>
      </c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>
      <c r="A379" s="9">
        <v>377</v>
      </c>
      <c r="B379" s="9">
        <v>2331</v>
      </c>
      <c r="C379" s="9" t="s">
        <v>487</v>
      </c>
      <c r="D379" s="9" t="s">
        <v>10</v>
      </c>
      <c r="E379" s="10" t="str">
        <f>"224.65"</f>
        <v>224.65</v>
      </c>
      <c r="F379" s="11" t="s">
        <v>11</v>
      </c>
      <c r="G379" s="11">
        <v>2017</v>
      </c>
      <c r="H379" s="12" t="str">
        <f>"196.65"</f>
        <v>196.65</v>
      </c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>
      <c r="A380" s="9">
        <v>378</v>
      </c>
      <c r="B380" s="9">
        <v>10249</v>
      </c>
      <c r="C380" s="9" t="s">
        <v>1186</v>
      </c>
      <c r="D380" s="9" t="s">
        <v>147</v>
      </c>
      <c r="E380" s="10" t="str">
        <f>"224.77"</f>
        <v>224.77</v>
      </c>
      <c r="F380" s="11" t="s">
        <v>11</v>
      </c>
      <c r="G380" s="11">
        <v>2017</v>
      </c>
      <c r="H380" s="12" t="str">
        <f>"196.77"</f>
        <v>196.77</v>
      </c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>
      <c r="A381" s="9">
        <v>379</v>
      </c>
      <c r="B381" s="9">
        <v>3087</v>
      </c>
      <c r="C381" s="9" t="s">
        <v>539</v>
      </c>
      <c r="D381" s="9" t="s">
        <v>23</v>
      </c>
      <c r="E381" s="10" t="str">
        <f>"225.89"</f>
        <v>225.89</v>
      </c>
      <c r="F381" s="11" t="s">
        <v>11</v>
      </c>
      <c r="G381" s="11">
        <v>2017</v>
      </c>
      <c r="H381" s="12" t="str">
        <f>"197.89"</f>
        <v>197.89</v>
      </c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>
      <c r="A382" s="9">
        <v>380</v>
      </c>
      <c r="B382" s="9">
        <v>3192</v>
      </c>
      <c r="C382" s="9" t="s">
        <v>272</v>
      </c>
      <c r="D382" s="9" t="s">
        <v>10</v>
      </c>
      <c r="E382" s="10" t="str">
        <f>"225.92"</f>
        <v>225.92</v>
      </c>
      <c r="F382" s="11" t="s">
        <v>9</v>
      </c>
      <c r="G382" s="11">
        <v>2017</v>
      </c>
      <c r="H382" s="12" t="str">
        <f>"115.34"</f>
        <v>115.34</v>
      </c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 t="str">
        <f>"197.92"</f>
        <v>197.92</v>
      </c>
      <c r="U382" s="12"/>
      <c r="V382" s="12"/>
      <c r="W382" s="12"/>
      <c r="X382" s="12"/>
      <c r="Y382" s="12"/>
      <c r="Z382" s="12"/>
      <c r="AA382" s="12"/>
    </row>
    <row r="383" spans="1:27">
      <c r="A383" s="9">
        <v>381</v>
      </c>
      <c r="B383" s="9">
        <v>6853</v>
      </c>
      <c r="C383" s="9" t="s">
        <v>342</v>
      </c>
      <c r="D383" s="9" t="s">
        <v>95</v>
      </c>
      <c r="E383" s="10" t="str">
        <f>"226.18"</f>
        <v>226.18</v>
      </c>
      <c r="F383" s="11" t="s">
        <v>11</v>
      </c>
      <c r="G383" s="11">
        <v>2017</v>
      </c>
      <c r="H383" s="12" t="str">
        <f>"198.18"</f>
        <v>198.18</v>
      </c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>
      <c r="A384" s="9">
        <v>382</v>
      </c>
      <c r="B384" s="9">
        <v>10627</v>
      </c>
      <c r="C384" s="9" t="s">
        <v>461</v>
      </c>
      <c r="D384" s="9" t="s">
        <v>10</v>
      </c>
      <c r="E384" s="10" t="str">
        <f>"226.30"</f>
        <v>226.30</v>
      </c>
      <c r="F384" s="11"/>
      <c r="G384" s="11">
        <v>2017</v>
      </c>
      <c r="H384" s="12" t="str">
        <f>"305.52"</f>
        <v>305.52</v>
      </c>
      <c r="I384" s="12" t="str">
        <f>"442.16"</f>
        <v>442.16</v>
      </c>
      <c r="J384" s="12" t="str">
        <f>"322.25"</f>
        <v>322.25</v>
      </c>
      <c r="K384" s="12"/>
      <c r="L384" s="12"/>
      <c r="M384" s="12"/>
      <c r="N384" s="12"/>
      <c r="O384" s="12"/>
      <c r="P384" s="12"/>
      <c r="Q384" s="12"/>
      <c r="R384" s="12"/>
      <c r="S384" s="12" t="str">
        <f>"130.34"</f>
        <v>130.34</v>
      </c>
      <c r="T384" s="12" t="str">
        <f>"421.45"</f>
        <v>421.45</v>
      </c>
      <c r="U384" s="12"/>
      <c r="V384" s="12"/>
      <c r="W384" s="12"/>
      <c r="X384" s="12"/>
      <c r="Y384" s="12"/>
      <c r="Z384" s="12"/>
      <c r="AA384" s="12"/>
    </row>
    <row r="385" spans="1:27">
      <c r="A385" s="9">
        <v>383</v>
      </c>
      <c r="B385" s="9">
        <v>1092</v>
      </c>
      <c r="C385" s="9" t="s">
        <v>679</v>
      </c>
      <c r="D385" s="9" t="s">
        <v>40</v>
      </c>
      <c r="E385" s="10" t="str">
        <f>"226.54"</f>
        <v>226.54</v>
      </c>
      <c r="F385" s="11" t="s">
        <v>9</v>
      </c>
      <c r="G385" s="11">
        <v>2017</v>
      </c>
      <c r="H385" s="12" t="str">
        <f>"187.07"</f>
        <v>187.07</v>
      </c>
      <c r="I385" s="12"/>
      <c r="J385" s="12"/>
      <c r="K385" s="12"/>
      <c r="L385" s="12" t="str">
        <f>"198.54"</f>
        <v>198.54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>
      <c r="A386" s="9">
        <v>384</v>
      </c>
      <c r="B386" s="9">
        <v>1208</v>
      </c>
      <c r="C386" s="9" t="s">
        <v>437</v>
      </c>
      <c r="D386" s="9" t="s">
        <v>64</v>
      </c>
      <c r="E386" s="10" t="str">
        <f>"226.61"</f>
        <v>226.61</v>
      </c>
      <c r="F386" s="11" t="s">
        <v>11</v>
      </c>
      <c r="G386" s="11">
        <v>2017</v>
      </c>
      <c r="H386" s="12" t="str">
        <f>"198.61"</f>
        <v>198.61</v>
      </c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>
      <c r="A387" s="9">
        <v>385</v>
      </c>
      <c r="B387" s="9">
        <v>10614</v>
      </c>
      <c r="C387" s="9" t="s">
        <v>641</v>
      </c>
      <c r="D387" s="9" t="s">
        <v>10</v>
      </c>
      <c r="E387" s="10" t="str">
        <f>"226.68"</f>
        <v>226.68</v>
      </c>
      <c r="F387" s="11" t="s">
        <v>11</v>
      </c>
      <c r="G387" s="11">
        <v>2017</v>
      </c>
      <c r="H387" s="12" t="str">
        <f>"198.68"</f>
        <v>198.68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>
      <c r="A388" s="9">
        <v>386</v>
      </c>
      <c r="B388" s="9">
        <v>1510</v>
      </c>
      <c r="C388" s="9" t="s">
        <v>1175</v>
      </c>
      <c r="D388" s="9" t="s">
        <v>68</v>
      </c>
      <c r="E388" s="10" t="str">
        <f>"227.71"</f>
        <v>227.71</v>
      </c>
      <c r="F388" s="11" t="s">
        <v>9</v>
      </c>
      <c r="G388" s="11">
        <v>2017</v>
      </c>
      <c r="H388" s="12" t="str">
        <f>"255.70"</f>
        <v>255.70</v>
      </c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 t="str">
        <f>"199.71"</f>
        <v>199.71</v>
      </c>
      <c r="X388" s="12"/>
      <c r="Y388" s="12"/>
      <c r="Z388" s="12"/>
      <c r="AA388" s="12"/>
    </row>
    <row r="389" spans="1:27">
      <c r="A389" s="9">
        <v>387</v>
      </c>
      <c r="B389" s="9">
        <v>7594</v>
      </c>
      <c r="C389" s="9" t="s">
        <v>508</v>
      </c>
      <c r="D389" s="9" t="s">
        <v>33</v>
      </c>
      <c r="E389" s="10" t="str">
        <f>"227.98"</f>
        <v>227.98</v>
      </c>
      <c r="F389" s="11"/>
      <c r="G389" s="11">
        <v>2017</v>
      </c>
      <c r="H389" s="12" t="str">
        <f>"153.58"</f>
        <v>153.58</v>
      </c>
      <c r="I389" s="12"/>
      <c r="J389" s="12"/>
      <c r="K389" s="12"/>
      <c r="L389" s="12" t="str">
        <f>"227.73"</f>
        <v>227.73</v>
      </c>
      <c r="M389" s="12"/>
      <c r="N389" s="12"/>
      <c r="O389" s="12"/>
      <c r="P389" s="12"/>
      <c r="Q389" s="12" t="str">
        <f>"228.23"</f>
        <v>228.23</v>
      </c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>
      <c r="A390" s="9">
        <v>388</v>
      </c>
      <c r="B390" s="9">
        <v>9812</v>
      </c>
      <c r="C390" s="9" t="s">
        <v>364</v>
      </c>
      <c r="D390" s="9" t="s">
        <v>76</v>
      </c>
      <c r="E390" s="10" t="str">
        <f>"229.39"</f>
        <v>229.39</v>
      </c>
      <c r="F390" s="11" t="s">
        <v>11</v>
      </c>
      <c r="G390" s="11">
        <v>2017</v>
      </c>
      <c r="H390" s="12" t="str">
        <f>"201.39"</f>
        <v>201.39</v>
      </c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>
      <c r="A391" s="9">
        <v>389</v>
      </c>
      <c r="B391" s="9">
        <v>10860</v>
      </c>
      <c r="C391" s="9" t="s">
        <v>1157</v>
      </c>
      <c r="D391" s="9" t="s">
        <v>10</v>
      </c>
      <c r="E391" s="10" t="str">
        <f>"229.40"</f>
        <v>229.40</v>
      </c>
      <c r="F391" s="11" t="s">
        <v>11</v>
      </c>
      <c r="G391" s="11">
        <v>2017</v>
      </c>
      <c r="H391" s="12" t="str">
        <f>"201.40"</f>
        <v>201.40</v>
      </c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>
      <c r="A392" s="9">
        <v>390</v>
      </c>
      <c r="B392" s="9">
        <v>5111</v>
      </c>
      <c r="C392" s="9" t="s">
        <v>479</v>
      </c>
      <c r="D392" s="9" t="s">
        <v>14</v>
      </c>
      <c r="E392" s="10" t="str">
        <f>"229.58"</f>
        <v>229.58</v>
      </c>
      <c r="F392" s="11" t="s">
        <v>11</v>
      </c>
      <c r="G392" s="11">
        <v>2017</v>
      </c>
      <c r="H392" s="12" t="str">
        <f>"201.58"</f>
        <v>201.58</v>
      </c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>
      <c r="A393" s="9">
        <v>391</v>
      </c>
      <c r="B393" s="9">
        <v>10343</v>
      </c>
      <c r="C393" s="9" t="s">
        <v>377</v>
      </c>
      <c r="D393" s="9" t="s">
        <v>10</v>
      </c>
      <c r="E393" s="10" t="str">
        <f>"230.02"</f>
        <v>230.02</v>
      </c>
      <c r="F393" s="11" t="s">
        <v>9</v>
      </c>
      <c r="G393" s="11">
        <v>2017</v>
      </c>
      <c r="H393" s="12" t="str">
        <f>"136.01"</f>
        <v>136.01</v>
      </c>
      <c r="I393" s="12"/>
      <c r="J393" s="12" t="str">
        <f>"202.02"</f>
        <v>202.02</v>
      </c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>
      <c r="A394" s="9">
        <v>392</v>
      </c>
      <c r="B394" s="9">
        <v>10579</v>
      </c>
      <c r="C394" s="9" t="s">
        <v>568</v>
      </c>
      <c r="D394" s="9" t="s">
        <v>10</v>
      </c>
      <c r="E394" s="10" t="str">
        <f>"230.28"</f>
        <v>230.28</v>
      </c>
      <c r="F394" s="11" t="s">
        <v>11</v>
      </c>
      <c r="G394" s="11">
        <v>2017</v>
      </c>
      <c r="H394" s="12" t="str">
        <f>"202.28"</f>
        <v>202.28</v>
      </c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>
      <c r="A395" s="9">
        <v>393</v>
      </c>
      <c r="B395" s="9">
        <v>8568</v>
      </c>
      <c r="C395" s="9" t="s">
        <v>655</v>
      </c>
      <c r="D395" s="9" t="s">
        <v>20</v>
      </c>
      <c r="E395" s="10" t="str">
        <f>"230.31"</f>
        <v>230.31</v>
      </c>
      <c r="F395" s="11" t="s">
        <v>11</v>
      </c>
      <c r="G395" s="11">
        <v>2017</v>
      </c>
      <c r="H395" s="12" t="str">
        <f>"202.31"</f>
        <v>202.31</v>
      </c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>
      <c r="A396" s="9">
        <v>394</v>
      </c>
      <c r="B396" s="9">
        <v>1645</v>
      </c>
      <c r="C396" s="9" t="s">
        <v>460</v>
      </c>
      <c r="D396" s="9" t="s">
        <v>32</v>
      </c>
      <c r="E396" s="10" t="str">
        <f>"230.39"</f>
        <v>230.39</v>
      </c>
      <c r="F396" s="11" t="s">
        <v>9</v>
      </c>
      <c r="G396" s="11">
        <v>2017</v>
      </c>
      <c r="H396" s="12"/>
      <c r="I396" s="12"/>
      <c r="J396" s="12"/>
      <c r="K396" s="12"/>
      <c r="L396" s="12" t="str">
        <f>"202.39"</f>
        <v>202.39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>
      <c r="A397" s="9">
        <v>395</v>
      </c>
      <c r="B397" s="9">
        <v>5162</v>
      </c>
      <c r="C397" s="9" t="s">
        <v>494</v>
      </c>
      <c r="D397" s="9" t="s">
        <v>495</v>
      </c>
      <c r="E397" s="10" t="str">
        <f>"231.37"</f>
        <v>231.37</v>
      </c>
      <c r="F397" s="11" t="s">
        <v>11</v>
      </c>
      <c r="G397" s="11">
        <v>2017</v>
      </c>
      <c r="H397" s="12" t="str">
        <f>"203.37"</f>
        <v>203.37</v>
      </c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>
      <c r="A398" s="9">
        <v>396</v>
      </c>
      <c r="B398" s="9">
        <v>2356</v>
      </c>
      <c r="C398" s="9" t="s">
        <v>488</v>
      </c>
      <c r="D398" s="9" t="s">
        <v>10</v>
      </c>
      <c r="E398" s="10" t="str">
        <f>"231.38"</f>
        <v>231.38</v>
      </c>
      <c r="F398" s="11" t="s">
        <v>11</v>
      </c>
      <c r="G398" s="11">
        <v>2017</v>
      </c>
      <c r="H398" s="12" t="str">
        <f>"203.38"</f>
        <v>203.38</v>
      </c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>
      <c r="A399" s="9">
        <v>397</v>
      </c>
      <c r="B399" s="9">
        <v>3219</v>
      </c>
      <c r="C399" s="9" t="s">
        <v>625</v>
      </c>
      <c r="D399" s="9" t="s">
        <v>626</v>
      </c>
      <c r="E399" s="10" t="str">
        <f>"231.84"</f>
        <v>231.84</v>
      </c>
      <c r="F399" s="11" t="s">
        <v>11</v>
      </c>
      <c r="G399" s="11">
        <v>2017</v>
      </c>
      <c r="H399" s="12" t="str">
        <f>"203.84"</f>
        <v>203.84</v>
      </c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>
      <c r="A400" s="9">
        <v>398</v>
      </c>
      <c r="B400" s="9">
        <v>3377</v>
      </c>
      <c r="C400" s="9" t="s">
        <v>567</v>
      </c>
      <c r="D400" s="9" t="s">
        <v>448</v>
      </c>
      <c r="E400" s="10" t="str">
        <f>"232.25"</f>
        <v>232.25</v>
      </c>
      <c r="F400" s="11" t="s">
        <v>9</v>
      </c>
      <c r="G400" s="11">
        <v>2017</v>
      </c>
      <c r="H400" s="12" t="str">
        <f>"263.37"</f>
        <v>263.37</v>
      </c>
      <c r="I400" s="12"/>
      <c r="J400" s="12"/>
      <c r="K400" s="12"/>
      <c r="L400" s="12" t="str">
        <f>"204.25"</f>
        <v>204.25</v>
      </c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>
      <c r="A401" s="9">
        <v>399</v>
      </c>
      <c r="B401" s="9">
        <v>2320</v>
      </c>
      <c r="C401" s="9" t="s">
        <v>538</v>
      </c>
      <c r="D401" s="9" t="s">
        <v>10</v>
      </c>
      <c r="E401" s="10" t="str">
        <f>"232.60"</f>
        <v>232.60</v>
      </c>
      <c r="F401" s="11"/>
      <c r="G401" s="11">
        <v>2017</v>
      </c>
      <c r="H401" s="12" t="str">
        <f>"211.72"</f>
        <v>211.72</v>
      </c>
      <c r="I401" s="12"/>
      <c r="J401" s="12" t="str">
        <f>"303.81"</f>
        <v>303.81</v>
      </c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 t="str">
        <f>"205.21"</f>
        <v>205.21</v>
      </c>
      <c r="W401" s="12"/>
      <c r="X401" s="12" t="str">
        <f>"259.99"</f>
        <v>259.99</v>
      </c>
      <c r="Y401" s="12"/>
      <c r="Z401" s="12"/>
      <c r="AA401" s="12"/>
    </row>
    <row r="402" spans="1:27">
      <c r="A402" s="9">
        <v>400</v>
      </c>
      <c r="B402" s="9">
        <v>141</v>
      </c>
      <c r="C402" s="9" t="s">
        <v>225</v>
      </c>
      <c r="D402" s="9" t="s">
        <v>27</v>
      </c>
      <c r="E402" s="10" t="str">
        <f>"232.90"</f>
        <v>232.90</v>
      </c>
      <c r="F402" s="11" t="s">
        <v>11</v>
      </c>
      <c r="G402" s="11">
        <v>2017</v>
      </c>
      <c r="H402" s="12" t="str">
        <f>"204.90"</f>
        <v>204.90</v>
      </c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>
      <c r="A403" s="9">
        <v>401</v>
      </c>
      <c r="B403" s="9">
        <v>11128</v>
      </c>
      <c r="C403" s="9" t="s">
        <v>486</v>
      </c>
      <c r="D403" s="9" t="s">
        <v>19</v>
      </c>
      <c r="E403" s="10" t="str">
        <f>"233.25"</f>
        <v>233.25</v>
      </c>
      <c r="F403" s="11" t="s">
        <v>9</v>
      </c>
      <c r="G403" s="11">
        <v>2017</v>
      </c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 t="str">
        <f>"205.25"</f>
        <v>205.25</v>
      </c>
      <c r="Z403" s="12"/>
      <c r="AA403" s="12"/>
    </row>
    <row r="404" spans="1:27">
      <c r="A404" s="9">
        <v>402</v>
      </c>
      <c r="B404" s="9">
        <v>2766</v>
      </c>
      <c r="C404" s="9" t="s">
        <v>566</v>
      </c>
      <c r="D404" s="9" t="s">
        <v>65</v>
      </c>
      <c r="E404" s="10" t="str">
        <f>"233.68"</f>
        <v>233.68</v>
      </c>
      <c r="F404" s="11" t="s">
        <v>11</v>
      </c>
      <c r="G404" s="11">
        <v>2017</v>
      </c>
      <c r="H404" s="12" t="str">
        <f>"205.68"</f>
        <v>205.68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>
      <c r="A405" s="9">
        <v>403</v>
      </c>
      <c r="B405" s="9">
        <v>5728</v>
      </c>
      <c r="C405" s="9" t="s">
        <v>439</v>
      </c>
      <c r="D405" s="9" t="s">
        <v>19</v>
      </c>
      <c r="E405" s="10" t="str">
        <f>"233.88"</f>
        <v>233.88</v>
      </c>
      <c r="F405" s="11"/>
      <c r="G405" s="11">
        <v>2017</v>
      </c>
      <c r="H405" s="12" t="str">
        <f>"247.70"</f>
        <v>247.70</v>
      </c>
      <c r="I405" s="12"/>
      <c r="J405" s="12"/>
      <c r="K405" s="12"/>
      <c r="L405" s="12"/>
      <c r="M405" s="12"/>
      <c r="N405" s="12" t="str">
        <f>"244.52"</f>
        <v>244.52</v>
      </c>
      <c r="O405" s="12" t="str">
        <f>"242.37"</f>
        <v>242.37</v>
      </c>
      <c r="P405" s="12"/>
      <c r="Q405" s="12"/>
      <c r="R405" s="12" t="str">
        <f>"225.38"</f>
        <v>225.38</v>
      </c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>
      <c r="A406" s="9">
        <v>404</v>
      </c>
      <c r="B406" s="9">
        <v>11010</v>
      </c>
      <c r="C406" s="9" t="s">
        <v>606</v>
      </c>
      <c r="D406" s="9" t="s">
        <v>275</v>
      </c>
      <c r="E406" s="10" t="str">
        <f>"234.16"</f>
        <v>234.16</v>
      </c>
      <c r="F406" s="11" t="s">
        <v>11</v>
      </c>
      <c r="G406" s="11">
        <v>2017</v>
      </c>
      <c r="H406" s="12" t="str">
        <f>"206.16"</f>
        <v>206.16</v>
      </c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>
      <c r="A407" s="9">
        <v>405</v>
      </c>
      <c r="B407" s="9">
        <v>3655</v>
      </c>
      <c r="C407" s="9" t="s">
        <v>217</v>
      </c>
      <c r="D407" s="9" t="s">
        <v>12</v>
      </c>
      <c r="E407" s="10" t="str">
        <f>"234.23"</f>
        <v>234.23</v>
      </c>
      <c r="F407" s="11" t="s">
        <v>9</v>
      </c>
      <c r="G407" s="11">
        <v>2017</v>
      </c>
      <c r="H407" s="12" t="str">
        <f>"369.99"</f>
        <v>369.99</v>
      </c>
      <c r="I407" s="12"/>
      <c r="J407" s="12"/>
      <c r="K407" s="12" t="str">
        <f>"206.23"</f>
        <v>206.23</v>
      </c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>
      <c r="A408" s="9">
        <v>406</v>
      </c>
      <c r="B408" s="9">
        <v>7852</v>
      </c>
      <c r="C408" s="9" t="s">
        <v>998</v>
      </c>
      <c r="D408" s="9" t="s">
        <v>12</v>
      </c>
      <c r="E408" s="10" t="str">
        <f>"234.63"</f>
        <v>234.63</v>
      </c>
      <c r="F408" s="11" t="s">
        <v>11</v>
      </c>
      <c r="G408" s="11">
        <v>2017</v>
      </c>
      <c r="H408" s="12" t="str">
        <f>"206.63"</f>
        <v>206.63</v>
      </c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>
      <c r="A409" s="9">
        <v>407</v>
      </c>
      <c r="B409" s="9">
        <v>6862</v>
      </c>
      <c r="C409" s="9" t="s">
        <v>343</v>
      </c>
      <c r="D409" s="9" t="s">
        <v>19</v>
      </c>
      <c r="E409" s="10" t="str">
        <f>"234.66"</f>
        <v>234.66</v>
      </c>
      <c r="F409" s="11"/>
      <c r="G409" s="11">
        <v>2017</v>
      </c>
      <c r="H409" s="12" t="str">
        <f>"524.86"</f>
        <v>524.86</v>
      </c>
      <c r="I409" s="12"/>
      <c r="J409" s="12"/>
      <c r="K409" s="12"/>
      <c r="L409" s="12"/>
      <c r="M409" s="12"/>
      <c r="N409" s="12"/>
      <c r="O409" s="12" t="str">
        <f>"272.08"</f>
        <v>272.08</v>
      </c>
      <c r="P409" s="12"/>
      <c r="Q409" s="12"/>
      <c r="R409" s="12" t="str">
        <f>"394.06"</f>
        <v>394.06</v>
      </c>
      <c r="S409" s="12"/>
      <c r="T409" s="12"/>
      <c r="U409" s="12"/>
      <c r="V409" s="12"/>
      <c r="W409" s="12"/>
      <c r="X409" s="12"/>
      <c r="Y409" s="12"/>
      <c r="Z409" s="12" t="str">
        <f>"254.03"</f>
        <v>254.03</v>
      </c>
      <c r="AA409" s="12" t="str">
        <f>"215.29"</f>
        <v>215.29</v>
      </c>
    </row>
    <row r="410" spans="1:27">
      <c r="A410" s="9">
        <v>408</v>
      </c>
      <c r="B410" s="9">
        <v>2291</v>
      </c>
      <c r="C410" s="9" t="s">
        <v>637</v>
      </c>
      <c r="D410" s="9" t="s">
        <v>10</v>
      </c>
      <c r="E410" s="10" t="str">
        <f>"236.16"</f>
        <v>236.16</v>
      </c>
      <c r="F410" s="11" t="s">
        <v>11</v>
      </c>
      <c r="G410" s="11">
        <v>2017</v>
      </c>
      <c r="H410" s="12" t="str">
        <f>"208.16"</f>
        <v>208.16</v>
      </c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>
      <c r="A411" s="9">
        <v>409</v>
      </c>
      <c r="B411" s="9">
        <v>6384</v>
      </c>
      <c r="C411" s="9" t="s">
        <v>339</v>
      </c>
      <c r="D411" s="9" t="s">
        <v>54</v>
      </c>
      <c r="E411" s="10" t="str">
        <f>"237.05"</f>
        <v>237.05</v>
      </c>
      <c r="F411" s="11"/>
      <c r="G411" s="11">
        <v>2017</v>
      </c>
      <c r="H411" s="12" t="str">
        <f>"209.77"</f>
        <v>209.77</v>
      </c>
      <c r="I411" s="12"/>
      <c r="J411" s="12"/>
      <c r="K411" s="12" t="str">
        <f>"246.68"</f>
        <v>246.68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 t="str">
        <f>"227.41"</f>
        <v>227.41</v>
      </c>
      <c r="V411" s="12"/>
      <c r="W411" s="12"/>
      <c r="X411" s="12"/>
      <c r="Y411" s="12"/>
      <c r="Z411" s="12"/>
      <c r="AA411" s="12"/>
    </row>
    <row r="412" spans="1:27">
      <c r="A412" s="9">
        <v>410</v>
      </c>
      <c r="B412" s="9">
        <v>3369</v>
      </c>
      <c r="C412" s="9" t="s">
        <v>695</v>
      </c>
      <c r="D412" s="9" t="s">
        <v>77</v>
      </c>
      <c r="E412" s="10" t="str">
        <f>"237.88"</f>
        <v>237.88</v>
      </c>
      <c r="F412" s="11" t="s">
        <v>11</v>
      </c>
      <c r="G412" s="11">
        <v>2017</v>
      </c>
      <c r="H412" s="12" t="str">
        <f>"209.88"</f>
        <v>209.88</v>
      </c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>
      <c r="A413" s="9">
        <v>411</v>
      </c>
      <c r="B413" s="9">
        <v>7602</v>
      </c>
      <c r="C413" s="9" t="s">
        <v>1200</v>
      </c>
      <c r="D413" s="9" t="s">
        <v>40</v>
      </c>
      <c r="E413" s="10" t="str">
        <f>"237.93"</f>
        <v>237.93</v>
      </c>
      <c r="F413" s="11" t="s">
        <v>11</v>
      </c>
      <c r="G413" s="11">
        <v>2017</v>
      </c>
      <c r="H413" s="12" t="str">
        <f>"209.93"</f>
        <v>209.93</v>
      </c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>
      <c r="A414" s="9">
        <v>412</v>
      </c>
      <c r="B414" s="9">
        <v>2982</v>
      </c>
      <c r="C414" s="9" t="s">
        <v>707</v>
      </c>
      <c r="D414" s="9" t="s">
        <v>72</v>
      </c>
      <c r="E414" s="10" t="str">
        <f>"238.42"</f>
        <v>238.42</v>
      </c>
      <c r="F414" s="11" t="s">
        <v>9</v>
      </c>
      <c r="G414" s="11">
        <v>2017</v>
      </c>
      <c r="H414" s="12" t="str">
        <f>"160.77"</f>
        <v>160.77</v>
      </c>
      <c r="I414" s="12"/>
      <c r="J414" s="12"/>
      <c r="K414" s="12"/>
      <c r="L414" s="12" t="str">
        <f>"210.42"</f>
        <v>210.42</v>
      </c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>
      <c r="A415" s="9">
        <v>413</v>
      </c>
      <c r="B415" s="9">
        <v>4325</v>
      </c>
      <c r="C415" s="9" t="s">
        <v>436</v>
      </c>
      <c r="D415" s="9" t="s">
        <v>429</v>
      </c>
      <c r="E415" s="10" t="str">
        <f>"238.92"</f>
        <v>238.92</v>
      </c>
      <c r="F415" s="11" t="s">
        <v>9</v>
      </c>
      <c r="G415" s="11">
        <v>2017</v>
      </c>
      <c r="H415" s="12" t="str">
        <f>"332.91"</f>
        <v>332.91</v>
      </c>
      <c r="I415" s="12"/>
      <c r="J415" s="12"/>
      <c r="K415" s="12"/>
      <c r="L415" s="12"/>
      <c r="M415" s="12"/>
      <c r="N415" s="12"/>
      <c r="O415" s="12"/>
      <c r="P415" s="12" t="str">
        <f>"210.92"</f>
        <v>210.92</v>
      </c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>
      <c r="A416" s="9">
        <v>414</v>
      </c>
      <c r="B416" s="9">
        <v>4595</v>
      </c>
      <c r="C416" s="9" t="s">
        <v>525</v>
      </c>
      <c r="D416" s="9" t="s">
        <v>54</v>
      </c>
      <c r="E416" s="10" t="str">
        <f>"239.28"</f>
        <v>239.28</v>
      </c>
      <c r="F416" s="11" t="s">
        <v>9</v>
      </c>
      <c r="G416" s="11">
        <v>2017</v>
      </c>
      <c r="H416" s="12" t="str">
        <f>"277.41"</f>
        <v>277.41</v>
      </c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 t="str">
        <f>"211.28"</f>
        <v>211.28</v>
      </c>
      <c r="W416" s="12"/>
      <c r="X416" s="12"/>
      <c r="Y416" s="12"/>
      <c r="Z416" s="12"/>
      <c r="AA416" s="12"/>
    </row>
    <row r="417" spans="1:27">
      <c r="A417" s="9">
        <v>415</v>
      </c>
      <c r="B417" s="9">
        <v>10709</v>
      </c>
      <c r="C417" s="9" t="s">
        <v>524</v>
      </c>
      <c r="D417" s="9" t="s">
        <v>10</v>
      </c>
      <c r="E417" s="10" t="str">
        <f>"239.60"</f>
        <v>239.60</v>
      </c>
      <c r="F417" s="11" t="s">
        <v>9</v>
      </c>
      <c r="G417" s="11">
        <v>2017</v>
      </c>
      <c r="H417" s="12" t="str">
        <f>"235.64"</f>
        <v>235.64</v>
      </c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 t="str">
        <f>"211.60"</f>
        <v>211.60</v>
      </c>
      <c r="T417" s="12"/>
      <c r="U417" s="12"/>
      <c r="V417" s="12"/>
      <c r="W417" s="12"/>
      <c r="X417" s="12"/>
      <c r="Y417" s="12"/>
      <c r="Z417" s="12"/>
      <c r="AA417" s="12"/>
    </row>
    <row r="418" spans="1:27">
      <c r="A418" s="9">
        <v>416</v>
      </c>
      <c r="B418" s="9">
        <v>7625</v>
      </c>
      <c r="C418" s="9" t="s">
        <v>432</v>
      </c>
      <c r="D418" s="9" t="s">
        <v>133</v>
      </c>
      <c r="E418" s="10" t="str">
        <f>"239.68"</f>
        <v>239.68</v>
      </c>
      <c r="F418" s="11"/>
      <c r="G418" s="11">
        <v>2017</v>
      </c>
      <c r="H418" s="12" t="str">
        <f>"273.78"</f>
        <v>273.78</v>
      </c>
      <c r="I418" s="12"/>
      <c r="J418" s="12"/>
      <c r="K418" s="12" t="str">
        <f>"258.77"</f>
        <v>258.77</v>
      </c>
      <c r="L418" s="12"/>
      <c r="M418" s="12"/>
      <c r="N418" s="12"/>
      <c r="O418" s="12"/>
      <c r="P418" s="12"/>
      <c r="Q418" s="12"/>
      <c r="R418" s="12"/>
      <c r="S418" s="12"/>
      <c r="T418" s="12"/>
      <c r="U418" s="12" t="str">
        <f>"247.69"</f>
        <v>247.69</v>
      </c>
      <c r="V418" s="12" t="str">
        <f>"231.67"</f>
        <v>231.67</v>
      </c>
      <c r="W418" s="12"/>
      <c r="X418" s="12"/>
      <c r="Y418" s="12"/>
      <c r="Z418" s="12"/>
      <c r="AA418" s="12"/>
    </row>
    <row r="419" spans="1:27">
      <c r="A419" s="9">
        <v>417</v>
      </c>
      <c r="B419" s="9">
        <v>10966</v>
      </c>
      <c r="C419" s="9" t="s">
        <v>574</v>
      </c>
      <c r="D419" s="9" t="s">
        <v>562</v>
      </c>
      <c r="E419" s="10" t="str">
        <f>"239.85"</f>
        <v>239.85</v>
      </c>
      <c r="F419" s="11" t="s">
        <v>9</v>
      </c>
      <c r="G419" s="11">
        <v>2017</v>
      </c>
      <c r="H419" s="12" t="str">
        <f>"232.78"</f>
        <v>232.78</v>
      </c>
      <c r="I419" s="12"/>
      <c r="J419" s="12"/>
      <c r="K419" s="12"/>
      <c r="L419" s="12"/>
      <c r="M419" s="12" t="str">
        <f>"211.85"</f>
        <v>211.85</v>
      </c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>
      <c r="A420" s="9">
        <v>418</v>
      </c>
      <c r="B420" s="9">
        <v>10944</v>
      </c>
      <c r="C420" s="9" t="s">
        <v>464</v>
      </c>
      <c r="D420" s="9" t="s">
        <v>17</v>
      </c>
      <c r="E420" s="10" t="str">
        <f>"239.86"</f>
        <v>239.86</v>
      </c>
      <c r="F420" s="11" t="s">
        <v>9</v>
      </c>
      <c r="G420" s="11">
        <v>2017</v>
      </c>
      <c r="H420" s="12" t="str">
        <f>"236.02"</f>
        <v>236.02</v>
      </c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 t="str">
        <f>"211.86"</f>
        <v>211.86</v>
      </c>
      <c r="V420" s="12"/>
      <c r="W420" s="12"/>
      <c r="X420" s="12"/>
      <c r="Y420" s="12"/>
      <c r="Z420" s="12"/>
      <c r="AA420" s="12"/>
    </row>
    <row r="421" spans="1:27">
      <c r="A421" s="9">
        <v>419</v>
      </c>
      <c r="B421" s="9">
        <v>10117</v>
      </c>
      <c r="C421" s="9" t="s">
        <v>619</v>
      </c>
      <c r="D421" s="9" t="s">
        <v>10</v>
      </c>
      <c r="E421" s="10" t="str">
        <f>"240.13"</f>
        <v>240.13</v>
      </c>
      <c r="F421" s="11"/>
      <c r="G421" s="11">
        <v>2017</v>
      </c>
      <c r="H421" s="12" t="str">
        <f>"344.45"</f>
        <v>344.45</v>
      </c>
      <c r="I421" s="12" t="str">
        <f>"389.79"</f>
        <v>389.79</v>
      </c>
      <c r="J421" s="12" t="str">
        <f>"367.15"</f>
        <v>367.15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 t="str">
        <f>"228.30"</f>
        <v>228.30</v>
      </c>
      <c r="V421" s="12"/>
      <c r="W421" s="12"/>
      <c r="X421" s="12"/>
      <c r="Y421" s="12"/>
      <c r="Z421" s="12" t="str">
        <f>"280.29"</f>
        <v>280.29</v>
      </c>
      <c r="AA421" s="12" t="str">
        <f>"251.95"</f>
        <v>251.95</v>
      </c>
    </row>
    <row r="422" spans="1:27">
      <c r="A422" s="9">
        <v>420</v>
      </c>
      <c r="B422" s="9">
        <v>11023</v>
      </c>
      <c r="C422" s="9" t="s">
        <v>445</v>
      </c>
      <c r="D422" s="9" t="s">
        <v>37</v>
      </c>
      <c r="E422" s="10" t="str">
        <f>"240.15"</f>
        <v>240.15</v>
      </c>
      <c r="F422" s="11" t="s">
        <v>9</v>
      </c>
      <c r="G422" s="11">
        <v>2017</v>
      </c>
      <c r="H422" s="12" t="str">
        <f>"227.45"</f>
        <v>227.45</v>
      </c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 t="str">
        <f>"212.15"</f>
        <v>212.15</v>
      </c>
      <c r="V422" s="12"/>
      <c r="W422" s="12"/>
      <c r="X422" s="12"/>
      <c r="Y422" s="12"/>
      <c r="Z422" s="12"/>
      <c r="AA422" s="12"/>
    </row>
    <row r="423" spans="1:27">
      <c r="A423" s="9">
        <v>421</v>
      </c>
      <c r="B423" s="9">
        <v>4873</v>
      </c>
      <c r="C423" s="9" t="s">
        <v>604</v>
      </c>
      <c r="D423" s="9" t="s">
        <v>64</v>
      </c>
      <c r="E423" s="10" t="str">
        <f>"240.57"</f>
        <v>240.57</v>
      </c>
      <c r="F423" s="11"/>
      <c r="G423" s="11">
        <v>2017</v>
      </c>
      <c r="H423" s="12" t="str">
        <f>"215.28"</f>
        <v>215.28</v>
      </c>
      <c r="I423" s="12"/>
      <c r="J423" s="12"/>
      <c r="K423" s="12"/>
      <c r="L423" s="12" t="str">
        <f>"255.60"</f>
        <v>255.60</v>
      </c>
      <c r="M423" s="12"/>
      <c r="N423" s="12"/>
      <c r="O423" s="12"/>
      <c r="P423" s="12"/>
      <c r="Q423" s="12" t="str">
        <f>"225.53"</f>
        <v>225.53</v>
      </c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>
      <c r="A424" s="9">
        <v>422</v>
      </c>
      <c r="B424" s="9">
        <v>10577</v>
      </c>
      <c r="C424" s="9" t="s">
        <v>372</v>
      </c>
      <c r="D424" s="9" t="s">
        <v>10</v>
      </c>
      <c r="E424" s="10" t="str">
        <f>"241.35"</f>
        <v>241.35</v>
      </c>
      <c r="F424" s="11"/>
      <c r="G424" s="11">
        <v>2017</v>
      </c>
      <c r="H424" s="12" t="str">
        <f>"201.64"</f>
        <v>201.64</v>
      </c>
      <c r="I424" s="12"/>
      <c r="J424" s="12" t="str">
        <f>"262.35"</f>
        <v>262.35</v>
      </c>
      <c r="K424" s="12"/>
      <c r="L424" s="12"/>
      <c r="M424" s="12"/>
      <c r="N424" s="12"/>
      <c r="O424" s="12"/>
      <c r="P424" s="12"/>
      <c r="Q424" s="12"/>
      <c r="R424" s="12"/>
      <c r="S424" s="12"/>
      <c r="T424" s="12" t="str">
        <f>"220.35"</f>
        <v>220.35</v>
      </c>
      <c r="U424" s="12"/>
      <c r="V424" s="12"/>
      <c r="W424" s="12"/>
      <c r="X424" s="12"/>
      <c r="Y424" s="12"/>
      <c r="Z424" s="12"/>
      <c r="AA424" s="12"/>
    </row>
    <row r="425" spans="1:27">
      <c r="A425" s="9">
        <v>423</v>
      </c>
      <c r="B425" s="9">
        <v>10530</v>
      </c>
      <c r="C425" s="9" t="s">
        <v>370</v>
      </c>
      <c r="D425" s="9" t="s">
        <v>323</v>
      </c>
      <c r="E425" s="10" t="str">
        <f>"241.50"</f>
        <v>241.50</v>
      </c>
      <c r="F425" s="11"/>
      <c r="G425" s="11">
        <v>2017</v>
      </c>
      <c r="H425" s="12" t="str">
        <f>"121.96"</f>
        <v>121.96</v>
      </c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 t="str">
        <f>"324.48"</f>
        <v>324.48</v>
      </c>
      <c r="W425" s="12"/>
      <c r="X425" s="12" t="str">
        <f>"158.52"</f>
        <v>158.52</v>
      </c>
      <c r="Y425" s="12"/>
      <c r="Z425" s="12"/>
      <c r="AA425" s="12"/>
    </row>
    <row r="426" spans="1:27">
      <c r="A426" s="9">
        <v>424</v>
      </c>
      <c r="B426" s="9">
        <v>5379</v>
      </c>
      <c r="C426" s="9" t="s">
        <v>648</v>
      </c>
      <c r="D426" s="9" t="s">
        <v>50</v>
      </c>
      <c r="E426" s="10" t="str">
        <f>"241.67"</f>
        <v>241.67</v>
      </c>
      <c r="F426" s="11" t="s">
        <v>9</v>
      </c>
      <c r="G426" s="11">
        <v>2017</v>
      </c>
      <c r="H426" s="12" t="str">
        <f>"246.83"</f>
        <v>246.83</v>
      </c>
      <c r="I426" s="12"/>
      <c r="J426" s="12"/>
      <c r="K426" s="12"/>
      <c r="L426" s="12"/>
      <c r="M426" s="12" t="str">
        <f>"213.67"</f>
        <v>213.67</v>
      </c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>
      <c r="A427" s="9">
        <v>425</v>
      </c>
      <c r="B427" s="9">
        <v>805</v>
      </c>
      <c r="C427" s="9" t="s">
        <v>338</v>
      </c>
      <c r="D427" s="9" t="s">
        <v>46</v>
      </c>
      <c r="E427" s="10" t="str">
        <f>"242.27"</f>
        <v>242.27</v>
      </c>
      <c r="F427" s="11" t="s">
        <v>9</v>
      </c>
      <c r="G427" s="11">
        <v>2017</v>
      </c>
      <c r="H427" s="12" t="str">
        <f>"196.03"</f>
        <v>196.03</v>
      </c>
      <c r="I427" s="12"/>
      <c r="J427" s="12"/>
      <c r="K427" s="12" t="str">
        <f>"214.27"</f>
        <v>214.27</v>
      </c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>
      <c r="A428" s="9">
        <v>426</v>
      </c>
      <c r="B428" s="9">
        <v>4858</v>
      </c>
      <c r="C428" s="9" t="s">
        <v>220</v>
      </c>
      <c r="D428" s="9" t="s">
        <v>221</v>
      </c>
      <c r="E428" s="10" t="str">
        <f>"242.44"</f>
        <v>242.44</v>
      </c>
      <c r="F428" s="11" t="s">
        <v>11</v>
      </c>
      <c r="G428" s="11">
        <v>2017</v>
      </c>
      <c r="H428" s="12" t="str">
        <f>"214.44"</f>
        <v>214.44</v>
      </c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>
      <c r="A429" s="9">
        <v>427</v>
      </c>
      <c r="B429" s="9">
        <v>6414</v>
      </c>
      <c r="C429" s="9" t="s">
        <v>611</v>
      </c>
      <c r="D429" s="9" t="s">
        <v>79</v>
      </c>
      <c r="E429" s="10" t="str">
        <f>"242.66"</f>
        <v>242.66</v>
      </c>
      <c r="F429" s="11" t="s">
        <v>9</v>
      </c>
      <c r="G429" s="11">
        <v>2017</v>
      </c>
      <c r="H429" s="12" t="str">
        <f>"195.19"</f>
        <v>195.19</v>
      </c>
      <c r="I429" s="12"/>
      <c r="J429" s="12"/>
      <c r="K429" s="12"/>
      <c r="L429" s="12" t="str">
        <f>"214.66"</f>
        <v>214.66</v>
      </c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>
      <c r="A430" s="9">
        <v>428</v>
      </c>
      <c r="B430" s="9">
        <v>347</v>
      </c>
      <c r="C430" s="9" t="s">
        <v>1219</v>
      </c>
      <c r="D430" s="9" t="s">
        <v>84</v>
      </c>
      <c r="E430" s="10" t="str">
        <f>"243.26"</f>
        <v>243.26</v>
      </c>
      <c r="F430" s="11" t="s">
        <v>11</v>
      </c>
      <c r="G430" s="11">
        <v>2017</v>
      </c>
      <c r="H430" s="12" t="str">
        <f>"215.26"</f>
        <v>215.26</v>
      </c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>
      <c r="A431" s="9">
        <v>429</v>
      </c>
      <c r="B431" s="9">
        <v>10841</v>
      </c>
      <c r="C431" s="9" t="s">
        <v>584</v>
      </c>
      <c r="D431" s="9" t="s">
        <v>10</v>
      </c>
      <c r="E431" s="10" t="str">
        <f>"243.31"</f>
        <v>243.31</v>
      </c>
      <c r="F431" s="11"/>
      <c r="G431" s="11">
        <v>2017</v>
      </c>
      <c r="H431" s="12" t="str">
        <f>"232.10"</f>
        <v>232.10</v>
      </c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 t="str">
        <f>"215.09"</f>
        <v>215.09</v>
      </c>
      <c r="T431" s="12" t="str">
        <f>"271.53"</f>
        <v>271.53</v>
      </c>
      <c r="U431" s="12"/>
      <c r="V431" s="12"/>
      <c r="W431" s="12"/>
      <c r="X431" s="12"/>
      <c r="Y431" s="12"/>
      <c r="Z431" s="12"/>
      <c r="AA431" s="12"/>
    </row>
    <row r="432" spans="1:27">
      <c r="A432" s="9">
        <v>430</v>
      </c>
      <c r="B432" s="9">
        <v>5356</v>
      </c>
      <c r="C432" s="9" t="s">
        <v>732</v>
      </c>
      <c r="D432" s="9" t="s">
        <v>57</v>
      </c>
      <c r="E432" s="10" t="str">
        <f>"243.48"</f>
        <v>243.48</v>
      </c>
      <c r="F432" s="11" t="s">
        <v>11</v>
      </c>
      <c r="G432" s="11">
        <v>2017</v>
      </c>
      <c r="H432" s="12" t="str">
        <f>"215.48"</f>
        <v>215.48</v>
      </c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>
      <c r="A433" s="9">
        <v>431</v>
      </c>
      <c r="B433" s="9">
        <v>3432</v>
      </c>
      <c r="C433" s="9" t="s">
        <v>280</v>
      </c>
      <c r="D433" s="9" t="s">
        <v>8</v>
      </c>
      <c r="E433" s="10" t="str">
        <f>"243.55"</f>
        <v>243.55</v>
      </c>
      <c r="F433" s="11"/>
      <c r="G433" s="11">
        <v>2017</v>
      </c>
      <c r="H433" s="12" t="str">
        <f>"201.22"</f>
        <v>201.22</v>
      </c>
      <c r="I433" s="12"/>
      <c r="J433" s="12"/>
      <c r="K433" s="12" t="str">
        <f>"277.04"</f>
        <v>277.04</v>
      </c>
      <c r="L433" s="12"/>
      <c r="M433" s="12"/>
      <c r="N433" s="12"/>
      <c r="O433" s="12"/>
      <c r="P433" s="12" t="str">
        <f>"210.05"</f>
        <v>210.05</v>
      </c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>
      <c r="A434" s="9">
        <v>432</v>
      </c>
      <c r="B434" s="9">
        <v>4885</v>
      </c>
      <c r="C434" s="9" t="s">
        <v>649</v>
      </c>
      <c r="D434" s="9" t="s">
        <v>12</v>
      </c>
      <c r="E434" s="10" t="str">
        <f>"244.14"</f>
        <v>244.14</v>
      </c>
      <c r="F434" s="11" t="s">
        <v>11</v>
      </c>
      <c r="G434" s="11">
        <v>2017</v>
      </c>
      <c r="H434" s="12" t="str">
        <f>"216.14"</f>
        <v>216.14</v>
      </c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>
      <c r="A435" s="9">
        <v>433</v>
      </c>
      <c r="B435" s="9">
        <v>10459</v>
      </c>
      <c r="C435" s="9" t="s">
        <v>453</v>
      </c>
      <c r="D435" s="9" t="s">
        <v>19</v>
      </c>
      <c r="E435" s="10" t="str">
        <f>"244.88"</f>
        <v>244.88</v>
      </c>
      <c r="F435" s="11" t="s">
        <v>9</v>
      </c>
      <c r="G435" s="11">
        <v>2017</v>
      </c>
      <c r="H435" s="12" t="str">
        <f>"685.66"</f>
        <v>685.66</v>
      </c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 t="str">
        <f>"216.88"</f>
        <v>216.88</v>
      </c>
      <c r="AA435" s="12"/>
    </row>
    <row r="436" spans="1:27">
      <c r="A436" s="9">
        <v>434</v>
      </c>
      <c r="B436" s="9">
        <v>10645</v>
      </c>
      <c r="C436" s="9" t="s">
        <v>483</v>
      </c>
      <c r="D436" s="9" t="s">
        <v>10</v>
      </c>
      <c r="E436" s="10" t="str">
        <f>"244.99"</f>
        <v>244.99</v>
      </c>
      <c r="F436" s="11" t="s">
        <v>11</v>
      </c>
      <c r="G436" s="11">
        <v>2017</v>
      </c>
      <c r="H436" s="12" t="str">
        <f>"216.99"</f>
        <v>216.99</v>
      </c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>
      <c r="A437" s="9">
        <v>435</v>
      </c>
      <c r="B437" s="9">
        <v>6656</v>
      </c>
      <c r="C437" s="9" t="s">
        <v>776</v>
      </c>
      <c r="D437" s="9" t="s">
        <v>13</v>
      </c>
      <c r="E437" s="10" t="str">
        <f>"245.02"</f>
        <v>245.02</v>
      </c>
      <c r="F437" s="11" t="s">
        <v>11</v>
      </c>
      <c r="G437" s="11">
        <v>2017</v>
      </c>
      <c r="H437" s="12" t="str">
        <f>"217.02"</f>
        <v>217.02</v>
      </c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>
      <c r="A438" s="9">
        <v>436</v>
      </c>
      <c r="B438" s="9">
        <v>6657</v>
      </c>
      <c r="C438" s="9" t="s">
        <v>723</v>
      </c>
      <c r="D438" s="9" t="s">
        <v>20</v>
      </c>
      <c r="E438" s="10" t="str">
        <f>"245.23"</f>
        <v>245.23</v>
      </c>
      <c r="F438" s="11" t="s">
        <v>11</v>
      </c>
      <c r="G438" s="11">
        <v>2017</v>
      </c>
      <c r="H438" s="12" t="str">
        <f>"217.23"</f>
        <v>217.23</v>
      </c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>
      <c r="A439" s="9">
        <v>437</v>
      </c>
      <c r="B439" s="9">
        <v>9765</v>
      </c>
      <c r="C439" s="9" t="s">
        <v>1187</v>
      </c>
      <c r="D439" s="9" t="s">
        <v>65</v>
      </c>
      <c r="E439" s="10" t="str">
        <f>"245.80"</f>
        <v>245.80</v>
      </c>
      <c r="F439" s="11" t="s">
        <v>11</v>
      </c>
      <c r="G439" s="11">
        <v>2017</v>
      </c>
      <c r="H439" s="12" t="str">
        <f>"217.80"</f>
        <v>217.80</v>
      </c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>
      <c r="A440" s="9">
        <v>438</v>
      </c>
      <c r="B440" s="9">
        <v>2329</v>
      </c>
      <c r="C440" s="9" t="s">
        <v>645</v>
      </c>
      <c r="D440" s="9" t="s">
        <v>38</v>
      </c>
      <c r="E440" s="10" t="str">
        <f>"246.05"</f>
        <v>246.05</v>
      </c>
      <c r="F440" s="11" t="s">
        <v>9</v>
      </c>
      <c r="G440" s="11">
        <v>2017</v>
      </c>
      <c r="H440" s="12" t="str">
        <f>"226.06"</f>
        <v>226.06</v>
      </c>
      <c r="I440" s="12"/>
      <c r="J440" s="12"/>
      <c r="K440" s="12"/>
      <c r="L440" s="12" t="str">
        <f>"218.05"</f>
        <v>218.05</v>
      </c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>
      <c r="A441" s="9">
        <v>439</v>
      </c>
      <c r="B441" s="9">
        <v>4158</v>
      </c>
      <c r="C441" s="9" t="s">
        <v>124</v>
      </c>
      <c r="D441" s="9" t="s">
        <v>74</v>
      </c>
      <c r="E441" s="10" t="str">
        <f>"246.57"</f>
        <v>246.57</v>
      </c>
      <c r="F441" s="11" t="s">
        <v>11</v>
      </c>
      <c r="G441" s="11">
        <v>2017</v>
      </c>
      <c r="H441" s="12" t="str">
        <f>"218.57"</f>
        <v>218.57</v>
      </c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>
      <c r="A442" s="9">
        <v>440</v>
      </c>
      <c r="B442" s="9">
        <v>77</v>
      </c>
      <c r="C442" s="9" t="s">
        <v>718</v>
      </c>
      <c r="D442" s="9" t="s">
        <v>86</v>
      </c>
      <c r="E442" s="10" t="str">
        <f>"246.87"</f>
        <v>246.87</v>
      </c>
      <c r="F442" s="11"/>
      <c r="G442" s="11">
        <v>2017</v>
      </c>
      <c r="H442" s="12" t="str">
        <f>"186.77"</f>
        <v>186.77</v>
      </c>
      <c r="I442" s="12"/>
      <c r="J442" s="12"/>
      <c r="K442" s="12"/>
      <c r="L442" s="12" t="str">
        <f>"215.92"</f>
        <v>215.92</v>
      </c>
      <c r="M442" s="12"/>
      <c r="N442" s="12"/>
      <c r="O442" s="12"/>
      <c r="P442" s="12"/>
      <c r="Q442" s="12" t="str">
        <f>"277.81"</f>
        <v>277.81</v>
      </c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>
      <c r="A443" s="9">
        <v>441</v>
      </c>
      <c r="B443" s="9">
        <v>6122</v>
      </c>
      <c r="C443" s="9" t="s">
        <v>773</v>
      </c>
      <c r="D443" s="9" t="s">
        <v>50</v>
      </c>
      <c r="E443" s="10" t="str">
        <f>"247.01"</f>
        <v>247.01</v>
      </c>
      <c r="F443" s="11" t="s">
        <v>11</v>
      </c>
      <c r="G443" s="11">
        <v>2017</v>
      </c>
      <c r="H443" s="12" t="str">
        <f>"219.01"</f>
        <v>219.01</v>
      </c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>
      <c r="A444" s="9">
        <v>442</v>
      </c>
      <c r="B444" s="9">
        <v>5337</v>
      </c>
      <c r="C444" s="9" t="s">
        <v>635</v>
      </c>
      <c r="D444" s="9" t="s">
        <v>59</v>
      </c>
      <c r="E444" s="10" t="str">
        <f>"247.65"</f>
        <v>247.65</v>
      </c>
      <c r="F444" s="11"/>
      <c r="G444" s="11">
        <v>2017</v>
      </c>
      <c r="H444" s="12" t="str">
        <f>"301.75"</f>
        <v>301.75</v>
      </c>
      <c r="I444" s="12"/>
      <c r="J444" s="12"/>
      <c r="K444" s="12"/>
      <c r="L444" s="12"/>
      <c r="M444" s="12" t="str">
        <f>"284.49"</f>
        <v>284.49</v>
      </c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 t="str">
        <f>"210.81"</f>
        <v>210.81</v>
      </c>
      <c r="Z444" s="12"/>
      <c r="AA444" s="12"/>
    </row>
    <row r="445" spans="1:27">
      <c r="A445" s="9">
        <v>443</v>
      </c>
      <c r="B445" s="9">
        <v>2200</v>
      </c>
      <c r="C445" s="9" t="s">
        <v>708</v>
      </c>
      <c r="D445" s="9" t="s">
        <v>10</v>
      </c>
      <c r="E445" s="10" t="str">
        <f>"247.73"</f>
        <v>247.73</v>
      </c>
      <c r="F445" s="11" t="s">
        <v>11</v>
      </c>
      <c r="G445" s="11">
        <v>2017</v>
      </c>
      <c r="H445" s="12" t="str">
        <f>"219.73"</f>
        <v>219.73</v>
      </c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>
      <c r="A446" s="9">
        <v>444</v>
      </c>
      <c r="B446" s="9">
        <v>11254</v>
      </c>
      <c r="C446" s="9" t="s">
        <v>365</v>
      </c>
      <c r="D446" s="9" t="s">
        <v>10</v>
      </c>
      <c r="E446" s="10" t="str">
        <f>"247.82"</f>
        <v>247.82</v>
      </c>
      <c r="F446" s="11"/>
      <c r="G446" s="11">
        <v>2017</v>
      </c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 t="str">
        <f>"242.58"</f>
        <v>242.58</v>
      </c>
      <c r="T446" s="12" t="str">
        <f>"253.05"</f>
        <v>253.05</v>
      </c>
      <c r="U446" s="12"/>
      <c r="V446" s="12"/>
      <c r="W446" s="12"/>
      <c r="X446" s="12"/>
      <c r="Y446" s="12"/>
      <c r="Z446" s="12"/>
      <c r="AA446" s="12"/>
    </row>
    <row r="447" spans="1:27">
      <c r="A447" s="9">
        <v>445</v>
      </c>
      <c r="B447" s="9">
        <v>2671</v>
      </c>
      <c r="C447" s="9" t="s">
        <v>1205</v>
      </c>
      <c r="D447" s="9" t="s">
        <v>189</v>
      </c>
      <c r="E447" s="10" t="str">
        <f>"248.42"</f>
        <v>248.42</v>
      </c>
      <c r="F447" s="11" t="s">
        <v>11</v>
      </c>
      <c r="G447" s="11">
        <v>2017</v>
      </c>
      <c r="H447" s="12" t="str">
        <f>"220.42"</f>
        <v>220.42</v>
      </c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>
      <c r="A448" s="9">
        <v>446</v>
      </c>
      <c r="B448" s="9">
        <v>10400</v>
      </c>
      <c r="C448" s="9" t="s">
        <v>920</v>
      </c>
      <c r="D448" s="9" t="s">
        <v>19</v>
      </c>
      <c r="E448" s="10" t="str">
        <f>"249.23"</f>
        <v>249.23</v>
      </c>
      <c r="F448" s="11" t="s">
        <v>9</v>
      </c>
      <c r="G448" s="11">
        <v>2017</v>
      </c>
      <c r="H448" s="12" t="str">
        <f>"666.03"</f>
        <v>666.03</v>
      </c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 t="str">
        <f>"221.23"</f>
        <v>221.23</v>
      </c>
      <c r="Z448" s="12"/>
      <c r="AA448" s="12"/>
    </row>
    <row r="449" spans="1:27">
      <c r="A449" s="9">
        <v>447</v>
      </c>
      <c r="B449" s="9">
        <v>2625</v>
      </c>
      <c r="C449" s="9" t="s">
        <v>520</v>
      </c>
      <c r="D449" s="9" t="s">
        <v>79</v>
      </c>
      <c r="E449" s="10" t="str">
        <f>"249.76"</f>
        <v>249.76</v>
      </c>
      <c r="F449" s="11"/>
      <c r="G449" s="11">
        <v>2017</v>
      </c>
      <c r="H449" s="12" t="str">
        <f>"208.87"</f>
        <v>208.87</v>
      </c>
      <c r="I449" s="12"/>
      <c r="J449" s="12"/>
      <c r="K449" s="12" t="str">
        <f>"260.97"</f>
        <v>260.97</v>
      </c>
      <c r="L449" s="12"/>
      <c r="M449" s="12"/>
      <c r="N449" s="12"/>
      <c r="O449" s="12"/>
      <c r="P449" s="12"/>
      <c r="Q449" s="12"/>
      <c r="R449" s="12"/>
      <c r="S449" s="12"/>
      <c r="T449" s="12"/>
      <c r="U449" s="12" t="str">
        <f>"238.55"</f>
        <v>238.55</v>
      </c>
      <c r="V449" s="12"/>
      <c r="W449" s="12"/>
      <c r="X449" s="12"/>
      <c r="Y449" s="12"/>
      <c r="Z449" s="12"/>
      <c r="AA449" s="12"/>
    </row>
    <row r="450" spans="1:27">
      <c r="A450" s="9">
        <v>448</v>
      </c>
      <c r="B450" s="9">
        <v>1876</v>
      </c>
      <c r="C450" s="9" t="s">
        <v>593</v>
      </c>
      <c r="D450" s="9" t="s">
        <v>14</v>
      </c>
      <c r="E450" s="10" t="str">
        <f>"250.05"</f>
        <v>250.05</v>
      </c>
      <c r="F450" s="11" t="s">
        <v>11</v>
      </c>
      <c r="G450" s="11">
        <v>2017</v>
      </c>
      <c r="H450" s="12" t="str">
        <f>"222.05"</f>
        <v>222.05</v>
      </c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>
      <c r="A451" s="9">
        <v>449</v>
      </c>
      <c r="B451" s="9">
        <v>8006</v>
      </c>
      <c r="C451" s="9" t="s">
        <v>689</v>
      </c>
      <c r="D451" s="9" t="s">
        <v>214</v>
      </c>
      <c r="E451" s="10" t="str">
        <f>"250.27"</f>
        <v>250.27</v>
      </c>
      <c r="F451" s="11" t="s">
        <v>11</v>
      </c>
      <c r="G451" s="11">
        <v>2017</v>
      </c>
      <c r="H451" s="12" t="str">
        <f>"222.27"</f>
        <v>222.27</v>
      </c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>
      <c r="A452" s="9">
        <v>450</v>
      </c>
      <c r="B452" s="9">
        <v>10599</v>
      </c>
      <c r="C452" s="9" t="s">
        <v>683</v>
      </c>
      <c r="D452" s="9" t="s">
        <v>10</v>
      </c>
      <c r="E452" s="10" t="str">
        <f>"250.74"</f>
        <v>250.74</v>
      </c>
      <c r="F452" s="11"/>
      <c r="G452" s="11">
        <v>2017</v>
      </c>
      <c r="H452" s="12" t="str">
        <f>"238.14"</f>
        <v>238.14</v>
      </c>
      <c r="I452" s="12" t="str">
        <f>"269.38"</f>
        <v>269.38</v>
      </c>
      <c r="J452" s="12" t="str">
        <f>"301.45"</f>
        <v>301.45</v>
      </c>
      <c r="K452" s="12"/>
      <c r="L452" s="12"/>
      <c r="M452" s="12"/>
      <c r="N452" s="12"/>
      <c r="O452" s="12"/>
      <c r="P452" s="12"/>
      <c r="Q452" s="12"/>
      <c r="R452" s="12"/>
      <c r="S452" s="12" t="str">
        <f>"232.10"</f>
        <v>232.10</v>
      </c>
      <c r="T452" s="12" t="str">
        <f>"299.29"</f>
        <v>299.29</v>
      </c>
      <c r="U452" s="12"/>
      <c r="V452" s="12"/>
      <c r="W452" s="12"/>
      <c r="X452" s="12"/>
      <c r="Y452" s="12"/>
      <c r="Z452" s="12"/>
      <c r="AA452" s="12"/>
    </row>
    <row r="453" spans="1:27">
      <c r="A453" s="9">
        <v>451</v>
      </c>
      <c r="B453" s="9">
        <v>4167</v>
      </c>
      <c r="C453" s="9" t="s">
        <v>517</v>
      </c>
      <c r="D453" s="9" t="s">
        <v>66</v>
      </c>
      <c r="E453" s="10" t="str">
        <f>"251.83"</f>
        <v>251.83</v>
      </c>
      <c r="F453" s="11" t="s">
        <v>11</v>
      </c>
      <c r="G453" s="11">
        <v>2017</v>
      </c>
      <c r="H453" s="12" t="str">
        <f>"223.83"</f>
        <v>223.83</v>
      </c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>
      <c r="A454" s="9">
        <v>452</v>
      </c>
      <c r="B454" s="9">
        <v>6392</v>
      </c>
      <c r="C454" s="9" t="s">
        <v>814</v>
      </c>
      <c r="D454" s="9" t="s">
        <v>17</v>
      </c>
      <c r="E454" s="10" t="str">
        <f>"251.87"</f>
        <v>251.87</v>
      </c>
      <c r="F454" s="11" t="s">
        <v>11</v>
      </c>
      <c r="G454" s="11">
        <v>2017</v>
      </c>
      <c r="H454" s="12" t="str">
        <f>"223.87"</f>
        <v>223.87</v>
      </c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>
      <c r="A455" s="9">
        <v>453</v>
      </c>
      <c r="B455" s="9">
        <v>10969</v>
      </c>
      <c r="C455" s="9" t="s">
        <v>769</v>
      </c>
      <c r="D455" s="9" t="s">
        <v>14</v>
      </c>
      <c r="E455" s="10" t="str">
        <f>"252.39"</f>
        <v>252.39</v>
      </c>
      <c r="F455" s="11" t="s">
        <v>9</v>
      </c>
      <c r="G455" s="11">
        <v>2017</v>
      </c>
      <c r="H455" s="12" t="str">
        <f>"251.10"</f>
        <v>251.10</v>
      </c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 t="str">
        <f>"224.39"</f>
        <v>224.39</v>
      </c>
      <c r="V455" s="12"/>
      <c r="W455" s="12"/>
      <c r="X455" s="12"/>
      <c r="Y455" s="12"/>
      <c r="Z455" s="12"/>
      <c r="AA455" s="12"/>
    </row>
    <row r="456" spans="1:27">
      <c r="A456" s="9">
        <v>454</v>
      </c>
      <c r="B456" s="9">
        <v>10467</v>
      </c>
      <c r="C456" s="9" t="s">
        <v>411</v>
      </c>
      <c r="D456" s="9" t="s">
        <v>19</v>
      </c>
      <c r="E456" s="10" t="str">
        <f>"252.59"</f>
        <v>252.59</v>
      </c>
      <c r="F456" s="11"/>
      <c r="G456" s="11">
        <v>2017</v>
      </c>
      <c r="H456" s="12" t="str">
        <f>"849.76"</f>
        <v>849.76</v>
      </c>
      <c r="I456" s="12"/>
      <c r="J456" s="12"/>
      <c r="K456" s="12"/>
      <c r="L456" s="12"/>
      <c r="M456" s="12"/>
      <c r="N456" s="12"/>
      <c r="O456" s="12"/>
      <c r="P456" s="12"/>
      <c r="Q456" s="12"/>
      <c r="R456" s="12" t="str">
        <f>"635.12"</f>
        <v>635.12</v>
      </c>
      <c r="S456" s="12"/>
      <c r="T456" s="12"/>
      <c r="U456" s="12"/>
      <c r="V456" s="12"/>
      <c r="W456" s="12"/>
      <c r="X456" s="12"/>
      <c r="Y456" s="12"/>
      <c r="Z456" s="12" t="str">
        <f>"268.85"</f>
        <v>268.85</v>
      </c>
      <c r="AA456" s="12" t="str">
        <f>"236.33"</f>
        <v>236.33</v>
      </c>
    </row>
    <row r="457" spans="1:27">
      <c r="A457" s="9">
        <v>455</v>
      </c>
      <c r="B457" s="9">
        <v>10292</v>
      </c>
      <c r="C457" s="9" t="s">
        <v>722</v>
      </c>
      <c r="D457" s="9" t="s">
        <v>12</v>
      </c>
      <c r="E457" s="10" t="str">
        <f>"253.23"</f>
        <v>253.23</v>
      </c>
      <c r="F457" s="11" t="s">
        <v>11</v>
      </c>
      <c r="G457" s="11">
        <v>2017</v>
      </c>
      <c r="H457" s="12" t="str">
        <f>"225.23"</f>
        <v>225.23</v>
      </c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>
      <c r="A458" s="9">
        <v>456</v>
      </c>
      <c r="B458" s="9">
        <v>1970</v>
      </c>
      <c r="C458" s="9" t="s">
        <v>570</v>
      </c>
      <c r="D458" s="9" t="s">
        <v>321</v>
      </c>
      <c r="E458" s="10" t="str">
        <f>"253.50"</f>
        <v>253.50</v>
      </c>
      <c r="F458" s="11" t="s">
        <v>9</v>
      </c>
      <c r="G458" s="11">
        <v>2017</v>
      </c>
      <c r="H458" s="12" t="str">
        <f>"214.74"</f>
        <v>214.74</v>
      </c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 t="str">
        <f>"225.50"</f>
        <v>225.50</v>
      </c>
      <c r="V458" s="12"/>
      <c r="W458" s="12"/>
      <c r="X458" s="12"/>
      <c r="Y458" s="12"/>
      <c r="Z458" s="12"/>
      <c r="AA458" s="12"/>
    </row>
    <row r="459" spans="1:27">
      <c r="A459" s="9">
        <v>457</v>
      </c>
      <c r="B459" s="9">
        <v>10578</v>
      </c>
      <c r="C459" s="9" t="s">
        <v>703</v>
      </c>
      <c r="D459" s="9" t="s">
        <v>10</v>
      </c>
      <c r="E459" s="10" t="str">
        <f>"253.91"</f>
        <v>253.91</v>
      </c>
      <c r="F459" s="11" t="s">
        <v>11</v>
      </c>
      <c r="G459" s="11">
        <v>2017</v>
      </c>
      <c r="H459" s="12" t="str">
        <f>"225.91"</f>
        <v>225.91</v>
      </c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>
      <c r="A460" s="9">
        <v>458</v>
      </c>
      <c r="B460" s="9">
        <v>10714</v>
      </c>
      <c r="C460" s="9" t="s">
        <v>752</v>
      </c>
      <c r="D460" s="9" t="s">
        <v>55</v>
      </c>
      <c r="E460" s="10" t="str">
        <f>"254.28"</f>
        <v>254.28</v>
      </c>
      <c r="F460" s="11" t="s">
        <v>11</v>
      </c>
      <c r="G460" s="11">
        <v>2017</v>
      </c>
      <c r="H460" s="12" t="str">
        <f>"226.28"</f>
        <v>226.28</v>
      </c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>
      <c r="A461" s="9">
        <v>459</v>
      </c>
      <c r="B461" s="9">
        <v>2018</v>
      </c>
      <c r="C461" s="9" t="s">
        <v>669</v>
      </c>
      <c r="D461" s="9" t="s">
        <v>73</v>
      </c>
      <c r="E461" s="10" t="str">
        <f>"254.55"</f>
        <v>254.55</v>
      </c>
      <c r="F461" s="11" t="s">
        <v>11</v>
      </c>
      <c r="G461" s="11">
        <v>2017</v>
      </c>
      <c r="H461" s="12" t="str">
        <f>"226.55"</f>
        <v>226.55</v>
      </c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>
      <c r="A462" s="9">
        <v>460</v>
      </c>
      <c r="B462" s="9">
        <v>10616</v>
      </c>
      <c r="C462" s="9" t="s">
        <v>678</v>
      </c>
      <c r="D462" s="9" t="s">
        <v>10</v>
      </c>
      <c r="E462" s="10" t="str">
        <f>"254.79"</f>
        <v>254.79</v>
      </c>
      <c r="F462" s="11"/>
      <c r="G462" s="11">
        <v>2017</v>
      </c>
      <c r="H462" s="12" t="str">
        <f>"263.66"</f>
        <v>263.66</v>
      </c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 t="str">
        <f>"231.32"</f>
        <v>231.32</v>
      </c>
      <c r="T462" s="12" t="str">
        <f>"278.26"</f>
        <v>278.26</v>
      </c>
      <c r="U462" s="12"/>
      <c r="V462" s="12"/>
      <c r="W462" s="12"/>
      <c r="X462" s="12"/>
      <c r="Y462" s="12"/>
      <c r="Z462" s="12"/>
      <c r="AA462" s="12"/>
    </row>
    <row r="463" spans="1:27">
      <c r="A463" s="9">
        <v>461</v>
      </c>
      <c r="B463" s="9">
        <v>8413</v>
      </c>
      <c r="C463" s="9" t="s">
        <v>583</v>
      </c>
      <c r="D463" s="9" t="s">
        <v>21</v>
      </c>
      <c r="E463" s="10" t="str">
        <f>"254.79"</f>
        <v>254.79</v>
      </c>
      <c r="F463" s="11" t="s">
        <v>11</v>
      </c>
      <c r="G463" s="11">
        <v>2017</v>
      </c>
      <c r="H463" s="12" t="str">
        <f>"226.79"</f>
        <v>226.79</v>
      </c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>
      <c r="A464" s="9">
        <v>462</v>
      </c>
      <c r="B464" s="9">
        <v>503</v>
      </c>
      <c r="C464" s="9" t="s">
        <v>380</v>
      </c>
      <c r="D464" s="9" t="s">
        <v>21</v>
      </c>
      <c r="E464" s="10" t="str">
        <f>"255.22"</f>
        <v>255.22</v>
      </c>
      <c r="F464" s="11"/>
      <c r="G464" s="11">
        <v>2017</v>
      </c>
      <c r="H464" s="12" t="str">
        <f>"260.53"</f>
        <v>260.53</v>
      </c>
      <c r="I464" s="12"/>
      <c r="J464" s="12"/>
      <c r="K464" s="12" t="str">
        <f>"273.06"</f>
        <v>273.06</v>
      </c>
      <c r="L464" s="12"/>
      <c r="M464" s="12"/>
      <c r="N464" s="12"/>
      <c r="O464" s="12"/>
      <c r="P464" s="12"/>
      <c r="Q464" s="12"/>
      <c r="R464" s="12"/>
      <c r="S464" s="12"/>
      <c r="T464" s="12"/>
      <c r="U464" s="12" t="str">
        <f>"237.37"</f>
        <v>237.37</v>
      </c>
      <c r="V464" s="12"/>
      <c r="W464" s="12"/>
      <c r="X464" s="12"/>
      <c r="Y464" s="12"/>
      <c r="Z464" s="12"/>
      <c r="AA464" s="12"/>
    </row>
    <row r="465" spans="1:27">
      <c r="A465" s="9">
        <v>463</v>
      </c>
      <c r="B465" s="9">
        <v>2300</v>
      </c>
      <c r="C465" s="9" t="s">
        <v>586</v>
      </c>
      <c r="D465" s="9" t="s">
        <v>10</v>
      </c>
      <c r="E465" s="10" t="str">
        <f>"255.63"</f>
        <v>255.63</v>
      </c>
      <c r="F465" s="11"/>
      <c r="G465" s="11">
        <v>2017</v>
      </c>
      <c r="H465" s="12" t="str">
        <f>"216.25"</f>
        <v>216.25</v>
      </c>
      <c r="I465" s="12"/>
      <c r="J465" s="12" t="str">
        <f>"233.30"</f>
        <v>233.30</v>
      </c>
      <c r="K465" s="12"/>
      <c r="L465" s="12"/>
      <c r="M465" s="12"/>
      <c r="N465" s="12"/>
      <c r="O465" s="12"/>
      <c r="P465" s="12"/>
      <c r="Q465" s="12"/>
      <c r="R465" s="12"/>
      <c r="S465" s="12"/>
      <c r="T465" s="12" t="str">
        <f>"277.95"</f>
        <v>277.95</v>
      </c>
      <c r="U465" s="12"/>
      <c r="V465" s="12"/>
      <c r="W465" s="12"/>
      <c r="X465" s="12"/>
      <c r="Y465" s="12"/>
      <c r="Z465" s="12"/>
      <c r="AA465" s="12"/>
    </row>
    <row r="466" spans="1:27">
      <c r="A466" s="9">
        <v>464</v>
      </c>
      <c r="B466" s="9">
        <v>3026</v>
      </c>
      <c r="C466" s="9" t="s">
        <v>470</v>
      </c>
      <c r="D466" s="9" t="s">
        <v>61</v>
      </c>
      <c r="E466" s="10" t="str">
        <f>"255.81"</f>
        <v>255.81</v>
      </c>
      <c r="F466" s="11" t="s">
        <v>11</v>
      </c>
      <c r="G466" s="11">
        <v>2017</v>
      </c>
      <c r="H466" s="12" t="str">
        <f>"227.81"</f>
        <v>227.81</v>
      </c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>
      <c r="A467" s="9">
        <v>465</v>
      </c>
      <c r="B467" s="9">
        <v>11289</v>
      </c>
      <c r="C467" s="9" t="s">
        <v>397</v>
      </c>
      <c r="D467" s="9" t="s">
        <v>10</v>
      </c>
      <c r="E467" s="10" t="str">
        <f>"255.90"</f>
        <v>255.90</v>
      </c>
      <c r="F467" s="11"/>
      <c r="G467" s="11">
        <v>2017</v>
      </c>
      <c r="H467" s="12"/>
      <c r="I467" s="12" t="str">
        <f>"444.61"</f>
        <v>444.61</v>
      </c>
      <c r="J467" s="12" t="str">
        <f>"408.98"</f>
        <v>408.98</v>
      </c>
      <c r="K467" s="12"/>
      <c r="L467" s="12"/>
      <c r="M467" s="12"/>
      <c r="N467" s="12"/>
      <c r="O467" s="12"/>
      <c r="P467" s="12"/>
      <c r="Q467" s="12"/>
      <c r="R467" s="12"/>
      <c r="S467" s="12" t="str">
        <f>"299.13"</f>
        <v>299.13</v>
      </c>
      <c r="T467" s="12" t="str">
        <f>"339.80"</f>
        <v>339.80</v>
      </c>
      <c r="U467" s="12"/>
      <c r="V467" s="12"/>
      <c r="W467" s="12"/>
      <c r="X467" s="12"/>
      <c r="Y467" s="12"/>
      <c r="Z467" s="12" t="str">
        <f>"275.53"</f>
        <v>275.53</v>
      </c>
      <c r="AA467" s="12" t="str">
        <f>"236.26"</f>
        <v>236.26</v>
      </c>
    </row>
    <row r="468" spans="1:27">
      <c r="A468" s="9">
        <v>466</v>
      </c>
      <c r="B468" s="9">
        <v>11429</v>
      </c>
      <c r="C468" s="9" t="s">
        <v>354</v>
      </c>
      <c r="D468" s="9" t="s">
        <v>10</v>
      </c>
      <c r="E468" s="10" t="str">
        <f>"256.22"</f>
        <v>256.22</v>
      </c>
      <c r="F468" s="11" t="s">
        <v>9</v>
      </c>
      <c r="G468" s="11">
        <v>2017</v>
      </c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 t="str">
        <f>"228.22"</f>
        <v>228.22</v>
      </c>
      <c r="AA468" s="12"/>
    </row>
    <row r="469" spans="1:27">
      <c r="A469" s="9">
        <v>467</v>
      </c>
      <c r="B469" s="9">
        <v>10135</v>
      </c>
      <c r="C469" s="9" t="s">
        <v>624</v>
      </c>
      <c r="D469" s="9" t="s">
        <v>10</v>
      </c>
      <c r="E469" s="10" t="str">
        <f>"256.26"</f>
        <v>256.26</v>
      </c>
      <c r="F469" s="11"/>
      <c r="G469" s="11">
        <v>2017</v>
      </c>
      <c r="H469" s="12" t="str">
        <f>"716.90"</f>
        <v>716.90</v>
      </c>
      <c r="I469" s="12" t="str">
        <f>"434.93"</f>
        <v>434.93</v>
      </c>
      <c r="J469" s="12" t="str">
        <f>"424.18"</f>
        <v>424.18</v>
      </c>
      <c r="K469" s="12"/>
      <c r="L469" s="12"/>
      <c r="M469" s="12"/>
      <c r="N469" s="12"/>
      <c r="O469" s="12"/>
      <c r="P469" s="12"/>
      <c r="Q469" s="12"/>
      <c r="R469" s="12"/>
      <c r="S469" s="12" t="str">
        <f>"244.24"</f>
        <v>244.24</v>
      </c>
      <c r="T469" s="12" t="str">
        <f>"327.43"</f>
        <v>327.43</v>
      </c>
      <c r="U469" s="12"/>
      <c r="V469" s="12"/>
      <c r="W469" s="12"/>
      <c r="X469" s="12"/>
      <c r="Y469" s="12"/>
      <c r="Z469" s="12" t="str">
        <f>"270.50"</f>
        <v>270.50</v>
      </c>
      <c r="AA469" s="12" t="str">
        <f>"268.28"</f>
        <v>268.28</v>
      </c>
    </row>
    <row r="470" spans="1:27">
      <c r="A470" s="9">
        <v>468</v>
      </c>
      <c r="B470" s="9">
        <v>2577</v>
      </c>
      <c r="C470" s="9" t="s">
        <v>861</v>
      </c>
      <c r="D470" s="9" t="s">
        <v>504</v>
      </c>
      <c r="E470" s="10" t="str">
        <f>"256.55"</f>
        <v>256.55</v>
      </c>
      <c r="F470" s="11"/>
      <c r="G470" s="11">
        <v>2017</v>
      </c>
      <c r="H470" s="12" t="str">
        <f>"246.46"</f>
        <v>246.46</v>
      </c>
      <c r="I470" s="12"/>
      <c r="J470" s="12"/>
      <c r="K470" s="12"/>
      <c r="L470" s="12"/>
      <c r="M470" s="12"/>
      <c r="N470" s="12"/>
      <c r="O470" s="12"/>
      <c r="P470" s="12"/>
      <c r="Q470" s="12" t="str">
        <f>"193.28"</f>
        <v>193.28</v>
      </c>
      <c r="R470" s="12"/>
      <c r="S470" s="12"/>
      <c r="T470" s="12"/>
      <c r="U470" s="12"/>
      <c r="V470" s="12"/>
      <c r="W470" s="12"/>
      <c r="X470" s="12" t="str">
        <f>"319.81"</f>
        <v>319.81</v>
      </c>
      <c r="Y470" s="12"/>
      <c r="Z470" s="12"/>
      <c r="AA470" s="12"/>
    </row>
    <row r="471" spans="1:27">
      <c r="A471" s="9">
        <v>469</v>
      </c>
      <c r="B471" s="9">
        <v>2146</v>
      </c>
      <c r="C471" s="9" t="s">
        <v>862</v>
      </c>
      <c r="D471" s="9" t="s">
        <v>93</v>
      </c>
      <c r="E471" s="10" t="str">
        <f>"256.95"</f>
        <v>256.95</v>
      </c>
      <c r="F471" s="11" t="s">
        <v>11</v>
      </c>
      <c r="G471" s="11">
        <v>2017</v>
      </c>
      <c r="H471" s="12" t="str">
        <f>"228.95"</f>
        <v>228.95</v>
      </c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>
      <c r="A472" s="9">
        <v>470</v>
      </c>
      <c r="B472" s="9">
        <v>1546</v>
      </c>
      <c r="C472" s="9" t="s">
        <v>512</v>
      </c>
      <c r="D472" s="9" t="s">
        <v>95</v>
      </c>
      <c r="E472" s="10" t="str">
        <f>"257.29"</f>
        <v>257.29</v>
      </c>
      <c r="F472" s="11" t="s">
        <v>11</v>
      </c>
      <c r="G472" s="11">
        <v>2017</v>
      </c>
      <c r="H472" s="12" t="str">
        <f>"229.29"</f>
        <v>229.29</v>
      </c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>
      <c r="A473" s="9">
        <v>471</v>
      </c>
      <c r="B473" s="9">
        <v>10691</v>
      </c>
      <c r="C473" s="9" t="s">
        <v>341</v>
      </c>
      <c r="D473" s="9" t="s">
        <v>19</v>
      </c>
      <c r="E473" s="10" t="str">
        <f>"257.54"</f>
        <v>257.54</v>
      </c>
      <c r="F473" s="11"/>
      <c r="G473" s="11">
        <v>2017</v>
      </c>
      <c r="H473" s="12" t="str">
        <f>"309.41"</f>
        <v>309.41</v>
      </c>
      <c r="I473" s="12"/>
      <c r="J473" s="12"/>
      <c r="K473" s="12"/>
      <c r="L473" s="12"/>
      <c r="M473" s="12"/>
      <c r="N473" s="12"/>
      <c r="O473" s="12" t="str">
        <f>"321.94"</f>
        <v>321.94</v>
      </c>
      <c r="P473" s="12"/>
      <c r="Q473" s="12"/>
      <c r="R473" s="12" t="str">
        <f>"436.80"</f>
        <v>436.80</v>
      </c>
      <c r="S473" s="12"/>
      <c r="T473" s="12"/>
      <c r="U473" s="12" t="str">
        <f>"193.13"</f>
        <v>193.13</v>
      </c>
      <c r="V473" s="12"/>
      <c r="W473" s="12"/>
      <c r="X473" s="12"/>
      <c r="Y473" s="12"/>
      <c r="Z473" s="12"/>
      <c r="AA473" s="12"/>
    </row>
    <row r="474" spans="1:27">
      <c r="A474" s="9">
        <v>472</v>
      </c>
      <c r="B474" s="9">
        <v>10515</v>
      </c>
      <c r="C474" s="9" t="s">
        <v>1173</v>
      </c>
      <c r="D474" s="9" t="s">
        <v>45</v>
      </c>
      <c r="E474" s="10" t="str">
        <f>"257.55"</f>
        <v>257.55</v>
      </c>
      <c r="F474" s="11" t="s">
        <v>11</v>
      </c>
      <c r="G474" s="11">
        <v>2017</v>
      </c>
      <c r="H474" s="12" t="str">
        <f>"229.55"</f>
        <v>229.55</v>
      </c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>
      <c r="A475" s="9">
        <v>473</v>
      </c>
      <c r="B475" s="9">
        <v>5144</v>
      </c>
      <c r="C475" s="9" t="s">
        <v>571</v>
      </c>
      <c r="D475" s="9" t="s">
        <v>22</v>
      </c>
      <c r="E475" s="10" t="str">
        <f>"258.42"</f>
        <v>258.42</v>
      </c>
      <c r="F475" s="11" t="s">
        <v>11</v>
      </c>
      <c r="G475" s="11">
        <v>2017</v>
      </c>
      <c r="H475" s="12" t="str">
        <f>"230.42"</f>
        <v>230.42</v>
      </c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>
      <c r="A476" s="9">
        <v>474</v>
      </c>
      <c r="B476" s="9">
        <v>8332</v>
      </c>
      <c r="C476" s="9" t="s">
        <v>471</v>
      </c>
      <c r="D476" s="9" t="s">
        <v>12</v>
      </c>
      <c r="E476" s="10" t="str">
        <f>"258.88"</f>
        <v>258.88</v>
      </c>
      <c r="F476" s="11" t="s">
        <v>9</v>
      </c>
      <c r="G476" s="11">
        <v>2017</v>
      </c>
      <c r="H476" s="12" t="str">
        <f>"158.60"</f>
        <v>158.60</v>
      </c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 t="str">
        <f>"230.88"</f>
        <v>230.88</v>
      </c>
      <c r="W476" s="12"/>
      <c r="X476" s="12"/>
      <c r="Y476" s="12"/>
      <c r="Z476" s="12"/>
      <c r="AA476" s="12"/>
    </row>
    <row r="477" spans="1:27">
      <c r="A477" s="9">
        <v>475</v>
      </c>
      <c r="B477" s="9">
        <v>10226</v>
      </c>
      <c r="C477" s="9" t="s">
        <v>357</v>
      </c>
      <c r="D477" s="9" t="s">
        <v>77</v>
      </c>
      <c r="E477" s="10" t="str">
        <f>"259.18"</f>
        <v>259.18</v>
      </c>
      <c r="F477" s="11" t="s">
        <v>11</v>
      </c>
      <c r="G477" s="11">
        <v>2017</v>
      </c>
      <c r="H477" s="12" t="str">
        <f>"231.18"</f>
        <v>231.18</v>
      </c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>
      <c r="A478" s="9">
        <v>476</v>
      </c>
      <c r="B478" s="9">
        <v>3093</v>
      </c>
      <c r="C478" s="9" t="s">
        <v>731</v>
      </c>
      <c r="D478" s="9" t="s">
        <v>69</v>
      </c>
      <c r="E478" s="10" t="str">
        <f>"259.43"</f>
        <v>259.43</v>
      </c>
      <c r="F478" s="11" t="s">
        <v>11</v>
      </c>
      <c r="G478" s="11">
        <v>2017</v>
      </c>
      <c r="H478" s="12" t="str">
        <f>"231.43"</f>
        <v>231.43</v>
      </c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>
      <c r="A479" s="9">
        <v>477</v>
      </c>
      <c r="B479" s="9">
        <v>10854</v>
      </c>
      <c r="C479" s="9" t="s">
        <v>652</v>
      </c>
      <c r="D479" s="9" t="s">
        <v>10</v>
      </c>
      <c r="E479" s="10" t="str">
        <f>"259.73"</f>
        <v>259.73</v>
      </c>
      <c r="F479" s="11"/>
      <c r="G479" s="11">
        <v>2017</v>
      </c>
      <c r="H479" s="12" t="str">
        <f>"355.78"</f>
        <v>355.78</v>
      </c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 t="str">
        <f>"269.46"</f>
        <v>269.46</v>
      </c>
      <c r="T479" s="12" t="str">
        <f>"359.98"</f>
        <v>359.98</v>
      </c>
      <c r="U479" s="12"/>
      <c r="V479" s="12"/>
      <c r="W479" s="12"/>
      <c r="X479" s="12"/>
      <c r="Y479" s="12"/>
      <c r="Z479" s="12" t="str">
        <f>"258.24"</f>
        <v>258.24</v>
      </c>
      <c r="AA479" s="12" t="str">
        <f>"261.22"</f>
        <v>261.22</v>
      </c>
    </row>
    <row r="480" spans="1:27">
      <c r="A480" s="9">
        <v>478</v>
      </c>
      <c r="B480" s="9">
        <v>8363</v>
      </c>
      <c r="C480" s="9" t="s">
        <v>834</v>
      </c>
      <c r="D480" s="9" t="s">
        <v>35</v>
      </c>
      <c r="E480" s="10">
        <v>260.02999999999997</v>
      </c>
      <c r="F480" s="11" t="s">
        <v>1234</v>
      </c>
      <c r="G480" s="11">
        <v>2017</v>
      </c>
      <c r="H480" s="12" t="str">
        <f>"246.03"</f>
        <v>246.03</v>
      </c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>
      <c r="A481" s="9">
        <v>479</v>
      </c>
      <c r="B481" s="9">
        <v>2319</v>
      </c>
      <c r="C481" s="9" t="s">
        <v>661</v>
      </c>
      <c r="D481" s="9" t="s">
        <v>10</v>
      </c>
      <c r="E481" s="10" t="str">
        <f>"260.18"</f>
        <v>260.18</v>
      </c>
      <c r="F481" s="11"/>
      <c r="G481" s="11">
        <v>2017</v>
      </c>
      <c r="H481" s="12" t="str">
        <f>"267.37"</f>
        <v>267.37</v>
      </c>
      <c r="I481" s="12" t="str">
        <f>"236.63"</f>
        <v>236.63</v>
      </c>
      <c r="J481" s="12" t="str">
        <f>"283.73"</f>
        <v>283.73</v>
      </c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>
      <c r="A482" s="9">
        <v>480</v>
      </c>
      <c r="B482" s="9">
        <v>7864</v>
      </c>
      <c r="C482" s="9" t="s">
        <v>509</v>
      </c>
      <c r="D482" s="9" t="s">
        <v>59</v>
      </c>
      <c r="E482" s="10" t="str">
        <f>"260.42"</f>
        <v>260.42</v>
      </c>
      <c r="F482" s="11" t="s">
        <v>11</v>
      </c>
      <c r="G482" s="11">
        <v>2017</v>
      </c>
      <c r="H482" s="12" t="str">
        <f>"232.42"</f>
        <v>232.42</v>
      </c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>
      <c r="A483" s="9">
        <v>481</v>
      </c>
      <c r="B483" s="9">
        <v>10671</v>
      </c>
      <c r="C483" s="9" t="s">
        <v>431</v>
      </c>
      <c r="D483" s="9" t="s">
        <v>78</v>
      </c>
      <c r="E483" s="10" t="str">
        <f>"260.95"</f>
        <v>260.95</v>
      </c>
      <c r="F483" s="11" t="s">
        <v>11</v>
      </c>
      <c r="G483" s="11">
        <v>2017</v>
      </c>
      <c r="H483" s="12" t="str">
        <f>"232.95"</f>
        <v>232.95</v>
      </c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>
      <c r="A484" s="9">
        <v>482</v>
      </c>
      <c r="B484" s="9">
        <v>10424</v>
      </c>
      <c r="C484" s="9" t="s">
        <v>346</v>
      </c>
      <c r="D484" s="9" t="s">
        <v>19</v>
      </c>
      <c r="E484" s="10" t="str">
        <f>"261.15"</f>
        <v>261.15</v>
      </c>
      <c r="F484" s="11"/>
      <c r="G484" s="11">
        <v>2017</v>
      </c>
      <c r="H484" s="12" t="str">
        <f>"562.76"</f>
        <v>562.76</v>
      </c>
      <c r="I484" s="12"/>
      <c r="J484" s="12"/>
      <c r="K484" s="12"/>
      <c r="L484" s="12"/>
      <c r="M484" s="12"/>
      <c r="N484" s="12"/>
      <c r="O484" s="12"/>
      <c r="P484" s="12"/>
      <c r="Q484" s="12"/>
      <c r="R484" s="12" t="str">
        <f>"414.16"</f>
        <v>414.16</v>
      </c>
      <c r="S484" s="12"/>
      <c r="T484" s="12"/>
      <c r="U484" s="12"/>
      <c r="V484" s="12" t="str">
        <f>"882.67"</f>
        <v>882.67</v>
      </c>
      <c r="W484" s="12"/>
      <c r="X484" s="12"/>
      <c r="Y484" s="12"/>
      <c r="Z484" s="12" t="str">
        <f>"273.70"</f>
        <v>273.70</v>
      </c>
      <c r="AA484" s="12" t="str">
        <f>"248.60"</f>
        <v>248.60</v>
      </c>
    </row>
    <row r="485" spans="1:27">
      <c r="A485" s="9">
        <v>483</v>
      </c>
      <c r="B485" s="9">
        <v>1880</v>
      </c>
      <c r="C485" s="9" t="s">
        <v>215</v>
      </c>
      <c r="D485" s="9" t="s">
        <v>216</v>
      </c>
      <c r="E485" s="10" t="str">
        <f>"261.60"</f>
        <v>261.60</v>
      </c>
      <c r="F485" s="11" t="s">
        <v>9</v>
      </c>
      <c r="G485" s="11">
        <v>2017</v>
      </c>
      <c r="H485" s="12" t="str">
        <f>"200.08"</f>
        <v>200.08</v>
      </c>
      <c r="I485" s="12"/>
      <c r="J485" s="12"/>
      <c r="K485" s="12" t="str">
        <f>"233.60"</f>
        <v>233.60</v>
      </c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>
      <c r="A486" s="9">
        <v>484</v>
      </c>
      <c r="B486" s="9">
        <v>10344</v>
      </c>
      <c r="C486" s="9" t="s">
        <v>704</v>
      </c>
      <c r="D486" s="9" t="s">
        <v>10</v>
      </c>
      <c r="E486" s="10" t="str">
        <f>"261.64"</f>
        <v>261.64</v>
      </c>
      <c r="F486" s="11"/>
      <c r="G486" s="11">
        <v>2017</v>
      </c>
      <c r="H486" s="12" t="str">
        <f>"383.02"</f>
        <v>383.02</v>
      </c>
      <c r="I486" s="12" t="str">
        <f>"286.21"</f>
        <v>286.21</v>
      </c>
      <c r="J486" s="12" t="str">
        <f>"265.51"</f>
        <v>265.51</v>
      </c>
      <c r="K486" s="12"/>
      <c r="L486" s="12"/>
      <c r="M486" s="12"/>
      <c r="N486" s="12"/>
      <c r="O486" s="12"/>
      <c r="P486" s="12"/>
      <c r="Q486" s="12"/>
      <c r="R486" s="12"/>
      <c r="S486" s="12" t="str">
        <f>"257.76"</f>
        <v>257.76</v>
      </c>
      <c r="T486" s="12" t="str">
        <f>"303.54"</f>
        <v>303.54</v>
      </c>
      <c r="U486" s="12"/>
      <c r="V486" s="12"/>
      <c r="W486" s="12"/>
      <c r="X486" s="12"/>
      <c r="Y486" s="12"/>
      <c r="Z486" s="12"/>
      <c r="AA486" s="12"/>
    </row>
    <row r="487" spans="1:27">
      <c r="A487" s="9">
        <v>485</v>
      </c>
      <c r="B487" s="9">
        <v>2242</v>
      </c>
      <c r="C487" s="9" t="s">
        <v>456</v>
      </c>
      <c r="D487" s="9" t="s">
        <v>10</v>
      </c>
      <c r="E487" s="10" t="str">
        <f>"263.03"</f>
        <v>263.03</v>
      </c>
      <c r="F487" s="11"/>
      <c r="G487" s="11">
        <v>2017</v>
      </c>
      <c r="H487" s="12" t="str">
        <f>"108.22"</f>
        <v>108.22</v>
      </c>
      <c r="I487" s="12"/>
      <c r="J487" s="12" t="str">
        <f>"220.96"</f>
        <v>220.96</v>
      </c>
      <c r="K487" s="12"/>
      <c r="L487" s="12"/>
      <c r="M487" s="12"/>
      <c r="N487" s="12"/>
      <c r="O487" s="12"/>
      <c r="P487" s="12"/>
      <c r="Q487" s="12"/>
      <c r="R487" s="12"/>
      <c r="S487" s="12"/>
      <c r="T487" s="12" t="str">
        <f>"305.09"</f>
        <v>305.09</v>
      </c>
      <c r="U487" s="12"/>
      <c r="V487" s="12"/>
      <c r="W487" s="12"/>
      <c r="X487" s="12"/>
      <c r="Y487" s="12"/>
      <c r="Z487" s="12"/>
      <c r="AA487" s="12"/>
    </row>
    <row r="488" spans="1:27">
      <c r="A488" s="9">
        <v>486</v>
      </c>
      <c r="B488" s="9">
        <v>3637</v>
      </c>
      <c r="C488" s="9" t="s">
        <v>838</v>
      </c>
      <c r="D488" s="9" t="s">
        <v>45</v>
      </c>
      <c r="E488" s="10" t="str">
        <f>"263.96"</f>
        <v>263.96</v>
      </c>
      <c r="F488" s="11" t="s">
        <v>9</v>
      </c>
      <c r="G488" s="11">
        <v>2017</v>
      </c>
      <c r="H488" s="12" t="str">
        <f>"183.66"</f>
        <v>183.66</v>
      </c>
      <c r="I488" s="12"/>
      <c r="J488" s="12"/>
      <c r="K488" s="12"/>
      <c r="L488" s="12" t="str">
        <f>"235.96"</f>
        <v>235.96</v>
      </c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>
      <c r="A489" s="9">
        <v>487</v>
      </c>
      <c r="B489" s="9">
        <v>2769</v>
      </c>
      <c r="C489" s="9" t="s">
        <v>482</v>
      </c>
      <c r="D489" s="9" t="s">
        <v>95</v>
      </c>
      <c r="E489" s="10" t="str">
        <f>"264.63"</f>
        <v>264.63</v>
      </c>
      <c r="F489" s="11" t="s">
        <v>9</v>
      </c>
      <c r="G489" s="11">
        <v>2017</v>
      </c>
      <c r="H489" s="12" t="str">
        <f>"137.86"</f>
        <v>137.86</v>
      </c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 t="str">
        <f>"236.63"</f>
        <v>236.63</v>
      </c>
      <c r="V489" s="12"/>
      <c r="W489" s="12"/>
      <c r="X489" s="12"/>
      <c r="Y489" s="12"/>
      <c r="Z489" s="12"/>
      <c r="AA489" s="12"/>
    </row>
    <row r="490" spans="1:27">
      <c r="A490" s="9">
        <v>488</v>
      </c>
      <c r="B490" s="9">
        <v>2638</v>
      </c>
      <c r="C490" s="9" t="s">
        <v>563</v>
      </c>
      <c r="D490" s="9" t="s">
        <v>20</v>
      </c>
      <c r="E490" s="10" t="str">
        <f>"264.78"</f>
        <v>264.78</v>
      </c>
      <c r="F490" s="11"/>
      <c r="G490" s="11">
        <v>2017</v>
      </c>
      <c r="H490" s="12" t="str">
        <f>"185.40"</f>
        <v>185.40</v>
      </c>
      <c r="I490" s="12"/>
      <c r="J490" s="12"/>
      <c r="K490" s="12"/>
      <c r="L490" s="12"/>
      <c r="M490" s="12"/>
      <c r="N490" s="12"/>
      <c r="O490" s="12"/>
      <c r="P490" s="12"/>
      <c r="Q490" s="12" t="str">
        <f>"367.95"</f>
        <v>367.95</v>
      </c>
      <c r="R490" s="12"/>
      <c r="S490" s="12"/>
      <c r="T490" s="12"/>
      <c r="U490" s="12"/>
      <c r="V490" s="12"/>
      <c r="W490" s="12" t="str">
        <f>"161.61"</f>
        <v>161.61</v>
      </c>
      <c r="X490" s="12"/>
      <c r="Y490" s="12"/>
      <c r="Z490" s="12"/>
      <c r="AA490" s="12"/>
    </row>
    <row r="491" spans="1:27">
      <c r="A491" s="9">
        <v>489</v>
      </c>
      <c r="B491" s="9">
        <v>2507</v>
      </c>
      <c r="C491" s="9" t="s">
        <v>869</v>
      </c>
      <c r="D491" s="9" t="s">
        <v>87</v>
      </c>
      <c r="E491" s="10" t="str">
        <f>"264.96"</f>
        <v>264.96</v>
      </c>
      <c r="F491" s="11" t="s">
        <v>9</v>
      </c>
      <c r="G491" s="11">
        <v>2017</v>
      </c>
      <c r="H491" s="12" t="str">
        <f>"238.55"</f>
        <v>238.55</v>
      </c>
      <c r="I491" s="12"/>
      <c r="J491" s="12"/>
      <c r="K491" s="12"/>
      <c r="L491" s="12"/>
      <c r="M491" s="12"/>
      <c r="N491" s="12"/>
      <c r="O491" s="12"/>
      <c r="P491" s="12"/>
      <c r="Q491" s="12" t="str">
        <f>"236.96"</f>
        <v>236.96</v>
      </c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>
      <c r="A492" s="9">
        <v>490</v>
      </c>
      <c r="B492" s="9">
        <v>10461</v>
      </c>
      <c r="C492" s="9" t="s">
        <v>500</v>
      </c>
      <c r="D492" s="9" t="s">
        <v>19</v>
      </c>
      <c r="E492" s="10" t="str">
        <f>"265.03"</f>
        <v>265.03</v>
      </c>
      <c r="F492" s="11" t="s">
        <v>9</v>
      </c>
      <c r="G492" s="11">
        <v>2017</v>
      </c>
      <c r="H492" s="12" t="str">
        <f>"748.99"</f>
        <v>748.99</v>
      </c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 t="str">
        <f>"237.03"</f>
        <v>237.03</v>
      </c>
      <c r="W492" s="12"/>
      <c r="X492" s="12"/>
      <c r="Y492" s="12"/>
      <c r="Z492" s="12"/>
      <c r="AA492" s="12"/>
    </row>
    <row r="493" spans="1:27">
      <c r="A493" s="9">
        <v>491</v>
      </c>
      <c r="B493" s="9">
        <v>6842</v>
      </c>
      <c r="C493" s="9" t="s">
        <v>492</v>
      </c>
      <c r="D493" s="9" t="s">
        <v>77</v>
      </c>
      <c r="E493" s="10" t="str">
        <f>"265.40"</f>
        <v>265.40</v>
      </c>
      <c r="F493" s="11" t="s">
        <v>9</v>
      </c>
      <c r="G493" s="11">
        <v>2017</v>
      </c>
      <c r="H493" s="12" t="str">
        <f>"157.53"</f>
        <v>157.53</v>
      </c>
      <c r="I493" s="12"/>
      <c r="J493" s="12"/>
      <c r="K493" s="12"/>
      <c r="L493" s="12"/>
      <c r="M493" s="12"/>
      <c r="N493" s="12"/>
      <c r="O493" s="12"/>
      <c r="P493" s="12"/>
      <c r="Q493" s="12" t="str">
        <f>"237.40"</f>
        <v>237.40</v>
      </c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>
      <c r="A494" s="9">
        <v>492</v>
      </c>
      <c r="B494" s="9">
        <v>2706</v>
      </c>
      <c r="C494" s="9" t="s">
        <v>348</v>
      </c>
      <c r="D494" s="9" t="s">
        <v>105</v>
      </c>
      <c r="E494" s="10" t="str">
        <f>"265.45"</f>
        <v>265.45</v>
      </c>
      <c r="F494" s="11" t="s">
        <v>11</v>
      </c>
      <c r="G494" s="11">
        <v>2017</v>
      </c>
      <c r="H494" s="12" t="str">
        <f>"237.45"</f>
        <v>237.45</v>
      </c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>
      <c r="A495" s="9">
        <v>493</v>
      </c>
      <c r="B495" s="9">
        <v>10182</v>
      </c>
      <c r="C495" s="9" t="s">
        <v>433</v>
      </c>
      <c r="D495" s="9" t="s">
        <v>10</v>
      </c>
      <c r="E495" s="10" t="str">
        <f>"265.46"</f>
        <v>265.46</v>
      </c>
      <c r="F495" s="11"/>
      <c r="G495" s="11">
        <v>2017</v>
      </c>
      <c r="H495" s="12" t="str">
        <f>"346.99"</f>
        <v>346.99</v>
      </c>
      <c r="I495" s="12" t="str">
        <f>"277.52"</f>
        <v>277.52</v>
      </c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 t="str">
        <f>"253.39"</f>
        <v>253.39</v>
      </c>
      <c r="AA495" s="12"/>
    </row>
    <row r="496" spans="1:27">
      <c r="A496" s="9">
        <v>494</v>
      </c>
      <c r="B496" s="9">
        <v>10202</v>
      </c>
      <c r="C496" s="9" t="s">
        <v>687</v>
      </c>
      <c r="D496" s="9" t="s">
        <v>10</v>
      </c>
      <c r="E496" s="10" t="str">
        <f>"265.83"</f>
        <v>265.83</v>
      </c>
      <c r="F496" s="11"/>
      <c r="G496" s="11">
        <v>2017</v>
      </c>
      <c r="H496" s="12" t="str">
        <f>"343.07"</f>
        <v>343.07</v>
      </c>
      <c r="I496" s="12" t="str">
        <f>"314.61"</f>
        <v>314.61</v>
      </c>
      <c r="J496" s="12"/>
      <c r="K496" s="12"/>
      <c r="L496" s="12"/>
      <c r="M496" s="12"/>
      <c r="N496" s="12"/>
      <c r="O496" s="12"/>
      <c r="P496" s="12"/>
      <c r="Q496" s="12"/>
      <c r="R496" s="12"/>
      <c r="S496" s="12" t="str">
        <f>"261.52"</f>
        <v>261.52</v>
      </c>
      <c r="T496" s="12" t="str">
        <f>"348.39"</f>
        <v>348.39</v>
      </c>
      <c r="U496" s="12"/>
      <c r="V496" s="12"/>
      <c r="W496" s="12"/>
      <c r="X496" s="12"/>
      <c r="Y496" s="12"/>
      <c r="Z496" s="12" t="str">
        <f>"270.13"</f>
        <v>270.13</v>
      </c>
      <c r="AA496" s="12" t="str">
        <f>"315.05"</f>
        <v>315.05</v>
      </c>
    </row>
    <row r="497" spans="1:27">
      <c r="A497" s="9">
        <v>495</v>
      </c>
      <c r="B497" s="9">
        <v>10274</v>
      </c>
      <c r="C497" s="9" t="s">
        <v>746</v>
      </c>
      <c r="D497" s="9" t="s">
        <v>12</v>
      </c>
      <c r="E497" s="10" t="str">
        <f>"266.29"</f>
        <v>266.29</v>
      </c>
      <c r="F497" s="11" t="s">
        <v>9</v>
      </c>
      <c r="G497" s="11">
        <v>2017</v>
      </c>
      <c r="H497" s="12" t="str">
        <f>"410.27"</f>
        <v>410.27</v>
      </c>
      <c r="I497" s="12"/>
      <c r="J497" s="12"/>
      <c r="K497" s="12"/>
      <c r="L497" s="12"/>
      <c r="M497" s="12" t="str">
        <f>"238.29"</f>
        <v>238.29</v>
      </c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>
      <c r="A498" s="9">
        <v>496</v>
      </c>
      <c r="B498" s="9">
        <v>3080</v>
      </c>
      <c r="C498" s="9" t="s">
        <v>1199</v>
      </c>
      <c r="D498" s="9" t="s">
        <v>61</v>
      </c>
      <c r="E498" s="10" t="str">
        <f>"266.49"</f>
        <v>266.49</v>
      </c>
      <c r="F498" s="11" t="s">
        <v>11</v>
      </c>
      <c r="G498" s="11">
        <v>2017</v>
      </c>
      <c r="H498" s="12" t="str">
        <f>"238.49"</f>
        <v>238.49</v>
      </c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>
      <c r="A499" s="9">
        <v>497</v>
      </c>
      <c r="B499" s="9">
        <v>10951</v>
      </c>
      <c r="C499" s="9" t="s">
        <v>533</v>
      </c>
      <c r="D499" s="9" t="s">
        <v>60</v>
      </c>
      <c r="E499" s="10" t="str">
        <f>"266.70"</f>
        <v>266.70</v>
      </c>
      <c r="F499" s="11" t="s">
        <v>9</v>
      </c>
      <c r="G499" s="11">
        <v>2017</v>
      </c>
      <c r="H499" s="12" t="str">
        <f>"300.82"</f>
        <v>300.82</v>
      </c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 t="str">
        <f>"238.70"</f>
        <v>238.70</v>
      </c>
      <c r="W499" s="12"/>
      <c r="X499" s="12"/>
      <c r="Y499" s="12"/>
      <c r="Z499" s="12"/>
      <c r="AA499" s="12"/>
    </row>
    <row r="500" spans="1:27">
      <c r="A500" s="9">
        <v>498</v>
      </c>
      <c r="B500" s="9">
        <v>6457</v>
      </c>
      <c r="C500" s="9" t="s">
        <v>721</v>
      </c>
      <c r="D500" s="9" t="s">
        <v>93</v>
      </c>
      <c r="E500" s="10" t="str">
        <f>"266.83"</f>
        <v>266.83</v>
      </c>
      <c r="F500" s="11" t="s">
        <v>11</v>
      </c>
      <c r="G500" s="11">
        <v>2017</v>
      </c>
      <c r="H500" s="12" t="str">
        <f>"238.83"</f>
        <v>238.83</v>
      </c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>
      <c r="A501" s="9">
        <v>499</v>
      </c>
      <c r="B501" s="9">
        <v>10464</v>
      </c>
      <c r="C501" s="9" t="s">
        <v>546</v>
      </c>
      <c r="D501" s="9" t="s">
        <v>19</v>
      </c>
      <c r="E501" s="10" t="str">
        <f>"266.83"</f>
        <v>266.83</v>
      </c>
      <c r="F501" s="11"/>
      <c r="G501" s="11">
        <v>2017</v>
      </c>
      <c r="H501" s="12" t="str">
        <f>"823.88"</f>
        <v>823.88</v>
      </c>
      <c r="I501" s="12"/>
      <c r="J501" s="12"/>
      <c r="K501" s="12"/>
      <c r="L501" s="12"/>
      <c r="M501" s="12"/>
      <c r="N501" s="12"/>
      <c r="O501" s="12"/>
      <c r="P501" s="12"/>
      <c r="Q501" s="12"/>
      <c r="R501" s="12" t="str">
        <f>"541.06"</f>
        <v>541.06</v>
      </c>
      <c r="S501" s="12"/>
      <c r="T501" s="12"/>
      <c r="U501" s="12"/>
      <c r="V501" s="12"/>
      <c r="W501" s="12"/>
      <c r="X501" s="12"/>
      <c r="Y501" s="12" t="str">
        <f>"261.03"</f>
        <v>261.03</v>
      </c>
      <c r="Z501" s="12" t="str">
        <f>"310.21"</f>
        <v>310.21</v>
      </c>
      <c r="AA501" s="12" t="str">
        <f>"272.63"</f>
        <v>272.63</v>
      </c>
    </row>
    <row r="502" spans="1:27">
      <c r="A502" s="9">
        <v>500</v>
      </c>
      <c r="B502" s="9">
        <v>5400</v>
      </c>
      <c r="C502" s="9" t="s">
        <v>447</v>
      </c>
      <c r="D502" s="9" t="s">
        <v>448</v>
      </c>
      <c r="E502" s="10" t="str">
        <f>"267.24"</f>
        <v>267.24</v>
      </c>
      <c r="F502" s="11"/>
      <c r="G502" s="11">
        <v>2017</v>
      </c>
      <c r="H502" s="12" t="str">
        <f>"260.92"</f>
        <v>260.92</v>
      </c>
      <c r="I502" s="12"/>
      <c r="J502" s="12"/>
      <c r="K502" s="12"/>
      <c r="L502" s="12" t="str">
        <f>"229.13"</f>
        <v>229.13</v>
      </c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 t="str">
        <f>"305.35"</f>
        <v>305.35</v>
      </c>
      <c r="Y502" s="12"/>
      <c r="Z502" s="12"/>
      <c r="AA502" s="12"/>
    </row>
    <row r="503" spans="1:27">
      <c r="A503" s="9">
        <v>501</v>
      </c>
      <c r="B503" s="9">
        <v>2897</v>
      </c>
      <c r="C503" s="9" t="s">
        <v>609</v>
      </c>
      <c r="D503" s="9" t="s">
        <v>33</v>
      </c>
      <c r="E503" s="10" t="str">
        <f>"267.40"</f>
        <v>267.40</v>
      </c>
      <c r="F503" s="11" t="s">
        <v>11</v>
      </c>
      <c r="G503" s="11">
        <v>2017</v>
      </c>
      <c r="H503" s="12" t="str">
        <f>"239.40"</f>
        <v>239.40</v>
      </c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>
      <c r="A504" s="9">
        <v>502</v>
      </c>
      <c r="B504" s="9">
        <v>2309</v>
      </c>
      <c r="C504" s="9" t="s">
        <v>594</v>
      </c>
      <c r="D504" s="9" t="s">
        <v>10</v>
      </c>
      <c r="E504" s="10" t="str">
        <f>"267.80"</f>
        <v>267.80</v>
      </c>
      <c r="F504" s="11" t="s">
        <v>9</v>
      </c>
      <c r="G504" s="11">
        <v>2017</v>
      </c>
      <c r="H504" s="12" t="str">
        <f>"336.89"</f>
        <v>336.89</v>
      </c>
      <c r="I504" s="12" t="str">
        <f>"239.80"</f>
        <v>239.80</v>
      </c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>
      <c r="A505" s="9">
        <v>503</v>
      </c>
      <c r="B505" s="9">
        <v>10161</v>
      </c>
      <c r="C505" s="9" t="s">
        <v>598</v>
      </c>
      <c r="D505" s="9" t="s">
        <v>10</v>
      </c>
      <c r="E505" s="10" t="str">
        <f>"268.06"</f>
        <v>268.06</v>
      </c>
      <c r="F505" s="11"/>
      <c r="G505" s="11">
        <v>2017</v>
      </c>
      <c r="H505" s="12" t="str">
        <f>"278.21"</f>
        <v>278.21</v>
      </c>
      <c r="I505" s="12" t="str">
        <f>"291.45"</f>
        <v>291.45</v>
      </c>
      <c r="J505" s="12" t="str">
        <f>"613.20"</f>
        <v>613.20</v>
      </c>
      <c r="K505" s="12"/>
      <c r="L505" s="12"/>
      <c r="M505" s="12"/>
      <c r="N505" s="12"/>
      <c r="O505" s="12"/>
      <c r="P505" s="12"/>
      <c r="Q505" s="12"/>
      <c r="R505" s="12"/>
      <c r="S505" s="12" t="str">
        <f>"244.67"</f>
        <v>244.67</v>
      </c>
      <c r="T505" s="12"/>
      <c r="U505" s="12"/>
      <c r="V505" s="12"/>
      <c r="W505" s="12"/>
      <c r="X505" s="12"/>
      <c r="Y505" s="12"/>
      <c r="Z505" s="12"/>
      <c r="AA505" s="12"/>
    </row>
    <row r="506" spans="1:27">
      <c r="A506" s="9">
        <v>504</v>
      </c>
      <c r="B506" s="9">
        <v>8333</v>
      </c>
      <c r="C506" s="9" t="s">
        <v>825</v>
      </c>
      <c r="D506" s="9" t="s">
        <v>12</v>
      </c>
      <c r="E506" s="10" t="str">
        <f>"268.18"</f>
        <v>268.18</v>
      </c>
      <c r="F506" s="11" t="s">
        <v>11</v>
      </c>
      <c r="G506" s="11">
        <v>2017</v>
      </c>
      <c r="H506" s="12" t="str">
        <f>"240.18"</f>
        <v>240.18</v>
      </c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>
      <c r="A507" s="9">
        <v>505</v>
      </c>
      <c r="B507" s="9">
        <v>5343</v>
      </c>
      <c r="C507" s="9" t="s">
        <v>376</v>
      </c>
      <c r="D507" s="9" t="s">
        <v>74</v>
      </c>
      <c r="E507" s="10" t="str">
        <f>"268.30"</f>
        <v>268.30</v>
      </c>
      <c r="F507" s="11" t="s">
        <v>11</v>
      </c>
      <c r="G507" s="11">
        <v>2017</v>
      </c>
      <c r="H507" s="12" t="str">
        <f>"240.30"</f>
        <v>240.30</v>
      </c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>
      <c r="A508" s="9">
        <v>506</v>
      </c>
      <c r="B508" s="9">
        <v>6466</v>
      </c>
      <c r="C508" s="9" t="s">
        <v>264</v>
      </c>
      <c r="D508" s="9" t="s">
        <v>56</v>
      </c>
      <c r="E508" s="10" t="str">
        <f>"268.78"</f>
        <v>268.78</v>
      </c>
      <c r="F508" s="11" t="s">
        <v>11</v>
      </c>
      <c r="G508" s="11">
        <v>2017</v>
      </c>
      <c r="H508" s="12" t="str">
        <f>"240.78"</f>
        <v>240.78</v>
      </c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>
      <c r="A509" s="9">
        <v>507</v>
      </c>
      <c r="B509" s="9">
        <v>10170</v>
      </c>
      <c r="C509" s="9" t="s">
        <v>616</v>
      </c>
      <c r="D509" s="9" t="s">
        <v>10</v>
      </c>
      <c r="E509" s="10" t="str">
        <f>"269.50"</f>
        <v>269.50</v>
      </c>
      <c r="F509" s="11"/>
      <c r="G509" s="11">
        <v>2017</v>
      </c>
      <c r="H509" s="12" t="str">
        <f>"347.16"</f>
        <v>347.16</v>
      </c>
      <c r="I509" s="12" t="str">
        <f>"341.48"</f>
        <v>341.48</v>
      </c>
      <c r="J509" s="12" t="str">
        <f>"449.36"</f>
        <v>449.36</v>
      </c>
      <c r="K509" s="12"/>
      <c r="L509" s="12"/>
      <c r="M509" s="12"/>
      <c r="N509" s="12"/>
      <c r="O509" s="12"/>
      <c r="P509" s="12"/>
      <c r="Q509" s="12"/>
      <c r="R509" s="12"/>
      <c r="S509" s="12" t="str">
        <f>"265.09"</f>
        <v>265.09</v>
      </c>
      <c r="T509" s="12" t="str">
        <f>"341.35"</f>
        <v>341.35</v>
      </c>
      <c r="U509" s="12"/>
      <c r="V509" s="12"/>
      <c r="W509" s="12"/>
      <c r="X509" s="12"/>
      <c r="Y509" s="12"/>
      <c r="Z509" s="12" t="str">
        <f>"278.82"</f>
        <v>278.82</v>
      </c>
      <c r="AA509" s="12" t="str">
        <f>"273.91"</f>
        <v>273.91</v>
      </c>
    </row>
    <row r="510" spans="1:27">
      <c r="A510" s="9">
        <v>508</v>
      </c>
      <c r="B510" s="9">
        <v>8361</v>
      </c>
      <c r="C510" s="9" t="s">
        <v>493</v>
      </c>
      <c r="D510" s="9" t="s">
        <v>19</v>
      </c>
      <c r="E510" s="10" t="str">
        <f>"269.82"</f>
        <v>269.82</v>
      </c>
      <c r="F510" s="11" t="s">
        <v>11</v>
      </c>
      <c r="G510" s="11">
        <v>2017</v>
      </c>
      <c r="H510" s="12" t="str">
        <f>"241.82"</f>
        <v>241.82</v>
      </c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>
      <c r="A511" s="9">
        <v>509</v>
      </c>
      <c r="B511" s="9">
        <v>10408</v>
      </c>
      <c r="C511" s="9" t="s">
        <v>463</v>
      </c>
      <c r="D511" s="9" t="s">
        <v>19</v>
      </c>
      <c r="E511" s="10" t="str">
        <f>"269.90"</f>
        <v>269.90</v>
      </c>
      <c r="F511" s="11"/>
      <c r="G511" s="11">
        <v>2017</v>
      </c>
      <c r="H511" s="12" t="str">
        <f>"275.40"</f>
        <v>275.40</v>
      </c>
      <c r="I511" s="12"/>
      <c r="J511" s="12"/>
      <c r="K511" s="12"/>
      <c r="L511" s="12"/>
      <c r="M511" s="12"/>
      <c r="N511" s="12"/>
      <c r="O511" s="12"/>
      <c r="P511" s="12"/>
      <c r="Q511" s="12"/>
      <c r="R511" s="12" t="str">
        <f>"473.78"</f>
        <v>473.78</v>
      </c>
      <c r="S511" s="12"/>
      <c r="T511" s="12"/>
      <c r="U511" s="12"/>
      <c r="V511" s="12"/>
      <c r="W511" s="12"/>
      <c r="X511" s="12"/>
      <c r="Y511" s="12"/>
      <c r="Z511" s="12" t="str">
        <f>"264.82"</f>
        <v>264.82</v>
      </c>
      <c r="AA511" s="12" t="str">
        <f>"274.98"</f>
        <v>274.98</v>
      </c>
    </row>
    <row r="512" spans="1:27">
      <c r="A512" s="9">
        <v>510</v>
      </c>
      <c r="B512" s="9">
        <v>2894</v>
      </c>
      <c r="C512" s="9" t="s">
        <v>553</v>
      </c>
      <c r="D512" s="9" t="s">
        <v>33</v>
      </c>
      <c r="E512" s="10" t="str">
        <f>"269.96"</f>
        <v>269.96</v>
      </c>
      <c r="F512" s="11" t="s">
        <v>11</v>
      </c>
      <c r="G512" s="11">
        <v>2017</v>
      </c>
      <c r="H512" s="12" t="str">
        <f>"241.96"</f>
        <v>241.96</v>
      </c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>
      <c r="A513" s="9">
        <v>511</v>
      </c>
      <c r="B513" s="9">
        <v>6129</v>
      </c>
      <c r="C513" s="9" t="s">
        <v>607</v>
      </c>
      <c r="D513" s="9" t="s">
        <v>74</v>
      </c>
      <c r="E513" s="10" t="str">
        <f>"270.13"</f>
        <v>270.13</v>
      </c>
      <c r="F513" s="11" t="s">
        <v>11</v>
      </c>
      <c r="G513" s="11">
        <v>2017</v>
      </c>
      <c r="H513" s="12" t="str">
        <f>"242.13"</f>
        <v>242.13</v>
      </c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>
      <c r="A514" s="9">
        <v>512</v>
      </c>
      <c r="B514" s="9">
        <v>3910</v>
      </c>
      <c r="C514" s="9" t="s">
        <v>543</v>
      </c>
      <c r="D514" s="9" t="s">
        <v>495</v>
      </c>
      <c r="E514" s="10" t="str">
        <f>"270.36"</f>
        <v>270.36</v>
      </c>
      <c r="F514" s="11" t="s">
        <v>11</v>
      </c>
      <c r="G514" s="11">
        <v>2017</v>
      </c>
      <c r="H514" s="12" t="str">
        <f>"242.36"</f>
        <v>242.36</v>
      </c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>
      <c r="A515" s="9">
        <v>513</v>
      </c>
      <c r="B515" s="9">
        <v>2286</v>
      </c>
      <c r="C515" s="9" t="s">
        <v>1178</v>
      </c>
      <c r="D515" s="9" t="s">
        <v>71</v>
      </c>
      <c r="E515" s="10" t="str">
        <f>"270.50"</f>
        <v>270.50</v>
      </c>
      <c r="F515" s="11" t="s">
        <v>11</v>
      </c>
      <c r="G515" s="11">
        <v>2017</v>
      </c>
      <c r="H515" s="12" t="str">
        <f>"242.50"</f>
        <v>242.50</v>
      </c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>
      <c r="A516" s="9">
        <v>514</v>
      </c>
      <c r="B516" s="9">
        <v>2095</v>
      </c>
      <c r="C516" s="9" t="s">
        <v>898</v>
      </c>
      <c r="D516" s="9" t="s">
        <v>63</v>
      </c>
      <c r="E516" s="10" t="str">
        <f>"270.85"</f>
        <v>270.85</v>
      </c>
      <c r="F516" s="11" t="s">
        <v>11</v>
      </c>
      <c r="G516" s="11">
        <v>2017</v>
      </c>
      <c r="H516" s="12" t="str">
        <f>"242.85"</f>
        <v>242.85</v>
      </c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>
      <c r="A517" s="9">
        <v>515</v>
      </c>
      <c r="B517" s="9">
        <v>10657</v>
      </c>
      <c r="C517" s="9" t="s">
        <v>788</v>
      </c>
      <c r="D517" s="9" t="s">
        <v>14</v>
      </c>
      <c r="E517" s="10" t="str">
        <f>"271.23"</f>
        <v>271.23</v>
      </c>
      <c r="F517" s="11" t="s">
        <v>9</v>
      </c>
      <c r="G517" s="11">
        <v>2017</v>
      </c>
      <c r="H517" s="12" t="str">
        <f>"267.18"</f>
        <v>267.18</v>
      </c>
      <c r="I517" s="12"/>
      <c r="J517" s="12"/>
      <c r="K517" s="12"/>
      <c r="L517" s="12"/>
      <c r="M517" s="12" t="str">
        <f>"243.23"</f>
        <v>243.23</v>
      </c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>
      <c r="A518" s="9">
        <v>516</v>
      </c>
      <c r="B518" s="9">
        <v>6857</v>
      </c>
      <c r="C518" s="9" t="s">
        <v>1208</v>
      </c>
      <c r="D518" s="9" t="s">
        <v>51</v>
      </c>
      <c r="E518" s="10" t="str">
        <f>"271.43"</f>
        <v>271.43</v>
      </c>
      <c r="F518" s="11"/>
      <c r="G518" s="11">
        <v>2017</v>
      </c>
      <c r="H518" s="12" t="str">
        <f>"279.54"</f>
        <v>279.54</v>
      </c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 t="str">
        <f>"255.29"</f>
        <v>255.29</v>
      </c>
      <c r="V518" s="12" t="str">
        <f>"287.57"</f>
        <v>287.57</v>
      </c>
      <c r="W518" s="12"/>
      <c r="X518" s="12"/>
      <c r="Y518" s="12"/>
      <c r="Z518" s="12"/>
      <c r="AA518" s="12"/>
    </row>
    <row r="519" spans="1:27">
      <c r="A519" s="9">
        <v>517</v>
      </c>
      <c r="B519" s="9">
        <v>6142</v>
      </c>
      <c r="C519" s="9" t="s">
        <v>924</v>
      </c>
      <c r="D519" s="9" t="s">
        <v>49</v>
      </c>
      <c r="E519" s="10" t="str">
        <f>"271.46"</f>
        <v>271.46</v>
      </c>
      <c r="F519" s="11" t="s">
        <v>9</v>
      </c>
      <c r="G519" s="11">
        <v>2017</v>
      </c>
      <c r="H519" s="12" t="str">
        <f>"191.79"</f>
        <v>191.79</v>
      </c>
      <c r="I519" s="12"/>
      <c r="J519" s="12"/>
      <c r="K519" s="12"/>
      <c r="L519" s="12" t="str">
        <f>"243.46"</f>
        <v>243.46</v>
      </c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>
      <c r="A520" s="9">
        <v>518</v>
      </c>
      <c r="B520" s="9">
        <v>10552</v>
      </c>
      <c r="C520" s="9" t="s">
        <v>982</v>
      </c>
      <c r="D520" s="9" t="s">
        <v>10</v>
      </c>
      <c r="E520" s="10" t="str">
        <f>"271.92"</f>
        <v>271.92</v>
      </c>
      <c r="F520" s="11"/>
      <c r="G520" s="11">
        <v>2017</v>
      </c>
      <c r="H520" s="12" t="str">
        <f>"247.36"</f>
        <v>247.36</v>
      </c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 t="str">
        <f>"234.72"</f>
        <v>234.72</v>
      </c>
      <c r="T520" s="12" t="str">
        <f>"309.11"</f>
        <v>309.11</v>
      </c>
      <c r="U520" s="12"/>
      <c r="V520" s="12"/>
      <c r="W520" s="12"/>
      <c r="X520" s="12"/>
      <c r="Y520" s="12"/>
      <c r="Z520" s="12"/>
      <c r="AA520" s="12"/>
    </row>
    <row r="521" spans="1:27">
      <c r="A521" s="9">
        <v>519</v>
      </c>
      <c r="B521" s="9">
        <v>11132</v>
      </c>
      <c r="C521" s="9" t="s">
        <v>502</v>
      </c>
      <c r="D521" s="9" t="s">
        <v>19</v>
      </c>
      <c r="E521" s="10" t="str">
        <f>"271.96"</f>
        <v>271.96</v>
      </c>
      <c r="F521" s="11"/>
      <c r="G521" s="11">
        <v>2017</v>
      </c>
      <c r="H521" s="12"/>
      <c r="I521" s="12"/>
      <c r="J521" s="12"/>
      <c r="K521" s="12"/>
      <c r="L521" s="12"/>
      <c r="M521" s="12"/>
      <c r="N521" s="12" t="str">
        <f>"332.54"</f>
        <v>332.54</v>
      </c>
      <c r="O521" s="12" t="str">
        <f>"341.41"</f>
        <v>341.41</v>
      </c>
      <c r="P521" s="12"/>
      <c r="Q521" s="12"/>
      <c r="R521" s="12" t="str">
        <f>"892.14"</f>
        <v>892.14</v>
      </c>
      <c r="S521" s="12"/>
      <c r="T521" s="12"/>
      <c r="U521" s="12"/>
      <c r="V521" s="12"/>
      <c r="W521" s="12"/>
      <c r="X521" s="12"/>
      <c r="Y521" s="12" t="str">
        <f>"211.38"</f>
        <v>211.38</v>
      </c>
      <c r="Z521" s="12"/>
      <c r="AA521" s="12"/>
    </row>
    <row r="522" spans="1:27">
      <c r="A522" s="9">
        <v>520</v>
      </c>
      <c r="B522" s="9">
        <v>5430</v>
      </c>
      <c r="C522" s="9" t="s">
        <v>753</v>
      </c>
      <c r="D522" s="9" t="s">
        <v>36</v>
      </c>
      <c r="E522" s="10" t="str">
        <f>"272.65"</f>
        <v>272.65</v>
      </c>
      <c r="F522" s="11" t="s">
        <v>11</v>
      </c>
      <c r="G522" s="11">
        <v>2017</v>
      </c>
      <c r="H522" s="12" t="str">
        <f>"244.65"</f>
        <v>244.65</v>
      </c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>
      <c r="A523" s="9">
        <v>521</v>
      </c>
      <c r="B523" s="9">
        <v>1433</v>
      </c>
      <c r="C523" s="9" t="s">
        <v>772</v>
      </c>
      <c r="D523" s="9" t="s">
        <v>31</v>
      </c>
      <c r="E523" s="10" t="str">
        <f>"274.04"</f>
        <v>274.04</v>
      </c>
      <c r="F523" s="11" t="s">
        <v>11</v>
      </c>
      <c r="G523" s="11">
        <v>2017</v>
      </c>
      <c r="H523" s="12" t="str">
        <f>"246.04"</f>
        <v>246.04</v>
      </c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>
      <c r="A524" s="9">
        <v>522</v>
      </c>
      <c r="B524" s="9">
        <v>10204</v>
      </c>
      <c r="C524" s="9" t="s">
        <v>620</v>
      </c>
      <c r="D524" s="9" t="s">
        <v>10</v>
      </c>
      <c r="E524" s="10" t="str">
        <f>"274.14"</f>
        <v>274.14</v>
      </c>
      <c r="F524" s="11"/>
      <c r="G524" s="11">
        <v>2017</v>
      </c>
      <c r="H524" s="12" t="str">
        <f>"472.54"</f>
        <v>472.54</v>
      </c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 t="str">
        <f>"634.26"</f>
        <v>634.26</v>
      </c>
      <c r="T524" s="12"/>
      <c r="U524" s="12"/>
      <c r="V524" s="12"/>
      <c r="W524" s="12"/>
      <c r="X524" s="12"/>
      <c r="Y524" s="12"/>
      <c r="Z524" s="12" t="str">
        <f>"265.46"</f>
        <v>265.46</v>
      </c>
      <c r="AA524" s="12" t="str">
        <f>"282.82"</f>
        <v>282.82</v>
      </c>
    </row>
    <row r="525" spans="1:27">
      <c r="A525" s="9">
        <v>523</v>
      </c>
      <c r="B525" s="9">
        <v>2116</v>
      </c>
      <c r="C525" s="9" t="s">
        <v>489</v>
      </c>
      <c r="D525" s="9" t="s">
        <v>33</v>
      </c>
      <c r="E525" s="10" t="str">
        <f>"274.59"</f>
        <v>274.59</v>
      </c>
      <c r="F525" s="11" t="s">
        <v>11</v>
      </c>
      <c r="G525" s="11">
        <v>2017</v>
      </c>
      <c r="H525" s="12" t="str">
        <f>"246.59"</f>
        <v>246.59</v>
      </c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>
      <c r="A526" s="9">
        <v>524</v>
      </c>
      <c r="B526" s="9">
        <v>1278</v>
      </c>
      <c r="C526" s="9" t="s">
        <v>725</v>
      </c>
      <c r="D526" s="9" t="s">
        <v>32</v>
      </c>
      <c r="E526" s="10" t="str">
        <f>"274.97"</f>
        <v>274.97</v>
      </c>
      <c r="F526" s="11" t="s">
        <v>9</v>
      </c>
      <c r="G526" s="11">
        <v>2017</v>
      </c>
      <c r="H526" s="12" t="str">
        <f>"201.13"</f>
        <v>201.13</v>
      </c>
      <c r="I526" s="12"/>
      <c r="J526" s="12"/>
      <c r="K526" s="12"/>
      <c r="L526" s="12" t="str">
        <f>"246.97"</f>
        <v>246.97</v>
      </c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>
      <c r="A527" s="9">
        <v>525</v>
      </c>
      <c r="B527" s="9">
        <v>2831</v>
      </c>
      <c r="C527" s="9" t="s">
        <v>840</v>
      </c>
      <c r="D527" s="9" t="s">
        <v>208</v>
      </c>
      <c r="E527" s="10" t="str">
        <f>"275.47"</f>
        <v>275.47</v>
      </c>
      <c r="F527" s="11" t="s">
        <v>11</v>
      </c>
      <c r="G527" s="11">
        <v>2017</v>
      </c>
      <c r="H527" s="12" t="str">
        <f>"247.47"</f>
        <v>247.47</v>
      </c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>
      <c r="A528" s="9">
        <v>526</v>
      </c>
      <c r="B528" s="9">
        <v>2827</v>
      </c>
      <c r="C528" s="9" t="s">
        <v>535</v>
      </c>
      <c r="D528" s="9" t="s">
        <v>20</v>
      </c>
      <c r="E528" s="10" t="str">
        <f>"276.12"</f>
        <v>276.12</v>
      </c>
      <c r="F528" s="11"/>
      <c r="G528" s="11">
        <v>2017</v>
      </c>
      <c r="H528" s="12" t="str">
        <f>"214.72"</f>
        <v>214.72</v>
      </c>
      <c r="I528" s="12"/>
      <c r="J528" s="12"/>
      <c r="K528" s="12"/>
      <c r="L528" s="12" t="str">
        <f>"308.15"</f>
        <v>308.15</v>
      </c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 t="str">
        <f>"244.09"</f>
        <v>244.09</v>
      </c>
      <c r="X528" s="12"/>
      <c r="Y528" s="12"/>
      <c r="Z528" s="12"/>
      <c r="AA528" s="12"/>
    </row>
    <row r="529" spans="1:27">
      <c r="A529" s="9">
        <v>527</v>
      </c>
      <c r="B529" s="9">
        <v>3010</v>
      </c>
      <c r="C529" s="9" t="s">
        <v>640</v>
      </c>
      <c r="D529" s="9" t="s">
        <v>63</v>
      </c>
      <c r="E529" s="10" t="str">
        <f>"276.47"</f>
        <v>276.47</v>
      </c>
      <c r="F529" s="11" t="s">
        <v>9</v>
      </c>
      <c r="G529" s="11">
        <v>2017</v>
      </c>
      <c r="H529" s="12" t="str">
        <f>"182.10"</f>
        <v>182.10</v>
      </c>
      <c r="I529" s="12"/>
      <c r="J529" s="12"/>
      <c r="K529" s="12"/>
      <c r="L529" s="12"/>
      <c r="M529" s="12"/>
      <c r="N529" s="12"/>
      <c r="O529" s="12"/>
      <c r="P529" s="12"/>
      <c r="Q529" s="12" t="str">
        <f>"248.47"</f>
        <v>248.47</v>
      </c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>
      <c r="A530" s="9">
        <v>528</v>
      </c>
      <c r="B530" s="9">
        <v>10943</v>
      </c>
      <c r="C530" s="9" t="s">
        <v>587</v>
      </c>
      <c r="D530" s="9" t="s">
        <v>10</v>
      </c>
      <c r="E530" s="10" t="str">
        <f>"276.55"</f>
        <v>276.55</v>
      </c>
      <c r="F530" s="11"/>
      <c r="G530" s="11">
        <v>2017</v>
      </c>
      <c r="H530" s="12" t="str">
        <f>"359.98"</f>
        <v>359.98</v>
      </c>
      <c r="I530" s="12" t="str">
        <f>"319.13"</f>
        <v>319.13</v>
      </c>
      <c r="J530" s="12"/>
      <c r="K530" s="12" t="str">
        <f>"291.11"</f>
        <v>291.11</v>
      </c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 t="str">
        <f>"261.99"</f>
        <v>261.99</v>
      </c>
      <c r="W530" s="12"/>
      <c r="X530" s="12"/>
      <c r="Y530" s="12"/>
      <c r="Z530" s="12"/>
      <c r="AA530" s="12"/>
    </row>
    <row r="531" spans="1:27">
      <c r="A531" s="9">
        <v>529</v>
      </c>
      <c r="B531" s="9">
        <v>2505</v>
      </c>
      <c r="C531" s="9" t="s">
        <v>827</v>
      </c>
      <c r="D531" s="9" t="s">
        <v>87</v>
      </c>
      <c r="E531" s="10" t="str">
        <f>"276.65"</f>
        <v>276.65</v>
      </c>
      <c r="F531" s="11" t="s">
        <v>11</v>
      </c>
      <c r="G531" s="11">
        <v>2017</v>
      </c>
      <c r="H531" s="12" t="str">
        <f>"248.65"</f>
        <v>248.65</v>
      </c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>
      <c r="A532" s="9">
        <v>530</v>
      </c>
      <c r="B532" s="9">
        <v>2335</v>
      </c>
      <c r="C532" s="9" t="s">
        <v>451</v>
      </c>
      <c r="D532" s="9" t="s">
        <v>32</v>
      </c>
      <c r="E532" s="10" t="str">
        <f>"277.23"</f>
        <v>277.23</v>
      </c>
      <c r="F532" s="11" t="s">
        <v>9</v>
      </c>
      <c r="G532" s="11">
        <v>2017</v>
      </c>
      <c r="H532" s="12" t="str">
        <f>"178.45"</f>
        <v>178.45</v>
      </c>
      <c r="I532" s="12"/>
      <c r="J532" s="12"/>
      <c r="K532" s="12"/>
      <c r="L532" s="12" t="str">
        <f>"249.23"</f>
        <v>249.23</v>
      </c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>
      <c r="A533" s="9">
        <v>531</v>
      </c>
      <c r="B533" s="9">
        <v>11103</v>
      </c>
      <c r="C533" s="9" t="s">
        <v>1223</v>
      </c>
      <c r="D533" s="9" t="s">
        <v>60</v>
      </c>
      <c r="E533" s="10" t="str">
        <f>"277.68"</f>
        <v>277.68</v>
      </c>
      <c r="F533" s="11" t="s">
        <v>11</v>
      </c>
      <c r="G533" s="11">
        <v>2017</v>
      </c>
      <c r="H533" s="12" t="str">
        <f>"249.68"</f>
        <v>249.68</v>
      </c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>
      <c r="A534" s="9">
        <v>532</v>
      </c>
      <c r="B534" s="9">
        <v>8504</v>
      </c>
      <c r="C534" s="9" t="s">
        <v>603</v>
      </c>
      <c r="D534" s="9" t="s">
        <v>10</v>
      </c>
      <c r="E534" s="10" t="str">
        <f>"277.93"</f>
        <v>277.93</v>
      </c>
      <c r="F534" s="11" t="s">
        <v>11</v>
      </c>
      <c r="G534" s="11">
        <v>2017</v>
      </c>
      <c r="H534" s="12" t="str">
        <f>"249.93"</f>
        <v>249.93</v>
      </c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>
      <c r="A535" s="9">
        <v>533</v>
      </c>
      <c r="B535" s="9">
        <v>1427</v>
      </c>
      <c r="C535" s="9" t="s">
        <v>1192</v>
      </c>
      <c r="D535" s="9" t="s">
        <v>72</v>
      </c>
      <c r="E535" s="10" t="str">
        <f>"278.09"</f>
        <v>278.09</v>
      </c>
      <c r="F535" s="11" t="s">
        <v>11</v>
      </c>
      <c r="G535" s="11">
        <v>2017</v>
      </c>
      <c r="H535" s="12" t="str">
        <f>"250.09"</f>
        <v>250.09</v>
      </c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>
      <c r="A536" s="9">
        <v>534</v>
      </c>
      <c r="B536" s="9">
        <v>1518</v>
      </c>
      <c r="C536" s="9" t="s">
        <v>1207</v>
      </c>
      <c r="D536" s="9" t="s">
        <v>42</v>
      </c>
      <c r="E536" s="10" t="str">
        <f>"278.09"</f>
        <v>278.09</v>
      </c>
      <c r="F536" s="11" t="s">
        <v>9</v>
      </c>
      <c r="G536" s="11">
        <v>2017</v>
      </c>
      <c r="H536" s="12" t="str">
        <f>"304.74"</f>
        <v>304.74</v>
      </c>
      <c r="I536" s="12"/>
      <c r="J536" s="12"/>
      <c r="K536" s="12"/>
      <c r="L536" s="12" t="str">
        <f>"250.09"</f>
        <v>250.09</v>
      </c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>
      <c r="A537" s="9">
        <v>535</v>
      </c>
      <c r="B537" s="9">
        <v>5109</v>
      </c>
      <c r="C537" s="9" t="s">
        <v>1167</v>
      </c>
      <c r="D537" s="9" t="s">
        <v>15</v>
      </c>
      <c r="E537" s="10" t="str">
        <f>"278.95"</f>
        <v>278.95</v>
      </c>
      <c r="F537" s="11" t="s">
        <v>11</v>
      </c>
      <c r="G537" s="11">
        <v>2017</v>
      </c>
      <c r="H537" s="12" t="str">
        <f>"250.95"</f>
        <v>250.95</v>
      </c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>
      <c r="A538" s="9">
        <v>536</v>
      </c>
      <c r="B538" s="9">
        <v>7587</v>
      </c>
      <c r="C538" s="9" t="s">
        <v>1025</v>
      </c>
      <c r="D538" s="9" t="s">
        <v>189</v>
      </c>
      <c r="E538" s="10" t="str">
        <f>"279.04"</f>
        <v>279.04</v>
      </c>
      <c r="F538" s="11" t="s">
        <v>11</v>
      </c>
      <c r="G538" s="11">
        <v>2017</v>
      </c>
      <c r="H538" s="12" t="str">
        <f>"251.04"</f>
        <v>251.04</v>
      </c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>
      <c r="A539" s="9">
        <v>537</v>
      </c>
      <c r="B539" s="9">
        <v>11119</v>
      </c>
      <c r="C539" s="9" t="s">
        <v>795</v>
      </c>
      <c r="D539" s="9" t="s">
        <v>80</v>
      </c>
      <c r="E539" s="10" t="str">
        <f>"279.13"</f>
        <v>279.13</v>
      </c>
      <c r="F539" s="11" t="s">
        <v>9</v>
      </c>
      <c r="G539" s="11">
        <v>2017</v>
      </c>
      <c r="H539" s="12"/>
      <c r="I539" s="12"/>
      <c r="J539" s="12"/>
      <c r="K539" s="12"/>
      <c r="L539" s="12"/>
      <c r="M539" s="12" t="str">
        <f>"251.13"</f>
        <v>251.13</v>
      </c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>
      <c r="A540" s="9">
        <v>538</v>
      </c>
      <c r="B540" s="9">
        <v>484</v>
      </c>
      <c r="C540" s="9" t="s">
        <v>780</v>
      </c>
      <c r="D540" s="9" t="s">
        <v>95</v>
      </c>
      <c r="E540" s="10" t="str">
        <f>"279.26"</f>
        <v>279.26</v>
      </c>
      <c r="F540" s="11"/>
      <c r="G540" s="11">
        <v>2017</v>
      </c>
      <c r="H540" s="12" t="str">
        <f>"192.56"</f>
        <v>192.56</v>
      </c>
      <c r="I540" s="12"/>
      <c r="J540" s="12"/>
      <c r="K540" s="12"/>
      <c r="L540" s="12" t="str">
        <f>"285.59"</f>
        <v>285.59</v>
      </c>
      <c r="M540" s="12"/>
      <c r="N540" s="12"/>
      <c r="O540" s="12"/>
      <c r="P540" s="12"/>
      <c r="Q540" s="12" t="str">
        <f>"272.93"</f>
        <v>272.93</v>
      </c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>
      <c r="A541" s="9">
        <v>539</v>
      </c>
      <c r="B541" s="9">
        <v>10885</v>
      </c>
      <c r="C541" s="9" t="s">
        <v>768</v>
      </c>
      <c r="D541" s="9" t="s">
        <v>10</v>
      </c>
      <c r="E541" s="10" t="str">
        <f>"280.12"</f>
        <v>280.12</v>
      </c>
      <c r="F541" s="11"/>
      <c r="G541" s="11">
        <v>2017</v>
      </c>
      <c r="H541" s="12" t="str">
        <f>"523.33"</f>
        <v>523.33</v>
      </c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 t="str">
        <f>"404.29"</f>
        <v>404.29</v>
      </c>
      <c r="T541" s="12"/>
      <c r="U541" s="12"/>
      <c r="V541" s="12"/>
      <c r="W541" s="12"/>
      <c r="X541" s="12"/>
      <c r="Y541" s="12"/>
      <c r="Z541" s="12" t="str">
        <f>"281.20"</f>
        <v>281.20</v>
      </c>
      <c r="AA541" s="12" t="str">
        <f>"279.04"</f>
        <v>279.04</v>
      </c>
    </row>
    <row r="542" spans="1:27">
      <c r="A542" s="9">
        <v>540</v>
      </c>
      <c r="B542" s="9">
        <v>6476</v>
      </c>
      <c r="C542" s="9" t="s">
        <v>737</v>
      </c>
      <c r="D542" s="9" t="s">
        <v>27</v>
      </c>
      <c r="E542" s="10" t="str">
        <f>"280.15"</f>
        <v>280.15</v>
      </c>
      <c r="F542" s="11"/>
      <c r="G542" s="11">
        <v>2017</v>
      </c>
      <c r="H542" s="12" t="str">
        <f>"193.77"</f>
        <v>193.77</v>
      </c>
      <c r="I542" s="12"/>
      <c r="J542" s="12"/>
      <c r="K542" s="12"/>
      <c r="L542" s="12"/>
      <c r="M542" s="12"/>
      <c r="N542" s="12"/>
      <c r="O542" s="12"/>
      <c r="P542" s="12" t="str">
        <f>"170.41"</f>
        <v>170.41</v>
      </c>
      <c r="Q542" s="12"/>
      <c r="R542" s="12"/>
      <c r="S542" s="12"/>
      <c r="T542" s="12"/>
      <c r="U542" s="12"/>
      <c r="V542" s="12"/>
      <c r="W542" s="12"/>
      <c r="X542" s="12" t="str">
        <f>"389.89"</f>
        <v>389.89</v>
      </c>
      <c r="Y542" s="12"/>
      <c r="Z542" s="12"/>
      <c r="AA542" s="12"/>
    </row>
    <row r="543" spans="1:27">
      <c r="A543" s="9">
        <v>541</v>
      </c>
      <c r="B543" s="9">
        <v>10870</v>
      </c>
      <c r="C543" s="9" t="s">
        <v>531</v>
      </c>
      <c r="D543" s="9" t="s">
        <v>10</v>
      </c>
      <c r="E543" s="10" t="str">
        <f>"281.97"</f>
        <v>281.97</v>
      </c>
      <c r="F543" s="11"/>
      <c r="G543" s="11">
        <v>2017</v>
      </c>
      <c r="H543" s="12" t="str">
        <f>"404.78"</f>
        <v>404.78</v>
      </c>
      <c r="I543" s="12" t="str">
        <f>"340.03"</f>
        <v>340.03</v>
      </c>
      <c r="J543" s="12"/>
      <c r="K543" s="12"/>
      <c r="L543" s="12"/>
      <c r="M543" s="12"/>
      <c r="N543" s="12"/>
      <c r="O543" s="12"/>
      <c r="P543" s="12"/>
      <c r="Q543" s="12"/>
      <c r="R543" s="12"/>
      <c r="S543" s="12" t="str">
        <f>"223.90"</f>
        <v>223.90</v>
      </c>
      <c r="T543" s="12"/>
      <c r="U543" s="12"/>
      <c r="V543" s="12"/>
      <c r="W543" s="12"/>
      <c r="X543" s="12"/>
      <c r="Y543" s="12"/>
      <c r="Z543" s="12"/>
      <c r="AA543" s="12"/>
    </row>
    <row r="544" spans="1:27">
      <c r="A544" s="9">
        <v>542</v>
      </c>
      <c r="B544" s="9">
        <v>1911</v>
      </c>
      <c r="C544" s="9" t="s">
        <v>399</v>
      </c>
      <c r="D544" s="9" t="s">
        <v>400</v>
      </c>
      <c r="E544" s="10" t="str">
        <f>"283.02"</f>
        <v>283.02</v>
      </c>
      <c r="F544" s="11" t="s">
        <v>9</v>
      </c>
      <c r="G544" s="11">
        <v>2017</v>
      </c>
      <c r="H544" s="12" t="str">
        <f>"154.65"</f>
        <v>154.65</v>
      </c>
      <c r="I544" s="12"/>
      <c r="J544" s="12"/>
      <c r="K544" s="12"/>
      <c r="L544" s="12"/>
      <c r="M544" s="12"/>
      <c r="N544" s="12"/>
      <c r="O544" s="12"/>
      <c r="P544" s="12"/>
      <c r="Q544" s="12" t="str">
        <f>"255.02"</f>
        <v>255.02</v>
      </c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>
      <c r="A545" s="9">
        <v>543</v>
      </c>
      <c r="B545" s="9">
        <v>10600</v>
      </c>
      <c r="C545" s="9" t="s">
        <v>730</v>
      </c>
      <c r="D545" s="9" t="s">
        <v>10</v>
      </c>
      <c r="E545" s="10" t="str">
        <f>"284.02"</f>
        <v>284.02</v>
      </c>
      <c r="F545" s="11" t="s">
        <v>9</v>
      </c>
      <c r="G545" s="11">
        <v>2017</v>
      </c>
      <c r="H545" s="12" t="str">
        <f>"260.17"</f>
        <v>260.17</v>
      </c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 t="str">
        <f>"256.02"</f>
        <v>256.02</v>
      </c>
      <c r="T545" s="12"/>
      <c r="U545" s="12"/>
      <c r="V545" s="12"/>
      <c r="W545" s="12"/>
      <c r="X545" s="12"/>
      <c r="Y545" s="12"/>
      <c r="Z545" s="12"/>
      <c r="AA545" s="12"/>
    </row>
    <row r="546" spans="1:27">
      <c r="A546" s="9">
        <v>544</v>
      </c>
      <c r="B546" s="9">
        <v>10248</v>
      </c>
      <c r="C546" s="9" t="s">
        <v>315</v>
      </c>
      <c r="D546" s="9" t="s">
        <v>30</v>
      </c>
      <c r="E546" s="10" t="str">
        <f>"284.51"</f>
        <v>284.51</v>
      </c>
      <c r="F546" s="11" t="s">
        <v>11</v>
      </c>
      <c r="G546" s="11">
        <v>2017</v>
      </c>
      <c r="H546" s="12" t="str">
        <f>"256.51"</f>
        <v>256.51</v>
      </c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>
      <c r="A547" s="9">
        <v>545</v>
      </c>
      <c r="B547" s="9">
        <v>10886</v>
      </c>
      <c r="C547" s="9" t="s">
        <v>818</v>
      </c>
      <c r="D547" s="9" t="s">
        <v>10</v>
      </c>
      <c r="E547" s="10" t="str">
        <f>"284.63"</f>
        <v>284.63</v>
      </c>
      <c r="F547" s="11"/>
      <c r="G547" s="11">
        <v>2017</v>
      </c>
      <c r="H547" s="12" t="str">
        <f>"604.95"</f>
        <v>604.95</v>
      </c>
      <c r="I547" s="12" t="str">
        <f>"523.13"</f>
        <v>523.13</v>
      </c>
      <c r="J547" s="12"/>
      <c r="K547" s="12"/>
      <c r="L547" s="12"/>
      <c r="M547" s="12"/>
      <c r="N547" s="12"/>
      <c r="O547" s="12"/>
      <c r="P547" s="12"/>
      <c r="Q547" s="12"/>
      <c r="R547" s="12"/>
      <c r="S547" s="12" t="str">
        <f>"366.94"</f>
        <v>366.94</v>
      </c>
      <c r="T547" s="12" t="str">
        <f>"512.07"</f>
        <v>512.07</v>
      </c>
      <c r="U547" s="12"/>
      <c r="V547" s="12"/>
      <c r="W547" s="12"/>
      <c r="X547" s="12"/>
      <c r="Y547" s="12"/>
      <c r="Z547" s="12" t="str">
        <f>"309.11"</f>
        <v>309.11</v>
      </c>
      <c r="AA547" s="12" t="str">
        <f>"260.15"</f>
        <v>260.15</v>
      </c>
    </row>
    <row r="548" spans="1:27">
      <c r="A548" s="9">
        <v>546</v>
      </c>
      <c r="B548" s="9">
        <v>11398</v>
      </c>
      <c r="C548" s="9" t="s">
        <v>347</v>
      </c>
      <c r="D548" s="9" t="s">
        <v>14</v>
      </c>
      <c r="E548" s="10" t="str">
        <f>"284.72"</f>
        <v>284.72</v>
      </c>
      <c r="F548" s="11" t="s">
        <v>9</v>
      </c>
      <c r="G548" s="11">
        <v>2017</v>
      </c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 t="str">
        <f>"256.72"</f>
        <v>256.72</v>
      </c>
      <c r="W548" s="12"/>
      <c r="X548" s="12"/>
      <c r="Y548" s="12"/>
      <c r="Z548" s="12"/>
      <c r="AA548" s="12"/>
    </row>
    <row r="549" spans="1:27">
      <c r="A549" s="9">
        <v>547</v>
      </c>
      <c r="B549" s="9">
        <v>5248</v>
      </c>
      <c r="C549" s="9" t="s">
        <v>425</v>
      </c>
      <c r="D549" s="9" t="s">
        <v>33</v>
      </c>
      <c r="E549" s="10" t="str">
        <f>"284.94"</f>
        <v>284.94</v>
      </c>
      <c r="F549" s="11" t="s">
        <v>11</v>
      </c>
      <c r="G549" s="11">
        <v>2017</v>
      </c>
      <c r="H549" s="12" t="str">
        <f>"256.94"</f>
        <v>256.94</v>
      </c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>
      <c r="A550" s="9">
        <v>548</v>
      </c>
      <c r="B550" s="9">
        <v>10273</v>
      </c>
      <c r="C550" s="9" t="s">
        <v>416</v>
      </c>
      <c r="D550" s="9" t="s">
        <v>19</v>
      </c>
      <c r="E550" s="10" t="str">
        <f>"284.98"</f>
        <v>284.98</v>
      </c>
      <c r="F550" s="11"/>
      <c r="G550" s="11">
        <v>2017</v>
      </c>
      <c r="H550" s="12" t="str">
        <f>"138.97"</f>
        <v>138.97</v>
      </c>
      <c r="I550" s="12"/>
      <c r="J550" s="12"/>
      <c r="K550" s="12"/>
      <c r="L550" s="12"/>
      <c r="M550" s="12"/>
      <c r="N550" s="12"/>
      <c r="O550" s="12" t="str">
        <f>"242.53"</f>
        <v>242.53</v>
      </c>
      <c r="P550" s="12"/>
      <c r="Q550" s="12"/>
      <c r="R550" s="12" t="str">
        <f>"327.42"</f>
        <v>327.42</v>
      </c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>
      <c r="A551" s="9">
        <v>549</v>
      </c>
      <c r="B551" s="9">
        <v>5502</v>
      </c>
      <c r="C551" s="9" t="s">
        <v>690</v>
      </c>
      <c r="D551" s="9" t="s">
        <v>12</v>
      </c>
      <c r="E551" s="10" t="str">
        <f>"285.34"</f>
        <v>285.34</v>
      </c>
      <c r="F551" s="11" t="s">
        <v>9</v>
      </c>
      <c r="G551" s="11">
        <v>2017</v>
      </c>
      <c r="H551" s="12" t="str">
        <f>"364.61"</f>
        <v>364.61</v>
      </c>
      <c r="I551" s="12"/>
      <c r="J551" s="12"/>
      <c r="K551" s="12"/>
      <c r="L551" s="12"/>
      <c r="M551" s="12"/>
      <c r="N551" s="12"/>
      <c r="O551" s="12" t="str">
        <f>"257.34"</f>
        <v>257.34</v>
      </c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>
      <c r="A552" s="9">
        <v>550</v>
      </c>
      <c r="B552" s="9">
        <v>4496</v>
      </c>
      <c r="C552" s="9" t="s">
        <v>558</v>
      </c>
      <c r="D552" s="9" t="s">
        <v>18</v>
      </c>
      <c r="E552" s="10" t="str">
        <f>"285.50"</f>
        <v>285.50</v>
      </c>
      <c r="F552" s="11" t="s">
        <v>11</v>
      </c>
      <c r="G552" s="11">
        <v>2017</v>
      </c>
      <c r="H552" s="12" t="str">
        <f>"257.50"</f>
        <v>257.50</v>
      </c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>
      <c r="A553" s="9">
        <v>551</v>
      </c>
      <c r="B553" s="9">
        <v>2333</v>
      </c>
      <c r="C553" s="9" t="s">
        <v>579</v>
      </c>
      <c r="D553" s="9" t="s">
        <v>10</v>
      </c>
      <c r="E553" s="10" t="str">
        <f>"286.09"</f>
        <v>286.09</v>
      </c>
      <c r="F553" s="11"/>
      <c r="G553" s="11">
        <v>2017</v>
      </c>
      <c r="H553" s="12" t="str">
        <f>"270.49"</f>
        <v>270.49</v>
      </c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 t="str">
        <f>"359.87"</f>
        <v>359.87</v>
      </c>
      <c r="T553" s="12"/>
      <c r="U553" s="12"/>
      <c r="V553" s="12"/>
      <c r="W553" s="12"/>
      <c r="X553" s="12"/>
      <c r="Y553" s="12"/>
      <c r="Z553" s="12" t="str">
        <f>"212.30"</f>
        <v>212.30</v>
      </c>
      <c r="AA553" s="12"/>
    </row>
    <row r="554" spans="1:27">
      <c r="A554" s="9">
        <v>552</v>
      </c>
      <c r="B554" s="9">
        <v>4611</v>
      </c>
      <c r="C554" s="9" t="s">
        <v>484</v>
      </c>
      <c r="D554" s="9" t="s">
        <v>42</v>
      </c>
      <c r="E554" s="10" t="str">
        <f>"287.18"</f>
        <v>287.18</v>
      </c>
      <c r="F554" s="11" t="s">
        <v>9</v>
      </c>
      <c r="G554" s="11">
        <v>2017</v>
      </c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 t="str">
        <f>"259.18"</f>
        <v>259.18</v>
      </c>
      <c r="W554" s="12"/>
      <c r="X554" s="12"/>
      <c r="Y554" s="12"/>
      <c r="Z554" s="12"/>
      <c r="AA554" s="12"/>
    </row>
    <row r="555" spans="1:27">
      <c r="A555" s="9">
        <v>553</v>
      </c>
      <c r="B555" s="9">
        <v>7504</v>
      </c>
      <c r="C555" s="9" t="s">
        <v>285</v>
      </c>
      <c r="D555" s="9" t="s">
        <v>68</v>
      </c>
      <c r="E555" s="10" t="str">
        <f>"287.48"</f>
        <v>287.48</v>
      </c>
      <c r="F555" s="11" t="s">
        <v>9</v>
      </c>
      <c r="G555" s="11">
        <v>2017</v>
      </c>
      <c r="H555" s="12" t="str">
        <f>"162.10"</f>
        <v>162.10</v>
      </c>
      <c r="I555" s="12"/>
      <c r="J555" s="12"/>
      <c r="K555" s="12" t="str">
        <f>"259.48"</f>
        <v>259.48</v>
      </c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>
      <c r="A556" s="9">
        <v>554</v>
      </c>
      <c r="B556" s="9">
        <v>5357</v>
      </c>
      <c r="C556" s="9" t="s">
        <v>750</v>
      </c>
      <c r="D556" s="9" t="s">
        <v>12</v>
      </c>
      <c r="E556" s="10" t="str">
        <f>"287.91"</f>
        <v>287.91</v>
      </c>
      <c r="F556" s="11" t="s">
        <v>11</v>
      </c>
      <c r="G556" s="11">
        <v>2017</v>
      </c>
      <c r="H556" s="12" t="str">
        <f>"259.91"</f>
        <v>259.91</v>
      </c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>
      <c r="A557" s="9">
        <v>555</v>
      </c>
      <c r="B557" s="9">
        <v>11265</v>
      </c>
      <c r="C557" s="9" t="s">
        <v>536</v>
      </c>
      <c r="D557" s="9" t="s">
        <v>10</v>
      </c>
      <c r="E557" s="10" t="str">
        <f>"288.03"</f>
        <v>288.03</v>
      </c>
      <c r="F557" s="11"/>
      <c r="G557" s="11">
        <v>2017</v>
      </c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 t="str">
        <f>"348.61"</f>
        <v>348.61</v>
      </c>
      <c r="T557" s="12" t="str">
        <f>"430.65"</f>
        <v>430.65</v>
      </c>
      <c r="U557" s="12"/>
      <c r="V557" s="12"/>
      <c r="W557" s="12"/>
      <c r="X557" s="12"/>
      <c r="Y557" s="12"/>
      <c r="Z557" s="12" t="str">
        <f>"319.54"</f>
        <v>319.54</v>
      </c>
      <c r="AA557" s="12" t="str">
        <f>"256.51"</f>
        <v>256.51</v>
      </c>
    </row>
    <row r="558" spans="1:27">
      <c r="A558" s="9">
        <v>556</v>
      </c>
      <c r="B558" s="9">
        <v>2279</v>
      </c>
      <c r="C558" s="9" t="s">
        <v>499</v>
      </c>
      <c r="D558" s="9" t="s">
        <v>42</v>
      </c>
      <c r="E558" s="10" t="str">
        <f>"288.13"</f>
        <v>288.13</v>
      </c>
      <c r="F558" s="11" t="s">
        <v>11</v>
      </c>
      <c r="G558" s="11">
        <v>2017</v>
      </c>
      <c r="H558" s="12" t="str">
        <f>"260.13"</f>
        <v>260.13</v>
      </c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>
      <c r="A559" s="9">
        <v>557</v>
      </c>
      <c r="B559" s="9">
        <v>2263</v>
      </c>
      <c r="C559" s="9" t="s">
        <v>705</v>
      </c>
      <c r="D559" s="9" t="s">
        <v>10</v>
      </c>
      <c r="E559" s="10" t="str">
        <f>"288.56"</f>
        <v>288.56</v>
      </c>
      <c r="F559" s="11" t="s">
        <v>11</v>
      </c>
      <c r="G559" s="11">
        <v>2017</v>
      </c>
      <c r="H559" s="12" t="str">
        <f>"260.56"</f>
        <v>260.56</v>
      </c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>
      <c r="A560" s="9">
        <v>558</v>
      </c>
      <c r="B560" s="9">
        <v>1621</v>
      </c>
      <c r="C560" s="9" t="s">
        <v>428</v>
      </c>
      <c r="D560" s="9" t="s">
        <v>30</v>
      </c>
      <c r="E560" s="10" t="str">
        <f>"288.92"</f>
        <v>288.92</v>
      </c>
      <c r="F560" s="11" t="s">
        <v>11</v>
      </c>
      <c r="G560" s="11">
        <v>2017</v>
      </c>
      <c r="H560" s="12" t="str">
        <f>"260.92"</f>
        <v>260.92</v>
      </c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>
      <c r="A561" s="9">
        <v>559</v>
      </c>
      <c r="B561" s="9">
        <v>5720</v>
      </c>
      <c r="C561" s="9" t="s">
        <v>610</v>
      </c>
      <c r="D561" s="9" t="s">
        <v>43</v>
      </c>
      <c r="E561" s="10" t="str">
        <f>"289.39"</f>
        <v>289.39</v>
      </c>
      <c r="F561" s="11"/>
      <c r="G561" s="11">
        <v>2017</v>
      </c>
      <c r="H561" s="12" t="str">
        <f>"291.56"</f>
        <v>291.56</v>
      </c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 t="str">
        <f>"286.11"</f>
        <v>286.11</v>
      </c>
      <c r="V561" s="12" t="str">
        <f>"292.66"</f>
        <v>292.66</v>
      </c>
      <c r="W561" s="12"/>
      <c r="X561" s="12"/>
      <c r="Y561" s="12"/>
      <c r="Z561" s="12"/>
      <c r="AA561" s="12"/>
    </row>
    <row r="562" spans="1:27">
      <c r="A562" s="9">
        <v>560</v>
      </c>
      <c r="B562" s="9">
        <v>11424</v>
      </c>
      <c r="C562" s="9" t="s">
        <v>1211</v>
      </c>
      <c r="D562" s="9" t="s">
        <v>19</v>
      </c>
      <c r="E562" s="10" t="str">
        <f>"289.76"</f>
        <v>289.76</v>
      </c>
      <c r="F562" s="11"/>
      <c r="G562" s="11">
        <v>2017</v>
      </c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 t="str">
        <f>"273.88"</f>
        <v>273.88</v>
      </c>
      <c r="AA562" s="12" t="str">
        <f>"305.64"</f>
        <v>305.64</v>
      </c>
    </row>
    <row r="563" spans="1:27">
      <c r="A563" s="9">
        <v>561</v>
      </c>
      <c r="B563" s="9">
        <v>10425</v>
      </c>
      <c r="C563" s="9" t="s">
        <v>367</v>
      </c>
      <c r="D563" s="9" t="s">
        <v>19</v>
      </c>
      <c r="E563" s="10" t="str">
        <f>"290.34"</f>
        <v>290.34</v>
      </c>
      <c r="F563" s="11"/>
      <c r="G563" s="11">
        <v>2017</v>
      </c>
      <c r="H563" s="12" t="str">
        <f>"562.69"</f>
        <v>562.69</v>
      </c>
      <c r="I563" s="12"/>
      <c r="J563" s="12"/>
      <c r="K563" s="12"/>
      <c r="L563" s="12"/>
      <c r="M563" s="12"/>
      <c r="N563" s="12"/>
      <c r="O563" s="12"/>
      <c r="P563" s="12"/>
      <c r="Q563" s="12"/>
      <c r="R563" s="12" t="str">
        <f>"711.02"</f>
        <v>711.02</v>
      </c>
      <c r="S563" s="12"/>
      <c r="T563" s="12"/>
      <c r="U563" s="12"/>
      <c r="V563" s="12"/>
      <c r="W563" s="12"/>
      <c r="X563" s="12"/>
      <c r="Y563" s="12"/>
      <c r="Z563" s="12" t="str">
        <f>"261.62"</f>
        <v>261.62</v>
      </c>
      <c r="AA563" s="12" t="str">
        <f>"319.05"</f>
        <v>319.05</v>
      </c>
    </row>
    <row r="564" spans="1:27">
      <c r="A564" s="9">
        <v>562</v>
      </c>
      <c r="B564" s="9">
        <v>10912</v>
      </c>
      <c r="C564" s="9" t="s">
        <v>588</v>
      </c>
      <c r="D564" s="9" t="s">
        <v>10</v>
      </c>
      <c r="E564" s="10" t="str">
        <f>"290.91"</f>
        <v>290.91</v>
      </c>
      <c r="F564" s="11" t="s">
        <v>9</v>
      </c>
      <c r="G564" s="11">
        <v>2017</v>
      </c>
      <c r="H564" s="12" t="str">
        <f>"311.80"</f>
        <v>311.80</v>
      </c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 t="str">
        <f>"262.91"</f>
        <v>262.91</v>
      </c>
      <c r="T564" s="12"/>
      <c r="U564" s="12"/>
      <c r="V564" s="12"/>
      <c r="W564" s="12"/>
      <c r="X564" s="12"/>
      <c r="Y564" s="12"/>
      <c r="Z564" s="12"/>
      <c r="AA564" s="12"/>
    </row>
    <row r="565" spans="1:27">
      <c r="A565" s="9">
        <v>563</v>
      </c>
      <c r="B565" s="9">
        <v>10239</v>
      </c>
      <c r="C565" s="9" t="s">
        <v>592</v>
      </c>
      <c r="D565" s="9" t="s">
        <v>60</v>
      </c>
      <c r="E565" s="10" t="str">
        <f>"290.95"</f>
        <v>290.95</v>
      </c>
      <c r="F565" s="11"/>
      <c r="G565" s="11">
        <v>2017</v>
      </c>
      <c r="H565" s="12" t="str">
        <f>"210.59"</f>
        <v>210.59</v>
      </c>
      <c r="I565" s="12"/>
      <c r="J565" s="12"/>
      <c r="K565" s="12"/>
      <c r="L565" s="12" t="str">
        <f>"240.41"</f>
        <v>240.41</v>
      </c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 t="str">
        <f>"341.49"</f>
        <v>341.49</v>
      </c>
      <c r="X565" s="12"/>
      <c r="Y565" s="12"/>
      <c r="Z565" s="12"/>
      <c r="AA565" s="12"/>
    </row>
    <row r="566" spans="1:27">
      <c r="A566" s="9">
        <v>564</v>
      </c>
      <c r="B566" s="9">
        <v>809</v>
      </c>
      <c r="C566" s="9" t="s">
        <v>824</v>
      </c>
      <c r="D566" s="9" t="s">
        <v>83</v>
      </c>
      <c r="E566" s="10" t="str">
        <f>"291.69"</f>
        <v>291.69</v>
      </c>
      <c r="F566" s="11" t="s">
        <v>11</v>
      </c>
      <c r="G566" s="11">
        <v>2017</v>
      </c>
      <c r="H566" s="12" t="str">
        <f>"263.69"</f>
        <v>263.69</v>
      </c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>
      <c r="A567" s="9">
        <v>565</v>
      </c>
      <c r="B567" s="9">
        <v>1719</v>
      </c>
      <c r="C567" s="9" t="s">
        <v>434</v>
      </c>
      <c r="D567" s="9" t="s">
        <v>22</v>
      </c>
      <c r="E567" s="10" t="str">
        <f>"291.84"</f>
        <v>291.84</v>
      </c>
      <c r="F567" s="11" t="s">
        <v>9</v>
      </c>
      <c r="G567" s="11">
        <v>2017</v>
      </c>
      <c r="H567" s="12" t="str">
        <f>"221.37"</f>
        <v>221.37</v>
      </c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 t="str">
        <f>"263.84"</f>
        <v>263.84</v>
      </c>
      <c r="W567" s="12"/>
      <c r="X567" s="12"/>
      <c r="Y567" s="12"/>
      <c r="Z567" s="12"/>
      <c r="AA567" s="12"/>
    </row>
    <row r="568" spans="1:27">
      <c r="A568" s="9">
        <v>566</v>
      </c>
      <c r="B568" s="9">
        <v>10340</v>
      </c>
      <c r="C568" s="9" t="s">
        <v>654</v>
      </c>
      <c r="D568" s="9" t="s">
        <v>10</v>
      </c>
      <c r="E568" s="10" t="str">
        <f>"292.21"</f>
        <v>292.21</v>
      </c>
      <c r="F568" s="11"/>
      <c r="G568" s="11">
        <v>2017</v>
      </c>
      <c r="H568" s="12" t="str">
        <f>"337.20"</f>
        <v>337.20</v>
      </c>
      <c r="I568" s="12" t="str">
        <f>"500.88"</f>
        <v>500.88</v>
      </c>
      <c r="J568" s="12"/>
      <c r="K568" s="12"/>
      <c r="L568" s="12"/>
      <c r="M568" s="12"/>
      <c r="N568" s="12"/>
      <c r="O568" s="12"/>
      <c r="P568" s="12"/>
      <c r="Q568" s="12"/>
      <c r="R568" s="12"/>
      <c r="S568" s="12" t="str">
        <f>"290.32"</f>
        <v>290.32</v>
      </c>
      <c r="T568" s="12"/>
      <c r="U568" s="12"/>
      <c r="V568" s="12"/>
      <c r="W568" s="12"/>
      <c r="X568" s="12" t="str">
        <f>"294.09"</f>
        <v>294.09</v>
      </c>
      <c r="Y568" s="12"/>
      <c r="Z568" s="12"/>
      <c r="AA568" s="12"/>
    </row>
    <row r="569" spans="1:27">
      <c r="A569" s="9">
        <v>567</v>
      </c>
      <c r="B569" s="9">
        <v>1636</v>
      </c>
      <c r="C569" s="9" t="s">
        <v>1170</v>
      </c>
      <c r="D569" s="9" t="s">
        <v>46</v>
      </c>
      <c r="E569" s="10" t="str">
        <f>"292.47"</f>
        <v>292.47</v>
      </c>
      <c r="F569" s="11" t="s">
        <v>11</v>
      </c>
      <c r="G569" s="11">
        <v>2017</v>
      </c>
      <c r="H569" s="12" t="str">
        <f>"264.47"</f>
        <v>264.47</v>
      </c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>
      <c r="A570" s="9">
        <v>568</v>
      </c>
      <c r="B570" s="9">
        <v>3699</v>
      </c>
      <c r="C570" s="9" t="s">
        <v>274</v>
      </c>
      <c r="D570" s="9" t="s">
        <v>275</v>
      </c>
      <c r="E570" s="10" t="str">
        <f>"292.74"</f>
        <v>292.74</v>
      </c>
      <c r="F570" s="11" t="s">
        <v>11</v>
      </c>
      <c r="G570" s="11">
        <v>2017</v>
      </c>
      <c r="H570" s="12" t="str">
        <f>"264.74"</f>
        <v>264.74</v>
      </c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>
      <c r="A571" s="9">
        <v>569</v>
      </c>
      <c r="B571" s="9">
        <v>3756</v>
      </c>
      <c r="C571" s="9" t="s">
        <v>559</v>
      </c>
      <c r="D571" s="9" t="s">
        <v>36</v>
      </c>
      <c r="E571" s="10" t="str">
        <f>"292.95"</f>
        <v>292.95</v>
      </c>
      <c r="F571" s="11" t="s">
        <v>11</v>
      </c>
      <c r="G571" s="11">
        <v>2017</v>
      </c>
      <c r="H571" s="12" t="str">
        <f>"264.95"</f>
        <v>264.95</v>
      </c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>
      <c r="A572" s="9">
        <v>570</v>
      </c>
      <c r="B572" s="9">
        <v>5151</v>
      </c>
      <c r="C572" s="9" t="s">
        <v>764</v>
      </c>
      <c r="D572" s="9" t="s">
        <v>400</v>
      </c>
      <c r="E572" s="10" t="str">
        <f>"293.71"</f>
        <v>293.71</v>
      </c>
      <c r="F572" s="11" t="s">
        <v>11</v>
      </c>
      <c r="G572" s="11">
        <v>2017</v>
      </c>
      <c r="H572" s="12" t="str">
        <f>"265.71"</f>
        <v>265.71</v>
      </c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>
      <c r="A573" s="9">
        <v>571</v>
      </c>
      <c r="B573" s="9">
        <v>10156</v>
      </c>
      <c r="C573" s="9" t="s">
        <v>940</v>
      </c>
      <c r="D573" s="9" t="s">
        <v>10</v>
      </c>
      <c r="E573" s="10" t="str">
        <f>"293.77"</f>
        <v>293.77</v>
      </c>
      <c r="F573" s="11"/>
      <c r="G573" s="11">
        <v>2017</v>
      </c>
      <c r="H573" s="12" t="str">
        <f>"267.13"</f>
        <v>267.13</v>
      </c>
      <c r="I573" s="12" t="str">
        <f>"316.51"</f>
        <v>316.51</v>
      </c>
      <c r="J573" s="12"/>
      <c r="K573" s="12"/>
      <c r="L573" s="12"/>
      <c r="M573" s="12"/>
      <c r="N573" s="12"/>
      <c r="O573" s="12"/>
      <c r="P573" s="12"/>
      <c r="Q573" s="12"/>
      <c r="R573" s="12"/>
      <c r="S573" s="12" t="str">
        <f>"271.03"</f>
        <v>271.03</v>
      </c>
      <c r="T573" s="12" t="str">
        <f>"393.15"</f>
        <v>393.15</v>
      </c>
      <c r="U573" s="12"/>
      <c r="V573" s="12"/>
      <c r="W573" s="12"/>
      <c r="X573" s="12"/>
      <c r="Y573" s="12"/>
      <c r="Z573" s="12"/>
      <c r="AA573" s="12"/>
    </row>
    <row r="574" spans="1:27">
      <c r="A574" s="9">
        <v>572</v>
      </c>
      <c r="B574" s="9">
        <v>8327</v>
      </c>
      <c r="C574" s="9" t="s">
        <v>670</v>
      </c>
      <c r="D574" s="9" t="s">
        <v>59</v>
      </c>
      <c r="E574" s="10" t="str">
        <f>"294.17"</f>
        <v>294.17</v>
      </c>
      <c r="F574" s="11" t="s">
        <v>11</v>
      </c>
      <c r="G574" s="11">
        <v>2017</v>
      </c>
      <c r="H574" s="12" t="str">
        <f>"266.17"</f>
        <v>266.17</v>
      </c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>
      <c r="A575" s="9">
        <v>573</v>
      </c>
      <c r="B575" s="9">
        <v>5359</v>
      </c>
      <c r="C575" s="9" t="s">
        <v>491</v>
      </c>
      <c r="D575" s="9" t="s">
        <v>12</v>
      </c>
      <c r="E575" s="10" t="str">
        <f>"294.89"</f>
        <v>294.89</v>
      </c>
      <c r="F575" s="11" t="s">
        <v>9</v>
      </c>
      <c r="G575" s="11">
        <v>2017</v>
      </c>
      <c r="H575" s="12" t="str">
        <f>"126.54"</f>
        <v>126.54</v>
      </c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 t="str">
        <f>"266.89"</f>
        <v>266.89</v>
      </c>
      <c r="Y575" s="12"/>
      <c r="Z575" s="12"/>
      <c r="AA575" s="12"/>
    </row>
    <row r="576" spans="1:27">
      <c r="A576" s="9">
        <v>574</v>
      </c>
      <c r="B576" s="9">
        <v>10790</v>
      </c>
      <c r="C576" s="9" t="s">
        <v>549</v>
      </c>
      <c r="D576" s="9" t="s">
        <v>10</v>
      </c>
      <c r="E576" s="10" t="str">
        <f>"295.48"</f>
        <v>295.48</v>
      </c>
      <c r="F576" s="11" t="s">
        <v>9</v>
      </c>
      <c r="G576" s="11">
        <v>2017</v>
      </c>
      <c r="H576" s="12" t="str">
        <f>"657.12"</f>
        <v>657.12</v>
      </c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 t="str">
        <f>"267.48"</f>
        <v>267.48</v>
      </c>
      <c r="AA576" s="12"/>
    </row>
    <row r="577" spans="1:27">
      <c r="A577" s="9">
        <v>575</v>
      </c>
      <c r="B577" s="9">
        <v>5031</v>
      </c>
      <c r="C577" s="9" t="s">
        <v>423</v>
      </c>
      <c r="D577" s="9" t="s">
        <v>133</v>
      </c>
      <c r="E577" s="10" t="str">
        <f>"295.48"</f>
        <v>295.48</v>
      </c>
      <c r="F577" s="11" t="s">
        <v>11</v>
      </c>
      <c r="G577" s="11">
        <v>2017</v>
      </c>
      <c r="H577" s="12" t="str">
        <f>"267.48"</f>
        <v>267.48</v>
      </c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>
      <c r="A578" s="9">
        <v>576</v>
      </c>
      <c r="B578" s="9">
        <v>10739</v>
      </c>
      <c r="C578" s="9" t="s">
        <v>417</v>
      </c>
      <c r="D578" s="9" t="s">
        <v>19</v>
      </c>
      <c r="E578" s="10" t="str">
        <f>"295.63"</f>
        <v>295.63</v>
      </c>
      <c r="F578" s="11"/>
      <c r="G578" s="11">
        <v>2017</v>
      </c>
      <c r="H578" s="12" t="str">
        <f>"299.14"</f>
        <v>299.14</v>
      </c>
      <c r="I578" s="12"/>
      <c r="J578" s="12"/>
      <c r="K578" s="12"/>
      <c r="L578" s="12"/>
      <c r="M578" s="12"/>
      <c r="N578" s="12"/>
      <c r="O578" s="12" t="str">
        <f>"402.12"</f>
        <v>402.12</v>
      </c>
      <c r="P578" s="12"/>
      <c r="Q578" s="12"/>
      <c r="R578" s="12"/>
      <c r="S578" s="12"/>
      <c r="T578" s="12"/>
      <c r="U578" s="12"/>
      <c r="V578" s="12"/>
      <c r="W578" s="12"/>
      <c r="X578" s="12"/>
      <c r="Y578" s="12" t="str">
        <f>"189.14"</f>
        <v>189.14</v>
      </c>
      <c r="Z578" s="12"/>
      <c r="AA578" s="12"/>
    </row>
    <row r="579" spans="1:27">
      <c r="A579" s="9">
        <v>577</v>
      </c>
      <c r="B579" s="9">
        <v>10815</v>
      </c>
      <c r="C579" s="9" t="s">
        <v>542</v>
      </c>
      <c r="D579" s="9" t="s">
        <v>19</v>
      </c>
      <c r="E579" s="10" t="str">
        <f>"295.72"</f>
        <v>295.72</v>
      </c>
      <c r="F579" s="11" t="s">
        <v>9</v>
      </c>
      <c r="G579" s="11">
        <v>2017</v>
      </c>
      <c r="H579" s="12" t="str">
        <f>"236.30"</f>
        <v>236.30</v>
      </c>
      <c r="I579" s="12"/>
      <c r="J579" s="12"/>
      <c r="K579" s="12"/>
      <c r="L579" s="12"/>
      <c r="M579" s="12"/>
      <c r="N579" s="12" t="str">
        <f>"267.72"</f>
        <v>267.72</v>
      </c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>
      <c r="A580" s="9">
        <v>578</v>
      </c>
      <c r="B580" s="9">
        <v>4234</v>
      </c>
      <c r="C580" s="9" t="s">
        <v>1203</v>
      </c>
      <c r="D580" s="9" t="s">
        <v>133</v>
      </c>
      <c r="E580" s="10" t="str">
        <f>"295.95"</f>
        <v>295.95</v>
      </c>
      <c r="F580" s="11" t="s">
        <v>11</v>
      </c>
      <c r="G580" s="11">
        <v>2017</v>
      </c>
      <c r="H580" s="12" t="str">
        <f>"267.95"</f>
        <v>267.95</v>
      </c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>
      <c r="A581" s="9">
        <v>579</v>
      </c>
      <c r="B581" s="9">
        <v>1296</v>
      </c>
      <c r="C581" s="9" t="s">
        <v>771</v>
      </c>
      <c r="D581" s="9" t="s">
        <v>46</v>
      </c>
      <c r="E581" s="10" t="str">
        <f>"296.74"</f>
        <v>296.74</v>
      </c>
      <c r="F581" s="11" t="s">
        <v>9</v>
      </c>
      <c r="G581" s="11">
        <v>2017</v>
      </c>
      <c r="H581" s="12" t="str">
        <f>"273.40"</f>
        <v>273.40</v>
      </c>
      <c r="I581" s="12"/>
      <c r="J581" s="12"/>
      <c r="K581" s="12"/>
      <c r="L581" s="12" t="str">
        <f>"268.74"</f>
        <v>268.74</v>
      </c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>
      <c r="A582" s="9">
        <v>580</v>
      </c>
      <c r="B582" s="9">
        <v>9971</v>
      </c>
      <c r="C582" s="9" t="s">
        <v>1197</v>
      </c>
      <c r="D582" s="9" t="s">
        <v>1198</v>
      </c>
      <c r="E582" s="10" t="str">
        <f>"296.96"</f>
        <v>296.96</v>
      </c>
      <c r="F582" s="11" t="s">
        <v>11</v>
      </c>
      <c r="G582" s="11">
        <v>2017</v>
      </c>
      <c r="H582" s="12" t="str">
        <f>"268.96"</f>
        <v>268.96</v>
      </c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>
      <c r="A583" s="9">
        <v>581</v>
      </c>
      <c r="B583" s="9">
        <v>10696</v>
      </c>
      <c r="C583" s="9" t="s">
        <v>556</v>
      </c>
      <c r="D583" s="9" t="s">
        <v>60</v>
      </c>
      <c r="E583" s="10" t="str">
        <f>"297.19"</f>
        <v>297.19</v>
      </c>
      <c r="F583" s="11" t="s">
        <v>11</v>
      </c>
      <c r="G583" s="11">
        <v>2017</v>
      </c>
      <c r="H583" s="12" t="str">
        <f>"269.19"</f>
        <v>269.19</v>
      </c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>
      <c r="A584" s="9">
        <v>582</v>
      </c>
      <c r="B584" s="9">
        <v>11129</v>
      </c>
      <c r="C584" s="9" t="s">
        <v>724</v>
      </c>
      <c r="D584" s="9" t="s">
        <v>19</v>
      </c>
      <c r="E584" s="10" t="str">
        <f>"297.60"</f>
        <v>297.60</v>
      </c>
      <c r="F584" s="11"/>
      <c r="G584" s="11">
        <v>2017</v>
      </c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 t="str">
        <f>"322.54"</f>
        <v>322.54</v>
      </c>
      <c r="V584" s="12"/>
      <c r="W584" s="12"/>
      <c r="X584" s="12"/>
      <c r="Y584" s="12" t="str">
        <f>"272.65"</f>
        <v>272.65</v>
      </c>
      <c r="Z584" s="12"/>
      <c r="AA584" s="12"/>
    </row>
    <row r="585" spans="1:27">
      <c r="A585" s="9">
        <v>583</v>
      </c>
      <c r="B585" s="9">
        <v>3177</v>
      </c>
      <c r="C585" s="9" t="s">
        <v>505</v>
      </c>
      <c r="D585" s="9" t="s">
        <v>93</v>
      </c>
      <c r="E585" s="10" t="str">
        <f>"297.64"</f>
        <v>297.64</v>
      </c>
      <c r="F585" s="11" t="s">
        <v>11</v>
      </c>
      <c r="G585" s="11">
        <v>2017</v>
      </c>
      <c r="H585" s="12" t="str">
        <f>"269.64"</f>
        <v>269.64</v>
      </c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>
      <c r="A586" s="9">
        <v>584</v>
      </c>
      <c r="B586" s="9">
        <v>10592</v>
      </c>
      <c r="C586" s="9" t="s">
        <v>618</v>
      </c>
      <c r="D586" s="9" t="s">
        <v>10</v>
      </c>
      <c r="E586" s="10" t="str">
        <f>"297.76"</f>
        <v>297.76</v>
      </c>
      <c r="F586" s="11"/>
      <c r="G586" s="11">
        <v>2017</v>
      </c>
      <c r="H586" s="12" t="str">
        <f>"340.28"</f>
        <v>340.28</v>
      </c>
      <c r="I586" s="12" t="str">
        <f>"307.46"</f>
        <v>307.46</v>
      </c>
      <c r="J586" s="12"/>
      <c r="K586" s="12"/>
      <c r="L586" s="12"/>
      <c r="M586" s="12"/>
      <c r="N586" s="12"/>
      <c r="O586" s="12"/>
      <c r="P586" s="12"/>
      <c r="Q586" s="12"/>
      <c r="R586" s="12"/>
      <c r="S586" s="12" t="str">
        <f>"288.05"</f>
        <v>288.05</v>
      </c>
      <c r="T586" s="12" t="str">
        <f>"394.93"</f>
        <v>394.93</v>
      </c>
      <c r="U586" s="12"/>
      <c r="V586" s="12"/>
      <c r="W586" s="12"/>
      <c r="X586" s="12"/>
      <c r="Y586" s="12"/>
      <c r="Z586" s="12"/>
      <c r="AA586" s="12"/>
    </row>
    <row r="587" spans="1:27">
      <c r="A587" s="9">
        <v>585</v>
      </c>
      <c r="B587" s="9">
        <v>10451</v>
      </c>
      <c r="C587" s="9" t="s">
        <v>424</v>
      </c>
      <c r="D587" s="9" t="s">
        <v>19</v>
      </c>
      <c r="E587" s="10" t="str">
        <f>"298.22"</f>
        <v>298.22</v>
      </c>
      <c r="F587" s="11"/>
      <c r="G587" s="11">
        <v>2017</v>
      </c>
      <c r="H587" s="12" t="str">
        <f>"582.12"</f>
        <v>582.12</v>
      </c>
      <c r="I587" s="12"/>
      <c r="J587" s="12"/>
      <c r="K587" s="12"/>
      <c r="L587" s="12"/>
      <c r="M587" s="12"/>
      <c r="N587" s="12"/>
      <c r="O587" s="12" t="str">
        <f>"522.92"</f>
        <v>522.92</v>
      </c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 t="str">
        <f>"326.95"</f>
        <v>326.95</v>
      </c>
      <c r="AA587" s="12" t="str">
        <f>"269.49"</f>
        <v>269.49</v>
      </c>
    </row>
    <row r="588" spans="1:27">
      <c r="A588" s="9">
        <v>586</v>
      </c>
      <c r="B588" s="9">
        <v>8021</v>
      </c>
      <c r="C588" s="9" t="s">
        <v>1196</v>
      </c>
      <c r="D588" s="9" t="s">
        <v>562</v>
      </c>
      <c r="E588" s="10" t="str">
        <f>"298.45"</f>
        <v>298.45</v>
      </c>
      <c r="F588" s="11" t="s">
        <v>11</v>
      </c>
      <c r="G588" s="11">
        <v>2017</v>
      </c>
      <c r="H588" s="12" t="str">
        <f>"270.45"</f>
        <v>270.45</v>
      </c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>
      <c r="A589" s="9">
        <v>587</v>
      </c>
      <c r="B589" s="9">
        <v>10900</v>
      </c>
      <c r="C589" s="9" t="s">
        <v>739</v>
      </c>
      <c r="D589" s="9" t="s">
        <v>10</v>
      </c>
      <c r="E589" s="10" t="str">
        <f>"298.48"</f>
        <v>298.48</v>
      </c>
      <c r="F589" s="11"/>
      <c r="G589" s="11">
        <v>2017</v>
      </c>
      <c r="H589" s="12" t="str">
        <f>"329.40"</f>
        <v>329.40</v>
      </c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 t="str">
        <f>"349.60"</f>
        <v>349.60</v>
      </c>
      <c r="V589" s="12"/>
      <c r="W589" s="12"/>
      <c r="X589" s="12" t="str">
        <f>"460.72"</f>
        <v>460.72</v>
      </c>
      <c r="Y589" s="12"/>
      <c r="Z589" s="12" t="str">
        <f>"247.35"</f>
        <v>247.35</v>
      </c>
      <c r="AA589" s="12"/>
    </row>
    <row r="590" spans="1:27">
      <c r="A590" s="9">
        <v>588</v>
      </c>
      <c r="B590" s="9">
        <v>3398</v>
      </c>
      <c r="C590" s="9" t="s">
        <v>956</v>
      </c>
      <c r="D590" s="9" t="s">
        <v>85</v>
      </c>
      <c r="E590" s="10" t="str">
        <f>"299.12"</f>
        <v>299.12</v>
      </c>
      <c r="F590" s="11" t="s">
        <v>9</v>
      </c>
      <c r="G590" s="11">
        <v>2017</v>
      </c>
      <c r="H590" s="12" t="str">
        <f>"233.21"</f>
        <v>233.21</v>
      </c>
      <c r="I590" s="12"/>
      <c r="J590" s="12"/>
      <c r="K590" s="12"/>
      <c r="L590" s="12" t="str">
        <f>"271.12"</f>
        <v>271.12</v>
      </c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>
      <c r="A591" s="9">
        <v>589</v>
      </c>
      <c r="B591" s="9">
        <v>7323</v>
      </c>
      <c r="C591" s="9" t="s">
        <v>1176</v>
      </c>
      <c r="D591" s="9" t="s">
        <v>71</v>
      </c>
      <c r="E591" s="10" t="str">
        <f>"299.34"</f>
        <v>299.34</v>
      </c>
      <c r="F591" s="11" t="s">
        <v>11</v>
      </c>
      <c r="G591" s="11">
        <v>2017</v>
      </c>
      <c r="H591" s="12" t="str">
        <f>"271.34"</f>
        <v>271.34</v>
      </c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>
      <c r="A592" s="9">
        <v>590</v>
      </c>
      <c r="B592" s="9">
        <v>6393</v>
      </c>
      <c r="C592" s="9" t="s">
        <v>1221</v>
      </c>
      <c r="D592" s="9" t="s">
        <v>17</v>
      </c>
      <c r="E592" s="10" t="str">
        <f>"299.79"</f>
        <v>299.79</v>
      </c>
      <c r="F592" s="11" t="s">
        <v>11</v>
      </c>
      <c r="G592" s="11">
        <v>2017</v>
      </c>
      <c r="H592" s="12" t="str">
        <f>"271.79"</f>
        <v>271.79</v>
      </c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>
      <c r="A593" s="9">
        <v>591</v>
      </c>
      <c r="B593" s="9">
        <v>6707</v>
      </c>
      <c r="C593" s="9" t="s">
        <v>826</v>
      </c>
      <c r="D593" s="9" t="s">
        <v>60</v>
      </c>
      <c r="E593" s="10" t="str">
        <f>"299.86"</f>
        <v>299.86</v>
      </c>
      <c r="F593" s="11" t="s">
        <v>9</v>
      </c>
      <c r="G593" s="11">
        <v>2017</v>
      </c>
      <c r="H593" s="12" t="str">
        <f>"299.27"</f>
        <v>299.27</v>
      </c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 t="str">
        <f>"271.86"</f>
        <v>271.86</v>
      </c>
      <c r="X593" s="12"/>
      <c r="Y593" s="12"/>
      <c r="Z593" s="12"/>
      <c r="AA593" s="12"/>
    </row>
    <row r="594" spans="1:27">
      <c r="A594" s="9">
        <v>592</v>
      </c>
      <c r="B594" s="9">
        <v>10892</v>
      </c>
      <c r="C594" s="9" t="s">
        <v>714</v>
      </c>
      <c r="D594" s="9" t="s">
        <v>10</v>
      </c>
      <c r="E594" s="10" t="str">
        <f>"300.04"</f>
        <v>300.04</v>
      </c>
      <c r="F594" s="11"/>
      <c r="G594" s="11">
        <v>2017</v>
      </c>
      <c r="H594" s="12" t="str">
        <f>"418.52"</f>
        <v>418.52</v>
      </c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 t="str">
        <f>"267.54"</f>
        <v>267.54</v>
      </c>
      <c r="T594" s="12" t="str">
        <f>"332.54"</f>
        <v>332.54</v>
      </c>
      <c r="U594" s="12"/>
      <c r="V594" s="12"/>
      <c r="W594" s="12"/>
      <c r="X594" s="12"/>
      <c r="Y594" s="12"/>
      <c r="Z594" s="12"/>
      <c r="AA594" s="12"/>
    </row>
    <row r="595" spans="1:27">
      <c r="A595" s="9">
        <v>593</v>
      </c>
      <c r="B595" s="9">
        <v>10576</v>
      </c>
      <c r="C595" s="9" t="s">
        <v>815</v>
      </c>
      <c r="D595" s="9" t="s">
        <v>10</v>
      </c>
      <c r="E595" s="10" t="str">
        <f>"300.05"</f>
        <v>300.05</v>
      </c>
      <c r="F595" s="11" t="s">
        <v>11</v>
      </c>
      <c r="G595" s="11">
        <v>2017</v>
      </c>
      <c r="H595" s="12" t="str">
        <f>"272.05"</f>
        <v>272.05</v>
      </c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>
      <c r="A596" s="9">
        <v>594</v>
      </c>
      <c r="B596" s="9">
        <v>5746</v>
      </c>
      <c r="C596" s="9" t="s">
        <v>816</v>
      </c>
      <c r="D596" s="9" t="s">
        <v>134</v>
      </c>
      <c r="E596" s="10" t="str">
        <f>"300.34"</f>
        <v>300.34</v>
      </c>
      <c r="F596" s="11"/>
      <c r="G596" s="11">
        <v>2017</v>
      </c>
      <c r="H596" s="12" t="str">
        <f>"345.89"</f>
        <v>345.89</v>
      </c>
      <c r="I596" s="12"/>
      <c r="J596" s="12"/>
      <c r="K596" s="12"/>
      <c r="L596" s="12"/>
      <c r="M596" s="12"/>
      <c r="N596" s="12"/>
      <c r="O596" s="12"/>
      <c r="P596" s="12"/>
      <c r="Q596" s="12" t="str">
        <f>"334.24"</f>
        <v>334.24</v>
      </c>
      <c r="R596" s="12"/>
      <c r="S596" s="12"/>
      <c r="T596" s="12"/>
      <c r="U596" s="12"/>
      <c r="V596" s="12"/>
      <c r="W596" s="12" t="str">
        <f>"266.43"</f>
        <v>266.43</v>
      </c>
      <c r="X596" s="12"/>
      <c r="Y596" s="12"/>
      <c r="Z596" s="12"/>
      <c r="AA596" s="12"/>
    </row>
    <row r="597" spans="1:27">
      <c r="A597" s="9">
        <v>595</v>
      </c>
      <c r="B597" s="9">
        <v>8066</v>
      </c>
      <c r="C597" s="9" t="s">
        <v>950</v>
      </c>
      <c r="D597" s="9" t="s">
        <v>951</v>
      </c>
      <c r="E597" s="10" t="str">
        <f>"300.36"</f>
        <v>300.36</v>
      </c>
      <c r="F597" s="11" t="s">
        <v>11</v>
      </c>
      <c r="G597" s="11">
        <v>2017</v>
      </c>
      <c r="H597" s="12" t="str">
        <f>"272.36"</f>
        <v>272.36</v>
      </c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>
      <c r="A598" s="9">
        <v>596</v>
      </c>
      <c r="B598" s="9">
        <v>10717</v>
      </c>
      <c r="C598" s="9" t="s">
        <v>765</v>
      </c>
      <c r="D598" s="9" t="s">
        <v>19</v>
      </c>
      <c r="E598" s="10" t="str">
        <f>"300.62"</f>
        <v>300.62</v>
      </c>
      <c r="F598" s="11" t="s">
        <v>9</v>
      </c>
      <c r="G598" s="11">
        <v>2017</v>
      </c>
      <c r="H598" s="12" t="str">
        <f>"701.32"</f>
        <v>701.32</v>
      </c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 t="str">
        <f>"272.62"</f>
        <v>272.62</v>
      </c>
      <c r="V598" s="12"/>
      <c r="W598" s="12"/>
      <c r="X598" s="12"/>
      <c r="Y598" s="12"/>
      <c r="Z598" s="12"/>
      <c r="AA598" s="12"/>
    </row>
    <row r="599" spans="1:27">
      <c r="A599" s="9">
        <v>597</v>
      </c>
      <c r="B599" s="9">
        <v>11082</v>
      </c>
      <c r="C599" s="9" t="s">
        <v>800</v>
      </c>
      <c r="D599" s="9" t="s">
        <v>10</v>
      </c>
      <c r="E599" s="10" t="str">
        <f>"301.63"</f>
        <v>301.63</v>
      </c>
      <c r="F599" s="11"/>
      <c r="G599" s="11">
        <v>2017</v>
      </c>
      <c r="H599" s="12" t="str">
        <f>"507.32"</f>
        <v>507.32</v>
      </c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 t="str">
        <f>"339.19"</f>
        <v>339.19</v>
      </c>
      <c r="T599" s="12" t="str">
        <f>"417.82"</f>
        <v>417.82</v>
      </c>
      <c r="U599" s="12"/>
      <c r="V599" s="12"/>
      <c r="W599" s="12"/>
      <c r="X599" s="12"/>
      <c r="Y599" s="12"/>
      <c r="Z599" s="12" t="str">
        <f>"344.79"</f>
        <v>344.79</v>
      </c>
      <c r="AA599" s="12" t="str">
        <f>"264.07"</f>
        <v>264.07</v>
      </c>
    </row>
    <row r="600" spans="1:27">
      <c r="A600" s="9">
        <v>598</v>
      </c>
      <c r="B600" s="9">
        <v>3310</v>
      </c>
      <c r="C600" s="9" t="s">
        <v>844</v>
      </c>
      <c r="D600" s="9" t="s">
        <v>248</v>
      </c>
      <c r="E600" s="10" t="str">
        <f>"301.70"</f>
        <v>301.70</v>
      </c>
      <c r="F600" s="11" t="s">
        <v>11</v>
      </c>
      <c r="G600" s="11">
        <v>2017</v>
      </c>
      <c r="H600" s="12" t="str">
        <f>"273.70"</f>
        <v>273.70</v>
      </c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>
      <c r="A601" s="9">
        <v>599</v>
      </c>
      <c r="B601" s="9">
        <v>10899</v>
      </c>
      <c r="C601" s="9" t="s">
        <v>548</v>
      </c>
      <c r="D601" s="9" t="s">
        <v>10</v>
      </c>
      <c r="E601" s="10" t="str">
        <f>"301.83"</f>
        <v>301.83</v>
      </c>
      <c r="F601" s="11"/>
      <c r="G601" s="11">
        <v>2017</v>
      </c>
      <c r="H601" s="12" t="str">
        <f>"446.21"</f>
        <v>446.21</v>
      </c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 t="str">
        <f>"339.10"</f>
        <v>339.10</v>
      </c>
      <c r="T601" s="12"/>
      <c r="U601" s="12"/>
      <c r="V601" s="12"/>
      <c r="W601" s="12"/>
      <c r="X601" s="12"/>
      <c r="Y601" s="12"/>
      <c r="Z601" s="12" t="str">
        <f>"264.55"</f>
        <v>264.55</v>
      </c>
      <c r="AA601" s="12" t="str">
        <f>"372.10"</f>
        <v>372.10</v>
      </c>
    </row>
    <row r="602" spans="1:27">
      <c r="A602" s="9">
        <v>600</v>
      </c>
      <c r="B602" s="9">
        <v>5492</v>
      </c>
      <c r="C602" s="9" t="s">
        <v>781</v>
      </c>
      <c r="D602" s="9" t="s">
        <v>10</v>
      </c>
      <c r="E602" s="10" t="str">
        <f>"303.87"</f>
        <v>303.87</v>
      </c>
      <c r="F602" s="11"/>
      <c r="G602" s="11">
        <v>2017</v>
      </c>
      <c r="H602" s="12" t="str">
        <f>"371.05"</f>
        <v>371.05</v>
      </c>
      <c r="I602" s="12" t="str">
        <f>"392.41"</f>
        <v>392.41</v>
      </c>
      <c r="J602" s="12" t="str">
        <f>"338.82"</f>
        <v>338.82</v>
      </c>
      <c r="K602" s="12"/>
      <c r="L602" s="12"/>
      <c r="M602" s="12"/>
      <c r="N602" s="12"/>
      <c r="O602" s="12"/>
      <c r="P602" s="12"/>
      <c r="Q602" s="12"/>
      <c r="R602" s="12"/>
      <c r="S602" s="12" t="str">
        <f>"274.43"</f>
        <v>274.43</v>
      </c>
      <c r="T602" s="12" t="str">
        <f>"333.31"</f>
        <v>333.31</v>
      </c>
      <c r="U602" s="12"/>
      <c r="V602" s="12"/>
      <c r="W602" s="12"/>
      <c r="X602" s="12"/>
      <c r="Y602" s="12"/>
      <c r="Z602" s="12"/>
      <c r="AA602" s="12"/>
    </row>
    <row r="603" spans="1:27">
      <c r="A603" s="9">
        <v>601</v>
      </c>
      <c r="B603" s="9">
        <v>5733</v>
      </c>
      <c r="C603" s="9" t="s">
        <v>897</v>
      </c>
      <c r="D603" s="9" t="s">
        <v>252</v>
      </c>
      <c r="E603" s="10" t="str">
        <f>"304.67"</f>
        <v>304.67</v>
      </c>
      <c r="F603" s="11" t="s">
        <v>11</v>
      </c>
      <c r="G603" s="11">
        <v>2017</v>
      </c>
      <c r="H603" s="12" t="str">
        <f>"276.67"</f>
        <v>276.67</v>
      </c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>
      <c r="A604" s="9">
        <v>602</v>
      </c>
      <c r="B604" s="9">
        <v>3195</v>
      </c>
      <c r="C604" s="9" t="s">
        <v>513</v>
      </c>
      <c r="D604" s="9" t="s">
        <v>189</v>
      </c>
      <c r="E604" s="10" t="str">
        <f>"304.81"</f>
        <v>304.81</v>
      </c>
      <c r="F604" s="11" t="s">
        <v>9</v>
      </c>
      <c r="G604" s="11">
        <v>2017</v>
      </c>
      <c r="H604" s="12"/>
      <c r="I604" s="12"/>
      <c r="J604" s="12"/>
      <c r="K604" s="12"/>
      <c r="L604" s="12"/>
      <c r="M604" s="12"/>
      <c r="N604" s="12"/>
      <c r="O604" s="12"/>
      <c r="P604" s="12" t="str">
        <f>"276.81"</f>
        <v>276.81</v>
      </c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>
      <c r="A605" s="9">
        <v>603</v>
      </c>
      <c r="B605" s="9">
        <v>5511</v>
      </c>
      <c r="C605" s="9" t="s">
        <v>810</v>
      </c>
      <c r="D605" s="9" t="s">
        <v>57</v>
      </c>
      <c r="E605" s="10" t="str">
        <f>"304.97"</f>
        <v>304.97</v>
      </c>
      <c r="F605" s="11" t="s">
        <v>9</v>
      </c>
      <c r="G605" s="11">
        <v>2017</v>
      </c>
      <c r="H605" s="12" t="str">
        <f>"339.99"</f>
        <v>339.99</v>
      </c>
      <c r="I605" s="12"/>
      <c r="J605" s="12"/>
      <c r="K605" s="12"/>
      <c r="L605" s="12"/>
      <c r="M605" s="12" t="str">
        <f>"276.97"</f>
        <v>276.97</v>
      </c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>
      <c r="A606" s="9">
        <v>604</v>
      </c>
      <c r="B606" s="9">
        <v>311</v>
      </c>
      <c r="C606" s="9" t="s">
        <v>392</v>
      </c>
      <c r="D606" s="9" t="s">
        <v>74</v>
      </c>
      <c r="E606" s="10" t="str">
        <f>"305.26"</f>
        <v>305.26</v>
      </c>
      <c r="F606" s="11" t="s">
        <v>11</v>
      </c>
      <c r="G606" s="11">
        <v>2017</v>
      </c>
      <c r="H606" s="12" t="str">
        <f>"277.26"</f>
        <v>277.26</v>
      </c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>
      <c r="A607" s="9">
        <v>605</v>
      </c>
      <c r="B607" s="9">
        <v>10415</v>
      </c>
      <c r="C607" s="9" t="s">
        <v>458</v>
      </c>
      <c r="D607" s="9" t="s">
        <v>19</v>
      </c>
      <c r="E607" s="10" t="str">
        <f>"305.31"</f>
        <v>305.31</v>
      </c>
      <c r="F607" s="11"/>
      <c r="G607" s="11">
        <v>2017</v>
      </c>
      <c r="H607" s="12" t="str">
        <f>"314.39"</f>
        <v>314.39</v>
      </c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 t="str">
        <f>"264.69"</f>
        <v>264.69</v>
      </c>
      <c r="Z607" s="12" t="str">
        <f>"354.77"</f>
        <v>354.77</v>
      </c>
      <c r="AA607" s="12" t="str">
        <f>"345.93"</f>
        <v>345.93</v>
      </c>
    </row>
    <row r="608" spans="1:27">
      <c r="A608" s="9">
        <v>606</v>
      </c>
      <c r="B608" s="9">
        <v>10442</v>
      </c>
      <c r="C608" s="9" t="s">
        <v>785</v>
      </c>
      <c r="D608" s="9" t="s">
        <v>10</v>
      </c>
      <c r="E608" s="10" t="str">
        <f>"305.44"</f>
        <v>305.44</v>
      </c>
      <c r="F608" s="11"/>
      <c r="G608" s="11">
        <v>2017</v>
      </c>
      <c r="H608" s="12" t="str">
        <f>"358.11"</f>
        <v>358.11</v>
      </c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 t="str">
        <f>"337.09"</f>
        <v>337.09</v>
      </c>
      <c r="T608" s="12" t="str">
        <f>"418.28"</f>
        <v>418.28</v>
      </c>
      <c r="U608" s="12"/>
      <c r="V608" s="12"/>
      <c r="W608" s="12"/>
      <c r="X608" s="12"/>
      <c r="Y608" s="12"/>
      <c r="Z608" s="12" t="str">
        <f>"273.79"</f>
        <v>273.79</v>
      </c>
      <c r="AA608" s="12"/>
    </row>
    <row r="609" spans="1:27">
      <c r="A609" s="9">
        <v>607</v>
      </c>
      <c r="B609" s="9">
        <v>2268</v>
      </c>
      <c r="C609" s="9" t="s">
        <v>565</v>
      </c>
      <c r="D609" s="9" t="s">
        <v>10</v>
      </c>
      <c r="E609" s="10" t="str">
        <f>"305.85"</f>
        <v>305.85</v>
      </c>
      <c r="F609" s="11" t="s">
        <v>9</v>
      </c>
      <c r="G609" s="11">
        <v>2017</v>
      </c>
      <c r="H609" s="12" t="str">
        <f>"218.13"</f>
        <v>218.13</v>
      </c>
      <c r="I609" s="12"/>
      <c r="J609" s="12" t="str">
        <f>"277.85"</f>
        <v>277.85</v>
      </c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>
      <c r="A610" s="9">
        <v>608</v>
      </c>
      <c r="B610" s="9">
        <v>11121</v>
      </c>
      <c r="C610" s="9" t="s">
        <v>694</v>
      </c>
      <c r="D610" s="9" t="s">
        <v>19</v>
      </c>
      <c r="E610" s="10" t="str">
        <f>"306.24"</f>
        <v>306.24</v>
      </c>
      <c r="F610" s="11"/>
      <c r="G610" s="11">
        <v>2017</v>
      </c>
      <c r="H610" s="12"/>
      <c r="I610" s="12"/>
      <c r="J610" s="12"/>
      <c r="K610" s="12" t="str">
        <f>"274.62"</f>
        <v>274.62</v>
      </c>
      <c r="L610" s="12"/>
      <c r="M610" s="12"/>
      <c r="N610" s="12" t="str">
        <f>"337.85"</f>
        <v>337.85</v>
      </c>
      <c r="O610" s="12" t="str">
        <f>"339.58"</f>
        <v>339.58</v>
      </c>
      <c r="P610" s="12"/>
      <c r="Q610" s="12"/>
      <c r="R610" s="12" t="str">
        <f>"634.16"</f>
        <v>634.16</v>
      </c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>
      <c r="A611" s="9">
        <v>609</v>
      </c>
      <c r="B611" s="9">
        <v>7651</v>
      </c>
      <c r="C611" s="9" t="s">
        <v>632</v>
      </c>
      <c r="D611" s="9" t="s">
        <v>77</v>
      </c>
      <c r="E611" s="10" t="str">
        <f>"306.42"</f>
        <v>306.42</v>
      </c>
      <c r="F611" s="11" t="s">
        <v>9</v>
      </c>
      <c r="G611" s="11">
        <v>2017</v>
      </c>
      <c r="H611" s="12" t="str">
        <f>"236.85"</f>
        <v>236.85</v>
      </c>
      <c r="I611" s="12"/>
      <c r="J611" s="12"/>
      <c r="K611" s="12"/>
      <c r="L611" s="12" t="str">
        <f>"278.42"</f>
        <v>278.42</v>
      </c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>
      <c r="A612" s="9">
        <v>610</v>
      </c>
      <c r="B612" s="9">
        <v>4846</v>
      </c>
      <c r="C612" s="9" t="s">
        <v>356</v>
      </c>
      <c r="D612" s="9" t="s">
        <v>20</v>
      </c>
      <c r="E612" s="10" t="str">
        <f>"307.77"</f>
        <v>307.77</v>
      </c>
      <c r="F612" s="11" t="s">
        <v>9</v>
      </c>
      <c r="G612" s="11">
        <v>2017</v>
      </c>
      <c r="H612" s="12" t="str">
        <f>"300.29"</f>
        <v>300.29</v>
      </c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 t="str">
        <f>"279.77"</f>
        <v>279.77</v>
      </c>
      <c r="V612" s="12"/>
      <c r="W612" s="12"/>
      <c r="X612" s="12"/>
      <c r="Y612" s="12"/>
      <c r="Z612" s="12"/>
      <c r="AA612" s="12"/>
    </row>
    <row r="613" spans="1:27">
      <c r="A613" s="9">
        <v>611</v>
      </c>
      <c r="B613" s="9">
        <v>6692</v>
      </c>
      <c r="C613" s="9" t="s">
        <v>797</v>
      </c>
      <c r="D613" s="9" t="s">
        <v>90</v>
      </c>
      <c r="E613" s="10" t="str">
        <f>"307.84"</f>
        <v>307.84</v>
      </c>
      <c r="F613" s="11" t="s">
        <v>11</v>
      </c>
      <c r="G613" s="11">
        <v>2017</v>
      </c>
      <c r="H613" s="12" t="str">
        <f>"279.84"</f>
        <v>279.84</v>
      </c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>
      <c r="A614" s="9">
        <v>612</v>
      </c>
      <c r="B614" s="9">
        <v>5757</v>
      </c>
      <c r="C614" s="9" t="s">
        <v>577</v>
      </c>
      <c r="D614" s="9" t="s">
        <v>16</v>
      </c>
      <c r="E614" s="10" t="str">
        <f>"307.99"</f>
        <v>307.99</v>
      </c>
      <c r="F614" s="11" t="s">
        <v>11</v>
      </c>
      <c r="G614" s="11">
        <v>2017</v>
      </c>
      <c r="H614" s="12" t="str">
        <f>"279.99"</f>
        <v>279.99</v>
      </c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>
      <c r="A615" s="9">
        <v>613</v>
      </c>
      <c r="B615" s="9">
        <v>10148</v>
      </c>
      <c r="C615" s="9" t="s">
        <v>758</v>
      </c>
      <c r="D615" s="9" t="s">
        <v>10</v>
      </c>
      <c r="E615" s="10" t="str">
        <f>"308.04"</f>
        <v>308.04</v>
      </c>
      <c r="F615" s="11"/>
      <c r="G615" s="11">
        <v>2017</v>
      </c>
      <c r="H615" s="12" t="str">
        <f>"535.57"</f>
        <v>535.57</v>
      </c>
      <c r="I615" s="12" t="str">
        <f>"484.68"</f>
        <v>484.68</v>
      </c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 t="str">
        <f>"310.81"</f>
        <v>310.81</v>
      </c>
      <c r="V615" s="12"/>
      <c r="W615" s="12"/>
      <c r="X615" s="12"/>
      <c r="Y615" s="12"/>
      <c r="Z615" s="12" t="str">
        <f>"305.27"</f>
        <v>305.27</v>
      </c>
      <c r="AA615" s="12" t="str">
        <f>"341.01"</f>
        <v>341.01</v>
      </c>
    </row>
    <row r="616" spans="1:27">
      <c r="A616" s="9">
        <v>614</v>
      </c>
      <c r="B616" s="9">
        <v>10153</v>
      </c>
      <c r="C616" s="9" t="s">
        <v>891</v>
      </c>
      <c r="D616" s="9" t="s">
        <v>10</v>
      </c>
      <c r="E616" s="10" t="str">
        <f>"308.40"</f>
        <v>308.40</v>
      </c>
      <c r="F616" s="11"/>
      <c r="G616" s="11">
        <v>2017</v>
      </c>
      <c r="H616" s="12" t="str">
        <f>"306.71"</f>
        <v>306.71</v>
      </c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 t="str">
        <f>"297.47"</f>
        <v>297.47</v>
      </c>
      <c r="T616" s="12"/>
      <c r="U616" s="12"/>
      <c r="V616" s="12"/>
      <c r="W616" s="12"/>
      <c r="X616" s="12"/>
      <c r="Y616" s="12"/>
      <c r="Z616" s="12" t="str">
        <f>"322.74"</f>
        <v>322.74</v>
      </c>
      <c r="AA616" s="12" t="str">
        <f>"319.33"</f>
        <v>319.33</v>
      </c>
    </row>
    <row r="617" spans="1:27">
      <c r="A617" s="9">
        <v>615</v>
      </c>
      <c r="B617" s="9">
        <v>11022</v>
      </c>
      <c r="C617" s="9" t="s">
        <v>677</v>
      </c>
      <c r="D617" s="9" t="s">
        <v>82</v>
      </c>
      <c r="E617" s="10" t="str">
        <f>"308.91"</f>
        <v>308.91</v>
      </c>
      <c r="F617" s="11" t="s">
        <v>11</v>
      </c>
      <c r="G617" s="11">
        <v>2017</v>
      </c>
      <c r="H617" s="12" t="str">
        <f>"280.91"</f>
        <v>280.91</v>
      </c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>
      <c r="A618" s="9">
        <v>616</v>
      </c>
      <c r="B618" s="9">
        <v>6590</v>
      </c>
      <c r="C618" s="9" t="s">
        <v>832</v>
      </c>
      <c r="D618" s="9" t="s">
        <v>14</v>
      </c>
      <c r="E618" s="10" t="str">
        <f>"309.27"</f>
        <v>309.27</v>
      </c>
      <c r="F618" s="11" t="s">
        <v>11</v>
      </c>
      <c r="G618" s="11">
        <v>2017</v>
      </c>
      <c r="H618" s="12" t="str">
        <f>"281.27"</f>
        <v>281.27</v>
      </c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>
      <c r="A619" s="9">
        <v>617</v>
      </c>
      <c r="B619" s="9">
        <v>10426</v>
      </c>
      <c r="C619" s="9" t="s">
        <v>892</v>
      </c>
      <c r="D619" s="9" t="s">
        <v>19</v>
      </c>
      <c r="E619" s="10" t="str">
        <f>"309.72"</f>
        <v>309.72</v>
      </c>
      <c r="F619" s="11"/>
      <c r="G619" s="11">
        <v>2017</v>
      </c>
      <c r="H619" s="12" t="str">
        <f>"583.09"</f>
        <v>583.09</v>
      </c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 t="str">
        <f>"340.83"</f>
        <v>340.83</v>
      </c>
      <c r="W619" s="12"/>
      <c r="X619" s="12"/>
      <c r="Y619" s="12" t="str">
        <f>"282.06"</f>
        <v>282.06</v>
      </c>
      <c r="Z619" s="12" t="str">
        <f>"337.38"</f>
        <v>337.38</v>
      </c>
      <c r="AA619" s="12"/>
    </row>
    <row r="620" spans="1:27">
      <c r="A620" s="9">
        <v>618</v>
      </c>
      <c r="B620" s="9">
        <v>2292</v>
      </c>
      <c r="C620" s="9" t="s">
        <v>630</v>
      </c>
      <c r="D620" s="9" t="s">
        <v>10</v>
      </c>
      <c r="E620" s="10" t="str">
        <f>"310.18"</f>
        <v>310.18</v>
      </c>
      <c r="F620" s="11" t="s">
        <v>11</v>
      </c>
      <c r="G620" s="11">
        <v>2017</v>
      </c>
      <c r="H620" s="12" t="str">
        <f>"282.18"</f>
        <v>282.18</v>
      </c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>
      <c r="A621" s="9">
        <v>619</v>
      </c>
      <c r="B621" s="9">
        <v>2278</v>
      </c>
      <c r="C621" s="9" t="s">
        <v>706</v>
      </c>
      <c r="D621" s="9" t="s">
        <v>10</v>
      </c>
      <c r="E621" s="10" t="str">
        <f>"310.38"</f>
        <v>310.38</v>
      </c>
      <c r="F621" s="11"/>
      <c r="G621" s="11">
        <v>2017</v>
      </c>
      <c r="H621" s="12" t="str">
        <f>"282.20"</f>
        <v>282.20</v>
      </c>
      <c r="I621" s="12" t="str">
        <f>"327.82"</f>
        <v>327.82</v>
      </c>
      <c r="J621" s="12"/>
      <c r="K621" s="12"/>
      <c r="L621" s="12"/>
      <c r="M621" s="12"/>
      <c r="N621" s="12"/>
      <c r="O621" s="12"/>
      <c r="P621" s="12"/>
      <c r="Q621" s="12"/>
      <c r="R621" s="12"/>
      <c r="S621" s="12" t="str">
        <f>"292.93"</f>
        <v>292.93</v>
      </c>
      <c r="T621" s="12" t="str">
        <f>"372.59"</f>
        <v>372.59</v>
      </c>
      <c r="U621" s="12"/>
      <c r="V621" s="12"/>
      <c r="W621" s="12"/>
      <c r="X621" s="12"/>
      <c r="Y621" s="12"/>
      <c r="Z621" s="12"/>
      <c r="AA621" s="12"/>
    </row>
    <row r="622" spans="1:27">
      <c r="A622" s="9">
        <v>620</v>
      </c>
      <c r="B622" s="9">
        <v>13</v>
      </c>
      <c r="C622" s="9" t="s">
        <v>806</v>
      </c>
      <c r="D622" s="9" t="s">
        <v>88</v>
      </c>
      <c r="E622" s="10" t="str">
        <f>"310.76"</f>
        <v>310.76</v>
      </c>
      <c r="F622" s="11" t="s">
        <v>9</v>
      </c>
      <c r="G622" s="11">
        <v>2017</v>
      </c>
      <c r="H622" s="12" t="str">
        <f>"224.59"</f>
        <v>224.59</v>
      </c>
      <c r="I622" s="12"/>
      <c r="J622" s="12"/>
      <c r="K622" s="12"/>
      <c r="L622" s="12"/>
      <c r="M622" s="12"/>
      <c r="N622" s="12"/>
      <c r="O622" s="12"/>
      <c r="P622" s="12"/>
      <c r="Q622" s="12" t="str">
        <f>"282.76"</f>
        <v>282.76</v>
      </c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>
      <c r="A623" s="9">
        <v>621</v>
      </c>
      <c r="B623" s="9">
        <v>11253</v>
      </c>
      <c r="C623" s="9" t="s">
        <v>657</v>
      </c>
      <c r="D623" s="9" t="s">
        <v>10</v>
      </c>
      <c r="E623" s="10" t="str">
        <f>"311.35"</f>
        <v>311.35</v>
      </c>
      <c r="F623" s="11"/>
      <c r="G623" s="11">
        <v>2017</v>
      </c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 t="str">
        <f>"378.46"</f>
        <v>378.46</v>
      </c>
      <c r="T623" s="12"/>
      <c r="U623" s="12"/>
      <c r="V623" s="12"/>
      <c r="W623" s="12"/>
      <c r="X623" s="12"/>
      <c r="Y623" s="12"/>
      <c r="Z623" s="12" t="str">
        <f>"319.27"</f>
        <v>319.27</v>
      </c>
      <c r="AA623" s="12" t="str">
        <f>"303.43"</f>
        <v>303.43</v>
      </c>
    </row>
    <row r="624" spans="1:27">
      <c r="A624" s="9">
        <v>622</v>
      </c>
      <c r="B624" s="9">
        <v>8313</v>
      </c>
      <c r="C624" s="9" t="s">
        <v>569</v>
      </c>
      <c r="D624" s="9" t="s">
        <v>105</v>
      </c>
      <c r="E624" s="10" t="str">
        <f>"311.75"</f>
        <v>311.75</v>
      </c>
      <c r="F624" s="11"/>
      <c r="G624" s="11">
        <v>2017</v>
      </c>
      <c r="H624" s="12" t="str">
        <f>"199.59"</f>
        <v>199.59</v>
      </c>
      <c r="I624" s="12"/>
      <c r="J624" s="12"/>
      <c r="K624" s="12"/>
      <c r="L624" s="12" t="str">
        <f>"280.55"</f>
        <v>280.55</v>
      </c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 t="str">
        <f>"342.95"</f>
        <v>342.95</v>
      </c>
      <c r="X624" s="12"/>
      <c r="Y624" s="12"/>
      <c r="Z624" s="12"/>
      <c r="AA624" s="12"/>
    </row>
    <row r="625" spans="1:27">
      <c r="A625" s="9">
        <v>623</v>
      </c>
      <c r="B625" s="9">
        <v>5407</v>
      </c>
      <c r="C625" s="9" t="s">
        <v>754</v>
      </c>
      <c r="D625" s="9" t="s">
        <v>95</v>
      </c>
      <c r="E625" s="10" t="str">
        <f>"311.90"</f>
        <v>311.90</v>
      </c>
      <c r="F625" s="11" t="s">
        <v>9</v>
      </c>
      <c r="G625" s="11">
        <v>2017</v>
      </c>
      <c r="H625" s="12" t="str">
        <f>"242.02"</f>
        <v>242.02</v>
      </c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 t="str">
        <f>"283.90"</f>
        <v>283.90</v>
      </c>
      <c r="V625" s="12"/>
      <c r="W625" s="12"/>
      <c r="X625" s="12"/>
      <c r="Y625" s="12"/>
      <c r="Z625" s="12"/>
      <c r="AA625" s="12"/>
    </row>
    <row r="626" spans="1:27">
      <c r="A626" s="9">
        <v>624</v>
      </c>
      <c r="B626" s="9">
        <v>4128</v>
      </c>
      <c r="C626" s="9" t="s">
        <v>551</v>
      </c>
      <c r="D626" s="9" t="s">
        <v>51</v>
      </c>
      <c r="E626" s="10" t="str">
        <f>"311.95"</f>
        <v>311.95</v>
      </c>
      <c r="F626" s="11"/>
      <c r="G626" s="11">
        <v>2017</v>
      </c>
      <c r="H626" s="12" t="str">
        <f>"290.78"</f>
        <v>290.78</v>
      </c>
      <c r="I626" s="12"/>
      <c r="J626" s="12"/>
      <c r="K626" s="12"/>
      <c r="L626" s="12"/>
      <c r="M626" s="12"/>
      <c r="N626" s="12"/>
      <c r="O626" s="12"/>
      <c r="P626" s="12" t="str">
        <f>"283.14"</f>
        <v>283.14</v>
      </c>
      <c r="Q626" s="12"/>
      <c r="R626" s="12"/>
      <c r="S626" s="12"/>
      <c r="T626" s="12"/>
      <c r="U626" s="12" t="str">
        <f>"347.76"</f>
        <v>347.76</v>
      </c>
      <c r="V626" s="12"/>
      <c r="W626" s="12"/>
      <c r="X626" s="12" t="str">
        <f>"340.76"</f>
        <v>340.76</v>
      </c>
      <c r="Y626" s="12"/>
      <c r="Z626" s="12"/>
      <c r="AA626" s="12"/>
    </row>
    <row r="627" spans="1:27">
      <c r="A627" s="9">
        <v>625</v>
      </c>
      <c r="B627" s="9">
        <v>11225</v>
      </c>
      <c r="C627" s="9" t="s">
        <v>680</v>
      </c>
      <c r="D627" s="9" t="s">
        <v>19</v>
      </c>
      <c r="E627" s="10" t="str">
        <f>"312.19"</f>
        <v>312.19</v>
      </c>
      <c r="F627" s="11"/>
      <c r="G627" s="11">
        <v>2017</v>
      </c>
      <c r="H627" s="12"/>
      <c r="I627" s="12"/>
      <c r="J627" s="12"/>
      <c r="K627" s="12"/>
      <c r="L627" s="12"/>
      <c r="M627" s="12"/>
      <c r="N627" s="12"/>
      <c r="O627" s="12" t="str">
        <f>"384.25"</f>
        <v>384.25</v>
      </c>
      <c r="P627" s="12"/>
      <c r="Q627" s="12"/>
      <c r="R627" s="12" t="str">
        <f>"565.62"</f>
        <v>565.62</v>
      </c>
      <c r="S627" s="12"/>
      <c r="T627" s="12"/>
      <c r="U627" s="12"/>
      <c r="V627" s="12"/>
      <c r="W627" s="12"/>
      <c r="X627" s="12"/>
      <c r="Y627" s="12" t="str">
        <f>"240.12"</f>
        <v>240.12</v>
      </c>
      <c r="Z627" s="12"/>
      <c r="AA627" s="12"/>
    </row>
    <row r="628" spans="1:27">
      <c r="A628" s="9">
        <v>626</v>
      </c>
      <c r="B628" s="9">
        <v>5713</v>
      </c>
      <c r="C628" s="9" t="s">
        <v>761</v>
      </c>
      <c r="D628" s="9" t="s">
        <v>63</v>
      </c>
      <c r="E628" s="10" t="str">
        <f>"312.23"</f>
        <v>312.23</v>
      </c>
      <c r="F628" s="11" t="s">
        <v>9</v>
      </c>
      <c r="G628" s="11">
        <v>2017</v>
      </c>
      <c r="H628" s="12" t="str">
        <f>"369.69"</f>
        <v>369.69</v>
      </c>
      <c r="I628" s="12"/>
      <c r="J628" s="12"/>
      <c r="K628" s="12"/>
      <c r="L628" s="12"/>
      <c r="M628" s="12"/>
      <c r="N628" s="12"/>
      <c r="O628" s="12"/>
      <c r="P628" s="12" t="str">
        <f>"284.23"</f>
        <v>284.23</v>
      </c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>
      <c r="A629" s="9">
        <v>627</v>
      </c>
      <c r="B629" s="9">
        <v>4113</v>
      </c>
      <c r="C629" s="9" t="s">
        <v>978</v>
      </c>
      <c r="D629" s="9" t="s">
        <v>88</v>
      </c>
      <c r="E629" s="10" t="str">
        <f>"312.25"</f>
        <v>312.25</v>
      </c>
      <c r="F629" s="11" t="s">
        <v>11</v>
      </c>
      <c r="G629" s="11">
        <v>2017</v>
      </c>
      <c r="H629" s="12" t="str">
        <f>"284.25"</f>
        <v>284.25</v>
      </c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>
      <c r="A630" s="9">
        <v>628</v>
      </c>
      <c r="B630" s="9">
        <v>10809</v>
      </c>
      <c r="C630" s="9" t="s">
        <v>775</v>
      </c>
      <c r="D630" s="9" t="s">
        <v>19</v>
      </c>
      <c r="E630" s="10" t="str">
        <f>"312.67"</f>
        <v>312.67</v>
      </c>
      <c r="F630" s="11"/>
      <c r="G630" s="11">
        <v>2017</v>
      </c>
      <c r="H630" s="12" t="str">
        <f>"420.25"</f>
        <v>420.25</v>
      </c>
      <c r="I630" s="12"/>
      <c r="J630" s="12"/>
      <c r="K630" s="12"/>
      <c r="L630" s="12"/>
      <c r="M630" s="12"/>
      <c r="N630" s="12" t="str">
        <f>"357.45"</f>
        <v>357.45</v>
      </c>
      <c r="O630" s="12"/>
      <c r="P630" s="12"/>
      <c r="Q630" s="12"/>
      <c r="R630" s="12" t="str">
        <f>"599.42"</f>
        <v>599.42</v>
      </c>
      <c r="S630" s="12"/>
      <c r="T630" s="12"/>
      <c r="U630" s="12"/>
      <c r="V630" s="12" t="str">
        <f>"267.88"</f>
        <v>267.88</v>
      </c>
      <c r="W630" s="12"/>
      <c r="X630" s="12"/>
      <c r="Y630" s="12"/>
      <c r="Z630" s="12"/>
      <c r="AA630" s="12"/>
    </row>
    <row r="631" spans="1:27">
      <c r="A631" s="9">
        <v>629</v>
      </c>
      <c r="B631" s="9">
        <v>10438</v>
      </c>
      <c r="C631" s="9" t="s">
        <v>384</v>
      </c>
      <c r="D631" s="9" t="s">
        <v>19</v>
      </c>
      <c r="E631" s="10" t="str">
        <f>"313.04"</f>
        <v>313.04</v>
      </c>
      <c r="F631" s="11"/>
      <c r="G631" s="11">
        <v>2017</v>
      </c>
      <c r="H631" s="12" t="str">
        <f>"400.66"</f>
        <v>400.66</v>
      </c>
      <c r="I631" s="12"/>
      <c r="J631" s="12"/>
      <c r="K631" s="12"/>
      <c r="L631" s="12"/>
      <c r="M631" s="12"/>
      <c r="N631" s="12"/>
      <c r="O631" s="12"/>
      <c r="P631" s="12"/>
      <c r="Q631" s="12"/>
      <c r="R631" s="12" t="str">
        <f>"683.60"</f>
        <v>683.60</v>
      </c>
      <c r="S631" s="12"/>
      <c r="T631" s="12"/>
      <c r="U631" s="12"/>
      <c r="V631" s="12"/>
      <c r="W631" s="12"/>
      <c r="X631" s="12"/>
      <c r="Y631" s="12"/>
      <c r="Z631" s="12" t="str">
        <f>"324.57"</f>
        <v>324.57</v>
      </c>
      <c r="AA631" s="12" t="str">
        <f>"301.51"</f>
        <v>301.51</v>
      </c>
    </row>
    <row r="632" spans="1:27">
      <c r="A632" s="9">
        <v>630</v>
      </c>
      <c r="B632" s="9">
        <v>5903</v>
      </c>
      <c r="C632" s="9" t="s">
        <v>798</v>
      </c>
      <c r="D632" s="9" t="s">
        <v>31</v>
      </c>
      <c r="E632" s="10" t="str">
        <f>"313.64"</f>
        <v>313.64</v>
      </c>
      <c r="F632" s="11" t="s">
        <v>11</v>
      </c>
      <c r="G632" s="11">
        <v>2017</v>
      </c>
      <c r="H632" s="12" t="str">
        <f>"285.64"</f>
        <v>285.64</v>
      </c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>
      <c r="A633" s="9">
        <v>631</v>
      </c>
      <c r="B633" s="9">
        <v>10439</v>
      </c>
      <c r="C633" s="9" t="s">
        <v>882</v>
      </c>
      <c r="D633" s="9" t="s">
        <v>19</v>
      </c>
      <c r="E633" s="10" t="str">
        <f>"313.70"</f>
        <v>313.70</v>
      </c>
      <c r="F633" s="11"/>
      <c r="G633" s="11">
        <v>2017</v>
      </c>
      <c r="H633" s="12" t="str">
        <f>"639.75"</f>
        <v>639.75</v>
      </c>
      <c r="I633" s="12"/>
      <c r="J633" s="12"/>
      <c r="K633" s="12"/>
      <c r="L633" s="12"/>
      <c r="M633" s="12"/>
      <c r="N633" s="12"/>
      <c r="O633" s="12"/>
      <c r="P633" s="12"/>
      <c r="Q633" s="12"/>
      <c r="R633" s="12" t="str">
        <f>"859.92"</f>
        <v>859.92</v>
      </c>
      <c r="S633" s="12"/>
      <c r="T633" s="12"/>
      <c r="U633" s="12"/>
      <c r="V633" s="12"/>
      <c r="W633" s="12"/>
      <c r="X633" s="12"/>
      <c r="Y633" s="12" t="str">
        <f>"255.34"</f>
        <v>255.34</v>
      </c>
      <c r="Z633" s="12" t="str">
        <f>"372.06"</f>
        <v>372.06</v>
      </c>
      <c r="AA633" s="12"/>
    </row>
    <row r="634" spans="1:27">
      <c r="A634" s="9">
        <v>632</v>
      </c>
      <c r="B634" s="9">
        <v>6860</v>
      </c>
      <c r="C634" s="9" t="s">
        <v>686</v>
      </c>
      <c r="D634" s="9" t="s">
        <v>319</v>
      </c>
      <c r="E634" s="10" t="str">
        <f>"314.04"</f>
        <v>314.04</v>
      </c>
      <c r="F634" s="11" t="s">
        <v>9</v>
      </c>
      <c r="G634" s="11">
        <v>2017</v>
      </c>
      <c r="H634" s="12" t="str">
        <f>"349.08"</f>
        <v>349.08</v>
      </c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 t="str">
        <f>"286.04"</f>
        <v>286.04</v>
      </c>
      <c r="V634" s="12"/>
      <c r="W634" s="12"/>
      <c r="X634" s="12"/>
      <c r="Y634" s="12"/>
      <c r="Z634" s="12"/>
      <c r="AA634" s="12"/>
    </row>
    <row r="635" spans="1:27">
      <c r="A635" s="9">
        <v>633</v>
      </c>
      <c r="B635" s="9">
        <v>10174</v>
      </c>
      <c r="C635" s="9" t="s">
        <v>651</v>
      </c>
      <c r="D635" s="9" t="s">
        <v>10</v>
      </c>
      <c r="E635" s="10" t="str">
        <f>"314.79"</f>
        <v>314.79</v>
      </c>
      <c r="F635" s="11"/>
      <c r="G635" s="11">
        <v>2017</v>
      </c>
      <c r="H635" s="12" t="str">
        <f>"359.82"</f>
        <v>359.82</v>
      </c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 t="str">
        <f>"304.54"</f>
        <v>304.54</v>
      </c>
      <c r="T635" s="12"/>
      <c r="U635" s="12"/>
      <c r="V635" s="12"/>
      <c r="W635" s="12"/>
      <c r="X635" s="12"/>
      <c r="Y635" s="12"/>
      <c r="Z635" s="12" t="str">
        <f>"331.89"</f>
        <v>331.89</v>
      </c>
      <c r="AA635" s="12" t="str">
        <f>"325.04"</f>
        <v>325.04</v>
      </c>
    </row>
    <row r="636" spans="1:27">
      <c r="A636" s="9">
        <v>634</v>
      </c>
      <c r="B636" s="9">
        <v>5071</v>
      </c>
      <c r="C636" s="9" t="s">
        <v>823</v>
      </c>
      <c r="D636" s="9" t="s">
        <v>31</v>
      </c>
      <c r="E636" s="10" t="str">
        <f>"314.85"</f>
        <v>314.85</v>
      </c>
      <c r="F636" s="11"/>
      <c r="G636" s="11">
        <v>2017</v>
      </c>
      <c r="H636" s="12" t="str">
        <f>"255.53"</f>
        <v>255.53</v>
      </c>
      <c r="I636" s="12"/>
      <c r="J636" s="12"/>
      <c r="K636" s="12"/>
      <c r="L636" s="12" t="str">
        <f>"301.71"</f>
        <v>301.71</v>
      </c>
      <c r="M636" s="12"/>
      <c r="N636" s="12"/>
      <c r="O636" s="12"/>
      <c r="P636" s="12"/>
      <c r="Q636" s="12" t="str">
        <f>"327.98"</f>
        <v>327.98</v>
      </c>
      <c r="R636" s="12"/>
      <c r="S636" s="12"/>
      <c r="T636" s="12"/>
      <c r="U636" s="12"/>
      <c r="V636" s="12"/>
      <c r="W636" s="12" t="str">
        <f>"397.42"</f>
        <v>397.42</v>
      </c>
      <c r="X636" s="12"/>
      <c r="Y636" s="12"/>
      <c r="Z636" s="12"/>
      <c r="AA636" s="12"/>
    </row>
    <row r="637" spans="1:27">
      <c r="A637" s="9">
        <v>635</v>
      </c>
      <c r="B637" s="9">
        <v>9469</v>
      </c>
      <c r="C637" s="9" t="s">
        <v>805</v>
      </c>
      <c r="D637" s="9" t="s">
        <v>321</v>
      </c>
      <c r="E637" s="10" t="str">
        <f>"315.14"</f>
        <v>315.14</v>
      </c>
      <c r="F637" s="11" t="s">
        <v>9</v>
      </c>
      <c r="G637" s="11">
        <v>2017</v>
      </c>
      <c r="H637" s="12" t="str">
        <f>"327.25"</f>
        <v>327.25</v>
      </c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 t="str">
        <f>"287.14"</f>
        <v>287.14</v>
      </c>
      <c r="V637" s="12"/>
      <c r="W637" s="12"/>
      <c r="X637" s="12"/>
      <c r="Y637" s="12"/>
      <c r="Z637" s="12"/>
      <c r="AA637" s="12"/>
    </row>
    <row r="638" spans="1:27">
      <c r="A638" s="9">
        <v>636</v>
      </c>
      <c r="B638" s="9">
        <v>10141</v>
      </c>
      <c r="C638" s="9" t="s">
        <v>696</v>
      </c>
      <c r="D638" s="9" t="s">
        <v>10</v>
      </c>
      <c r="E638" s="10" t="str">
        <f>"315.98"</f>
        <v>315.98</v>
      </c>
      <c r="F638" s="11"/>
      <c r="G638" s="11">
        <v>2017</v>
      </c>
      <c r="H638" s="12" t="str">
        <f>"527.88"</f>
        <v>527.88</v>
      </c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 t="str">
        <f>"302.71"</f>
        <v>302.71</v>
      </c>
      <c r="T638" s="12" t="str">
        <f>"417.59"</f>
        <v>417.59</v>
      </c>
      <c r="U638" s="12"/>
      <c r="V638" s="12"/>
      <c r="W638" s="12"/>
      <c r="X638" s="12"/>
      <c r="Y638" s="12"/>
      <c r="Z638" s="12" t="str">
        <f>"329.24"</f>
        <v>329.24</v>
      </c>
      <c r="AA638" s="12" t="str">
        <f>"370.96"</f>
        <v>370.96</v>
      </c>
    </row>
    <row r="639" spans="1:27">
      <c r="A639" s="9">
        <v>637</v>
      </c>
      <c r="B639" s="9">
        <v>2275</v>
      </c>
      <c r="C639" s="9" t="s">
        <v>240</v>
      </c>
      <c r="D639" s="9" t="s">
        <v>42</v>
      </c>
      <c r="E639" s="10" t="str">
        <f>"316.98"</f>
        <v>316.98</v>
      </c>
      <c r="F639" s="11" t="s">
        <v>11</v>
      </c>
      <c r="G639" s="11">
        <v>2017</v>
      </c>
      <c r="H639" s="12" t="str">
        <f>"288.98"</f>
        <v>288.98</v>
      </c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>
      <c r="A640" s="9">
        <v>638</v>
      </c>
      <c r="B640" s="9">
        <v>2172</v>
      </c>
      <c r="C640" s="9" t="s">
        <v>779</v>
      </c>
      <c r="D640" s="9" t="s">
        <v>10</v>
      </c>
      <c r="E640" s="10" t="str">
        <f>"317.05"</f>
        <v>317.05</v>
      </c>
      <c r="F640" s="11"/>
      <c r="G640" s="11">
        <v>2017</v>
      </c>
      <c r="H640" s="12" t="str">
        <f>"331.35"</f>
        <v>331.35</v>
      </c>
      <c r="I640" s="12" t="str">
        <f>"342.20"</f>
        <v>342.20</v>
      </c>
      <c r="J640" s="12" t="str">
        <f>"406.18"</f>
        <v>406.18</v>
      </c>
      <c r="K640" s="12"/>
      <c r="L640" s="12"/>
      <c r="M640" s="12"/>
      <c r="N640" s="12"/>
      <c r="O640" s="12"/>
      <c r="P640" s="12"/>
      <c r="Q640" s="12"/>
      <c r="R640" s="12"/>
      <c r="S640" s="12" t="str">
        <f>"291.89"</f>
        <v>291.89</v>
      </c>
      <c r="T640" s="12" t="str">
        <f>"348.00"</f>
        <v>348.00</v>
      </c>
      <c r="U640" s="12"/>
      <c r="V640" s="12"/>
      <c r="W640" s="12"/>
      <c r="X640" s="12"/>
      <c r="Y640" s="12"/>
      <c r="Z640" s="12"/>
      <c r="AA640" s="12"/>
    </row>
    <row r="641" spans="1:27">
      <c r="A641" s="9">
        <v>639</v>
      </c>
      <c r="B641" s="9">
        <v>10419</v>
      </c>
      <c r="C641" s="9" t="s">
        <v>740</v>
      </c>
      <c r="D641" s="9" t="s">
        <v>19</v>
      </c>
      <c r="E641" s="10" t="str">
        <f>"317.20"</f>
        <v>317.20</v>
      </c>
      <c r="F641" s="11"/>
      <c r="G641" s="11">
        <v>2017</v>
      </c>
      <c r="H641" s="12" t="str">
        <f>"789.74"</f>
        <v>789.74</v>
      </c>
      <c r="I641" s="12"/>
      <c r="J641" s="12"/>
      <c r="K641" s="12"/>
      <c r="L641" s="12"/>
      <c r="M641" s="12"/>
      <c r="N641" s="12"/>
      <c r="O641" s="12"/>
      <c r="P641" s="12"/>
      <c r="Q641" s="12"/>
      <c r="R641" s="12" t="str">
        <f>"502.48"</f>
        <v>502.48</v>
      </c>
      <c r="S641" s="12"/>
      <c r="T641" s="12"/>
      <c r="U641" s="12"/>
      <c r="V641" s="12"/>
      <c r="W641" s="12"/>
      <c r="X641" s="12"/>
      <c r="Y641" s="12"/>
      <c r="Z641" s="12" t="str">
        <f>"279.55"</f>
        <v>279.55</v>
      </c>
      <c r="AA641" s="12" t="str">
        <f>"354.84"</f>
        <v>354.84</v>
      </c>
    </row>
    <row r="642" spans="1:27">
      <c r="A642" s="9">
        <v>640</v>
      </c>
      <c r="B642" s="9">
        <v>11301</v>
      </c>
      <c r="C642" s="9" t="s">
        <v>1160</v>
      </c>
      <c r="D642" s="9" t="s">
        <v>10</v>
      </c>
      <c r="E642" s="10" t="str">
        <f>"318.49"</f>
        <v>318.49</v>
      </c>
      <c r="F642" s="11" t="s">
        <v>9</v>
      </c>
      <c r="G642" s="11">
        <v>2017</v>
      </c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 t="str">
        <f>"290.49"</f>
        <v>290.49</v>
      </c>
      <c r="T642" s="12"/>
      <c r="U642" s="12"/>
      <c r="V642" s="12"/>
      <c r="W642" s="12"/>
      <c r="X642" s="12"/>
      <c r="Y642" s="12"/>
      <c r="Z642" s="12"/>
      <c r="AA642" s="12"/>
    </row>
    <row r="643" spans="1:27">
      <c r="A643" s="9">
        <v>641</v>
      </c>
      <c r="B643" s="9">
        <v>1812</v>
      </c>
      <c r="C643" s="9" t="s">
        <v>872</v>
      </c>
      <c r="D643" s="9" t="s">
        <v>91</v>
      </c>
      <c r="E643" s="10" t="str">
        <f>"318.92"</f>
        <v>318.92</v>
      </c>
      <c r="F643" s="11" t="s">
        <v>9</v>
      </c>
      <c r="G643" s="11">
        <v>2017</v>
      </c>
      <c r="H643" s="12" t="str">
        <f>"278.25"</f>
        <v>278.25</v>
      </c>
      <c r="I643" s="12"/>
      <c r="J643" s="12"/>
      <c r="K643" s="12"/>
      <c r="L643" s="12"/>
      <c r="M643" s="12"/>
      <c r="N643" s="12"/>
      <c r="O643" s="12"/>
      <c r="P643" s="12"/>
      <c r="Q643" s="12" t="str">
        <f>"290.92"</f>
        <v>290.92</v>
      </c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>
      <c r="A644" s="9">
        <v>642</v>
      </c>
      <c r="B644" s="9">
        <v>10440</v>
      </c>
      <c r="C644" s="9" t="s">
        <v>656</v>
      </c>
      <c r="D644" s="9" t="s">
        <v>19</v>
      </c>
      <c r="E644" s="10" t="str">
        <f>"319.10"</f>
        <v>319.10</v>
      </c>
      <c r="F644" s="11"/>
      <c r="G644" s="11">
        <v>2017</v>
      </c>
      <c r="H644" s="12" t="str">
        <f>"416.06"</f>
        <v>416.06</v>
      </c>
      <c r="I644" s="12"/>
      <c r="J644" s="12"/>
      <c r="K644" s="12"/>
      <c r="L644" s="12"/>
      <c r="M644" s="12"/>
      <c r="N644" s="12"/>
      <c r="O644" s="12"/>
      <c r="P644" s="12"/>
      <c r="Q644" s="12"/>
      <c r="R644" s="12" t="str">
        <f>"781.48"</f>
        <v>781.48</v>
      </c>
      <c r="S644" s="12"/>
      <c r="T644" s="12"/>
      <c r="U644" s="12"/>
      <c r="V644" s="12"/>
      <c r="W644" s="12"/>
      <c r="X644" s="12"/>
      <c r="Y644" s="12" t="str">
        <f>"279.22"</f>
        <v>279.22</v>
      </c>
      <c r="Z644" s="12" t="str">
        <f>"358.98"</f>
        <v>358.98</v>
      </c>
      <c r="AA644" s="12"/>
    </row>
    <row r="645" spans="1:27">
      <c r="A645" s="9">
        <v>643</v>
      </c>
      <c r="B645" s="9">
        <v>6697</v>
      </c>
      <c r="C645" s="9" t="s">
        <v>602</v>
      </c>
      <c r="D645" s="9" t="s">
        <v>448</v>
      </c>
      <c r="E645" s="10" t="str">
        <f>"319.38"</f>
        <v>319.38</v>
      </c>
      <c r="F645" s="11" t="s">
        <v>9</v>
      </c>
      <c r="G645" s="11">
        <v>2017</v>
      </c>
      <c r="H645" s="12" t="str">
        <f>"260.22"</f>
        <v>260.22</v>
      </c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 t="str">
        <f>"291.38"</f>
        <v>291.38</v>
      </c>
      <c r="Y645" s="12"/>
      <c r="Z645" s="12"/>
      <c r="AA645" s="12"/>
    </row>
    <row r="646" spans="1:27">
      <c r="A646" s="9">
        <v>644</v>
      </c>
      <c r="B646" s="9">
        <v>4194</v>
      </c>
      <c r="C646" s="9" t="s">
        <v>1189</v>
      </c>
      <c r="D646" s="9" t="s">
        <v>66</v>
      </c>
      <c r="E646" s="10" t="str">
        <f>"319.76"</f>
        <v>319.76</v>
      </c>
      <c r="F646" s="11" t="s">
        <v>11</v>
      </c>
      <c r="G646" s="11">
        <v>2017</v>
      </c>
      <c r="H646" s="12" t="str">
        <f>"291.76"</f>
        <v>291.76</v>
      </c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>
      <c r="A647" s="9">
        <v>645</v>
      </c>
      <c r="B647" s="9">
        <v>8481</v>
      </c>
      <c r="C647" s="9" t="s">
        <v>511</v>
      </c>
      <c r="D647" s="9" t="s">
        <v>10</v>
      </c>
      <c r="E647" s="10" t="str">
        <f>"321.72"</f>
        <v>321.72</v>
      </c>
      <c r="F647" s="11" t="s">
        <v>9</v>
      </c>
      <c r="G647" s="11">
        <v>2017</v>
      </c>
      <c r="H647" s="12" t="str">
        <f>"122.94"</f>
        <v>122.94</v>
      </c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 t="str">
        <f>"293.72"</f>
        <v>293.72</v>
      </c>
      <c r="U647" s="12"/>
      <c r="V647" s="12"/>
      <c r="W647" s="12"/>
      <c r="X647" s="12"/>
      <c r="Y647" s="12"/>
      <c r="Z647" s="12"/>
      <c r="AA647" s="12"/>
    </row>
    <row r="648" spans="1:27">
      <c r="A648" s="9">
        <v>646</v>
      </c>
      <c r="B648" s="9">
        <v>2283</v>
      </c>
      <c r="C648" s="9" t="s">
        <v>830</v>
      </c>
      <c r="D648" s="9" t="s">
        <v>10</v>
      </c>
      <c r="E648" s="10" t="str">
        <f>"321.97"</f>
        <v>321.97</v>
      </c>
      <c r="F648" s="11"/>
      <c r="G648" s="11">
        <v>2017</v>
      </c>
      <c r="H648" s="12" t="str">
        <f>"299.20"</f>
        <v>299.20</v>
      </c>
      <c r="I648" s="12" t="str">
        <f>"306.83"</f>
        <v>306.83</v>
      </c>
      <c r="J648" s="12" t="str">
        <f>"337.10"</f>
        <v>337.10</v>
      </c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>
      <c r="A649" s="9">
        <v>647</v>
      </c>
      <c r="B649" s="9">
        <v>2715</v>
      </c>
      <c r="C649" s="9" t="s">
        <v>1184</v>
      </c>
      <c r="D649" s="9" t="s">
        <v>93</v>
      </c>
      <c r="E649" s="10" t="str">
        <f>"325.53"</f>
        <v>325.53</v>
      </c>
      <c r="F649" s="11" t="s">
        <v>11</v>
      </c>
      <c r="G649" s="11">
        <v>2017</v>
      </c>
      <c r="H649" s="12" t="str">
        <f>"297.53"</f>
        <v>297.53</v>
      </c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>
      <c r="A650" s="9">
        <v>648</v>
      </c>
      <c r="B650" s="9">
        <v>11240</v>
      </c>
      <c r="C650" s="9" t="s">
        <v>516</v>
      </c>
      <c r="D650" s="9" t="s">
        <v>10</v>
      </c>
      <c r="E650" s="10" t="str">
        <f>"325.70"</f>
        <v>325.70</v>
      </c>
      <c r="F650" s="11"/>
      <c r="G650" s="11">
        <v>2017</v>
      </c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 t="str">
        <f>"352.28"</f>
        <v>352.28</v>
      </c>
      <c r="T650" s="12" t="str">
        <f>"427.25"</f>
        <v>427.25</v>
      </c>
      <c r="U650" s="12"/>
      <c r="V650" s="12"/>
      <c r="W650" s="12"/>
      <c r="X650" s="12"/>
      <c r="Y650" s="12"/>
      <c r="Z650" s="12" t="str">
        <f>"335.55"</f>
        <v>335.55</v>
      </c>
      <c r="AA650" s="12" t="str">
        <f>"315.84"</f>
        <v>315.84</v>
      </c>
    </row>
    <row r="651" spans="1:27">
      <c r="A651" s="9">
        <v>649</v>
      </c>
      <c r="B651" s="9">
        <v>10392</v>
      </c>
      <c r="C651" s="9" t="s">
        <v>964</v>
      </c>
      <c r="D651" s="9" t="s">
        <v>19</v>
      </c>
      <c r="E651" s="10" t="str">
        <f>"325.73"</f>
        <v>325.73</v>
      </c>
      <c r="F651" s="11" t="s">
        <v>9</v>
      </c>
      <c r="G651" s="11">
        <v>2017</v>
      </c>
      <c r="H651" s="12" t="str">
        <f>"709.79"</f>
        <v>709.79</v>
      </c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 t="str">
        <f>"297.73"</f>
        <v>297.73</v>
      </c>
      <c r="Z651" s="12"/>
      <c r="AA651" s="12"/>
    </row>
    <row r="652" spans="1:27">
      <c r="A652" s="9">
        <v>650</v>
      </c>
      <c r="B652" s="9">
        <v>10180</v>
      </c>
      <c r="C652" s="9" t="s">
        <v>623</v>
      </c>
      <c r="D652" s="9" t="s">
        <v>10</v>
      </c>
      <c r="E652" s="10" t="str">
        <f>"325.80"</f>
        <v>325.80</v>
      </c>
      <c r="F652" s="11"/>
      <c r="G652" s="11">
        <v>2017</v>
      </c>
      <c r="H652" s="12" t="str">
        <f>"547.28"</f>
        <v>547.28</v>
      </c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 t="str">
        <f>"288.83"</f>
        <v>288.83</v>
      </c>
      <c r="T652" s="12" t="str">
        <f>"362.77"</f>
        <v>362.77</v>
      </c>
      <c r="U652" s="12"/>
      <c r="V652" s="12"/>
      <c r="W652" s="12"/>
      <c r="X652" s="12"/>
      <c r="Y652" s="12"/>
      <c r="Z652" s="12"/>
      <c r="AA652" s="12"/>
    </row>
    <row r="653" spans="1:27">
      <c r="A653" s="9">
        <v>651</v>
      </c>
      <c r="B653" s="9">
        <v>10727</v>
      </c>
      <c r="C653" s="9" t="s">
        <v>557</v>
      </c>
      <c r="D653" s="9" t="s">
        <v>19</v>
      </c>
      <c r="E653" s="10" t="str">
        <f>"326.35"</f>
        <v>326.35</v>
      </c>
      <c r="F653" s="11"/>
      <c r="G653" s="11">
        <v>2017</v>
      </c>
      <c r="H653" s="12" t="str">
        <f>"500.21"</f>
        <v>500.21</v>
      </c>
      <c r="I653" s="12"/>
      <c r="J653" s="12"/>
      <c r="K653" s="12"/>
      <c r="L653" s="12"/>
      <c r="M653" s="12"/>
      <c r="N653" s="12"/>
      <c r="O653" s="12"/>
      <c r="P653" s="12"/>
      <c r="Q653" s="12"/>
      <c r="R653" s="12" t="str">
        <f>"473.78"</f>
        <v>473.78</v>
      </c>
      <c r="S653" s="12"/>
      <c r="T653" s="12"/>
      <c r="U653" s="12"/>
      <c r="V653" s="12"/>
      <c r="W653" s="12"/>
      <c r="X653" s="12"/>
      <c r="Y653" s="12" t="str">
        <f>"178.91"</f>
        <v>178.91</v>
      </c>
      <c r="Z653" s="12"/>
      <c r="AA653" s="12"/>
    </row>
    <row r="654" spans="1:27">
      <c r="A654" s="9">
        <v>652</v>
      </c>
      <c r="B654" s="9">
        <v>10636</v>
      </c>
      <c r="C654" s="9" t="s">
        <v>901</v>
      </c>
      <c r="D654" s="9" t="s">
        <v>10</v>
      </c>
      <c r="E654" s="10" t="str">
        <f>"327.20"</f>
        <v>327.20</v>
      </c>
      <c r="F654" s="11"/>
      <c r="G654" s="11">
        <v>2017</v>
      </c>
      <c r="H654" s="12" t="str">
        <f>"292.39"</f>
        <v>292.39</v>
      </c>
      <c r="I654" s="12" t="str">
        <f>"540.86"</f>
        <v>540.86</v>
      </c>
      <c r="J654" s="12" t="str">
        <f>"401.95"</f>
        <v>401.95</v>
      </c>
      <c r="K654" s="12"/>
      <c r="L654" s="12"/>
      <c r="M654" s="12"/>
      <c r="N654" s="12"/>
      <c r="O654" s="12"/>
      <c r="P654" s="12"/>
      <c r="Q654" s="12"/>
      <c r="R654" s="12"/>
      <c r="S654" s="12" t="str">
        <f>"252.44"</f>
        <v>252.44</v>
      </c>
      <c r="T654" s="12"/>
      <c r="U654" s="12"/>
      <c r="V654" s="12"/>
      <c r="W654" s="12"/>
      <c r="X654" s="12"/>
      <c r="Y654" s="12"/>
      <c r="Z654" s="12"/>
      <c r="AA654" s="12"/>
    </row>
    <row r="655" spans="1:27">
      <c r="A655" s="9">
        <v>653</v>
      </c>
      <c r="B655" s="9">
        <v>10227</v>
      </c>
      <c r="C655" s="9" t="s">
        <v>608</v>
      </c>
      <c r="D655" s="9" t="s">
        <v>50</v>
      </c>
      <c r="E655" s="10" t="str">
        <f>"327.38"</f>
        <v>327.38</v>
      </c>
      <c r="F655" s="11" t="s">
        <v>9</v>
      </c>
      <c r="G655" s="11">
        <v>2017</v>
      </c>
      <c r="H655" s="12" t="str">
        <f>"304.05"</f>
        <v>304.05</v>
      </c>
      <c r="I655" s="12"/>
      <c r="J655" s="12"/>
      <c r="K655" s="12"/>
      <c r="L655" s="12"/>
      <c r="M655" s="12" t="str">
        <f>"299.38"</f>
        <v>299.38</v>
      </c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>
      <c r="A656" s="9">
        <v>654</v>
      </c>
      <c r="B656" s="9">
        <v>10954</v>
      </c>
      <c r="C656" s="9" t="s">
        <v>709</v>
      </c>
      <c r="D656" s="9" t="s">
        <v>60</v>
      </c>
      <c r="E656" s="10" t="str">
        <f>"327.98"</f>
        <v>327.98</v>
      </c>
      <c r="F656" s="11" t="s">
        <v>11</v>
      </c>
      <c r="G656" s="11">
        <v>2017</v>
      </c>
      <c r="H656" s="12" t="str">
        <f>"299.98"</f>
        <v>299.98</v>
      </c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>
      <c r="A657" s="9">
        <v>655</v>
      </c>
      <c r="B657" s="9">
        <v>10446</v>
      </c>
      <c r="C657" s="9" t="s">
        <v>572</v>
      </c>
      <c r="D657" s="9" t="s">
        <v>19</v>
      </c>
      <c r="E657" s="10" t="str">
        <f>"328.32"</f>
        <v>328.32</v>
      </c>
      <c r="F657" s="11"/>
      <c r="G657" s="11">
        <v>2017</v>
      </c>
      <c r="H657" s="12" t="str">
        <f>"575.76"</f>
        <v>575.76</v>
      </c>
      <c r="I657" s="12"/>
      <c r="J657" s="12"/>
      <c r="K657" s="12"/>
      <c r="L657" s="12"/>
      <c r="M657" s="12"/>
      <c r="N657" s="12"/>
      <c r="O657" s="12"/>
      <c r="P657" s="12"/>
      <c r="Q657" s="12"/>
      <c r="R657" s="12" t="str">
        <f>"1218.66"</f>
        <v>1218.66</v>
      </c>
      <c r="S657" s="12"/>
      <c r="T657" s="12"/>
      <c r="U657" s="12"/>
      <c r="V657" s="12"/>
      <c r="W657" s="12"/>
      <c r="X657" s="12"/>
      <c r="Y657" s="12"/>
      <c r="Z657" s="12" t="str">
        <f>"339.58"</f>
        <v>339.58</v>
      </c>
      <c r="AA657" s="12" t="str">
        <f>"317.05"</f>
        <v>317.05</v>
      </c>
    </row>
    <row r="658" spans="1:27">
      <c r="A658" s="9">
        <v>656</v>
      </c>
      <c r="B658" s="9">
        <v>11264</v>
      </c>
      <c r="C658" s="9" t="s">
        <v>828</v>
      </c>
      <c r="D658" s="9" t="s">
        <v>10</v>
      </c>
      <c r="E658" s="10" t="str">
        <f>"329.19"</f>
        <v>329.19</v>
      </c>
      <c r="F658" s="11"/>
      <c r="G658" s="11">
        <v>2017</v>
      </c>
      <c r="H658" s="12"/>
      <c r="I658" s="12" t="str">
        <f>"471.48"</f>
        <v>471.48</v>
      </c>
      <c r="J658" s="12" t="str">
        <f>"519.23"</f>
        <v>519.23</v>
      </c>
      <c r="K658" s="12"/>
      <c r="L658" s="12"/>
      <c r="M658" s="12"/>
      <c r="N658" s="12"/>
      <c r="O658" s="12"/>
      <c r="P658" s="12"/>
      <c r="Q658" s="12"/>
      <c r="R658" s="12"/>
      <c r="S658" s="12" t="str">
        <f>"359.70"</f>
        <v>359.70</v>
      </c>
      <c r="T658" s="12"/>
      <c r="U658" s="12"/>
      <c r="V658" s="12"/>
      <c r="W658" s="12"/>
      <c r="X658" s="12"/>
      <c r="Y658" s="12"/>
      <c r="Z658" s="12" t="str">
        <f>"298.68"</f>
        <v>298.68</v>
      </c>
      <c r="AA658" s="12" t="str">
        <f>"389.57"</f>
        <v>389.57</v>
      </c>
    </row>
    <row r="659" spans="1:27">
      <c r="A659" s="9">
        <v>657</v>
      </c>
      <c r="B659" s="9">
        <v>7169</v>
      </c>
      <c r="C659" s="9" t="s">
        <v>643</v>
      </c>
      <c r="D659" s="9" t="s">
        <v>60</v>
      </c>
      <c r="E659" s="10" t="str">
        <f>"329.54"</f>
        <v>329.54</v>
      </c>
      <c r="F659" s="11" t="s">
        <v>9</v>
      </c>
      <c r="G659" s="11">
        <v>2017</v>
      </c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 t="str">
        <f>"301.54"</f>
        <v>301.54</v>
      </c>
      <c r="W659" s="12"/>
      <c r="X659" s="12"/>
      <c r="Y659" s="12"/>
      <c r="Z659" s="12"/>
      <c r="AA659" s="12"/>
    </row>
    <row r="660" spans="1:27">
      <c r="A660" s="9">
        <v>658</v>
      </c>
      <c r="B660" s="9">
        <v>10853</v>
      </c>
      <c r="C660" s="9" t="s">
        <v>667</v>
      </c>
      <c r="D660" s="9" t="s">
        <v>10</v>
      </c>
      <c r="E660" s="10" t="str">
        <f>"329.81"</f>
        <v>329.81</v>
      </c>
      <c r="F660" s="11"/>
      <c r="G660" s="11">
        <v>2017</v>
      </c>
      <c r="H660" s="12" t="str">
        <f>"504.48"</f>
        <v>504.48</v>
      </c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 t="str">
        <f>"336.65"</f>
        <v>336.65</v>
      </c>
      <c r="AA660" s="12" t="str">
        <f>"322.97"</f>
        <v>322.97</v>
      </c>
    </row>
    <row r="661" spans="1:27">
      <c r="A661" s="9">
        <v>659</v>
      </c>
      <c r="B661" s="9">
        <v>10123</v>
      </c>
      <c r="C661" s="9" t="s">
        <v>792</v>
      </c>
      <c r="D661" s="9" t="s">
        <v>10</v>
      </c>
      <c r="E661" s="10" t="str">
        <f>"329.96"</f>
        <v>329.96</v>
      </c>
      <c r="F661" s="11"/>
      <c r="G661" s="11">
        <v>2017</v>
      </c>
      <c r="H661" s="12" t="str">
        <f>"573.66"</f>
        <v>573.66</v>
      </c>
      <c r="I661" s="12" t="str">
        <f>"425.07"</f>
        <v>425.07</v>
      </c>
      <c r="J661" s="12" t="str">
        <f>"422.75"</f>
        <v>422.75</v>
      </c>
      <c r="K661" s="12"/>
      <c r="L661" s="12"/>
      <c r="M661" s="12"/>
      <c r="N661" s="12"/>
      <c r="O661" s="12"/>
      <c r="P661" s="12"/>
      <c r="Q661" s="12"/>
      <c r="R661" s="12"/>
      <c r="S661" s="12" t="str">
        <f>"347.83"</f>
        <v>347.83</v>
      </c>
      <c r="T661" s="12" t="str">
        <f>"451.22"</f>
        <v>451.22</v>
      </c>
      <c r="U661" s="12"/>
      <c r="V661" s="12"/>
      <c r="W661" s="12"/>
      <c r="X661" s="12" t="str">
        <f>"312.08"</f>
        <v>312.08</v>
      </c>
      <c r="Y661" s="12"/>
      <c r="Z661" s="12"/>
      <c r="AA661" s="12"/>
    </row>
    <row r="662" spans="1:27">
      <c r="A662" s="9">
        <v>660</v>
      </c>
      <c r="B662" s="9">
        <v>8442</v>
      </c>
      <c r="C662" s="9" t="s">
        <v>860</v>
      </c>
      <c r="D662" s="9" t="s">
        <v>12</v>
      </c>
      <c r="E662" s="10" t="str">
        <f>"330.54"</f>
        <v>330.54</v>
      </c>
      <c r="F662" s="11" t="s">
        <v>11</v>
      </c>
      <c r="G662" s="11">
        <v>2017</v>
      </c>
      <c r="H662" s="12" t="str">
        <f>"302.54"</f>
        <v>302.54</v>
      </c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>
      <c r="A663" s="9">
        <v>661</v>
      </c>
      <c r="B663" s="9">
        <v>2188</v>
      </c>
      <c r="C663" s="9" t="s">
        <v>510</v>
      </c>
      <c r="D663" s="9" t="s">
        <v>52</v>
      </c>
      <c r="E663" s="10" t="str">
        <f>"331.30"</f>
        <v>331.30</v>
      </c>
      <c r="F663" s="11" t="s">
        <v>9</v>
      </c>
      <c r="G663" s="11">
        <v>2017</v>
      </c>
      <c r="H663" s="12" t="str">
        <f>"179.24"</f>
        <v>179.24</v>
      </c>
      <c r="I663" s="12"/>
      <c r="J663" s="12"/>
      <c r="K663" s="12"/>
      <c r="L663" s="12" t="str">
        <f>"303.30"</f>
        <v>303.30</v>
      </c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>
      <c r="A664" s="9">
        <v>662</v>
      </c>
      <c r="B664" s="9">
        <v>10112</v>
      </c>
      <c r="C664" s="9" t="s">
        <v>1003</v>
      </c>
      <c r="D664" s="9" t="s">
        <v>10</v>
      </c>
      <c r="E664" s="10" t="str">
        <f>"331.36"</f>
        <v>331.36</v>
      </c>
      <c r="F664" s="11" t="s">
        <v>11</v>
      </c>
      <c r="G664" s="11">
        <v>2017</v>
      </c>
      <c r="H664" s="12" t="str">
        <f>"303.36"</f>
        <v>303.36</v>
      </c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>
      <c r="A665" s="9">
        <v>663</v>
      </c>
      <c r="B665" s="9">
        <v>2454</v>
      </c>
      <c r="C665" s="9" t="s">
        <v>856</v>
      </c>
      <c r="D665" s="9" t="s">
        <v>86</v>
      </c>
      <c r="E665" s="10" t="str">
        <f>"331.66"</f>
        <v>331.66</v>
      </c>
      <c r="F665" s="11" t="s">
        <v>11</v>
      </c>
      <c r="G665" s="11">
        <v>2017</v>
      </c>
      <c r="H665" s="12" t="str">
        <f>"303.66"</f>
        <v>303.66</v>
      </c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>
      <c r="A666" s="9">
        <v>664</v>
      </c>
      <c r="B666" s="9">
        <v>10844</v>
      </c>
      <c r="C666" s="9" t="s">
        <v>688</v>
      </c>
      <c r="D666" s="9" t="s">
        <v>10</v>
      </c>
      <c r="E666" s="10" t="str">
        <f>"332.48"</f>
        <v>332.48</v>
      </c>
      <c r="F666" s="11"/>
      <c r="G666" s="11">
        <v>2017</v>
      </c>
      <c r="H666" s="12" t="str">
        <f>"341.70"</f>
        <v>341.70</v>
      </c>
      <c r="I666" s="12" t="str">
        <f>"353.78"</f>
        <v>353.78</v>
      </c>
      <c r="J666" s="12" t="str">
        <f>"427.27"</f>
        <v>427.27</v>
      </c>
      <c r="K666" s="12"/>
      <c r="L666" s="12"/>
      <c r="M666" s="12"/>
      <c r="N666" s="12"/>
      <c r="O666" s="12"/>
      <c r="P666" s="12"/>
      <c r="Q666" s="12"/>
      <c r="R666" s="12"/>
      <c r="S666" s="12" t="str">
        <f>"311.17"</f>
        <v>311.17</v>
      </c>
      <c r="T666" s="12" t="str">
        <f>"386.89"</f>
        <v>386.89</v>
      </c>
      <c r="U666" s="12"/>
      <c r="V666" s="12"/>
      <c r="W666" s="12"/>
      <c r="X666" s="12"/>
      <c r="Y666" s="12"/>
      <c r="Z666" s="12"/>
      <c r="AA666" s="12"/>
    </row>
    <row r="667" spans="1:27">
      <c r="A667" s="9">
        <v>665</v>
      </c>
      <c r="B667" s="9">
        <v>271</v>
      </c>
      <c r="C667" s="9" t="s">
        <v>1188</v>
      </c>
      <c r="D667" s="9" t="s">
        <v>65</v>
      </c>
      <c r="E667" s="10" t="str">
        <f>"333.27"</f>
        <v>333.27</v>
      </c>
      <c r="F667" s="11" t="s">
        <v>11</v>
      </c>
      <c r="G667" s="11">
        <v>2017</v>
      </c>
      <c r="H667" s="12" t="str">
        <f>"305.27"</f>
        <v>305.27</v>
      </c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>
      <c r="A668" s="9">
        <v>666</v>
      </c>
      <c r="B668" s="9">
        <v>8311</v>
      </c>
      <c r="C668" s="9" t="s">
        <v>666</v>
      </c>
      <c r="D668" s="9" t="s">
        <v>91</v>
      </c>
      <c r="E668" s="10" t="str">
        <f>"333.47"</f>
        <v>333.47</v>
      </c>
      <c r="F668" s="11" t="s">
        <v>9</v>
      </c>
      <c r="G668" s="11">
        <v>2017</v>
      </c>
      <c r="H668" s="12" t="str">
        <f>"241.81"</f>
        <v>241.81</v>
      </c>
      <c r="I668" s="12"/>
      <c r="J668" s="12"/>
      <c r="K668" s="12"/>
      <c r="L668" s="12"/>
      <c r="M668" s="12"/>
      <c r="N668" s="12"/>
      <c r="O668" s="12"/>
      <c r="P668" s="12" t="str">
        <f>"305.47"</f>
        <v>305.47</v>
      </c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>
      <c r="A669" s="9">
        <v>667</v>
      </c>
      <c r="B669" s="9">
        <v>10586</v>
      </c>
      <c r="C669" s="9" t="s">
        <v>1032</v>
      </c>
      <c r="D669" s="9" t="s">
        <v>10</v>
      </c>
      <c r="E669" s="10" t="str">
        <f>"334.59"</f>
        <v>334.59</v>
      </c>
      <c r="F669" s="11" t="s">
        <v>11</v>
      </c>
      <c r="G669" s="11">
        <v>2017</v>
      </c>
      <c r="H669" s="12" t="str">
        <f>"306.59"</f>
        <v>306.59</v>
      </c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>
      <c r="A670" s="9">
        <v>668</v>
      </c>
      <c r="B670" s="9">
        <v>10621</v>
      </c>
      <c r="C670" s="9" t="s">
        <v>896</v>
      </c>
      <c r="D670" s="9" t="s">
        <v>10</v>
      </c>
      <c r="E670" s="10" t="str">
        <f>"335.71"</f>
        <v>335.71</v>
      </c>
      <c r="F670" s="11"/>
      <c r="G670" s="11">
        <v>2017</v>
      </c>
      <c r="H670" s="12" t="str">
        <f>"371.50"</f>
        <v>371.50</v>
      </c>
      <c r="I670" s="12" t="str">
        <f>"340.85"</f>
        <v>340.85</v>
      </c>
      <c r="J670" s="12" t="str">
        <f>"337.03"</f>
        <v>337.03</v>
      </c>
      <c r="K670" s="12"/>
      <c r="L670" s="12"/>
      <c r="M670" s="12"/>
      <c r="N670" s="12"/>
      <c r="O670" s="12"/>
      <c r="P670" s="12"/>
      <c r="Q670" s="12"/>
      <c r="R670" s="12"/>
      <c r="S670" s="12" t="str">
        <f>"334.39"</f>
        <v>334.39</v>
      </c>
      <c r="T670" s="12"/>
      <c r="U670" s="12"/>
      <c r="V670" s="12"/>
      <c r="W670" s="12"/>
      <c r="X670" s="12"/>
      <c r="Y670" s="12"/>
      <c r="Z670" s="12"/>
      <c r="AA670" s="12"/>
    </row>
    <row r="671" spans="1:27">
      <c r="A671" s="9">
        <v>669</v>
      </c>
      <c r="B671" s="9">
        <v>3937</v>
      </c>
      <c r="C671" s="9" t="s">
        <v>1168</v>
      </c>
      <c r="D671" s="9" t="s">
        <v>77</v>
      </c>
      <c r="E671" s="10" t="str">
        <f>"336.27"</f>
        <v>336.27</v>
      </c>
      <c r="F671" s="11" t="s">
        <v>11</v>
      </c>
      <c r="G671" s="11">
        <v>2017</v>
      </c>
      <c r="H671" s="12" t="str">
        <f>"308.27"</f>
        <v>308.27</v>
      </c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>
      <c r="A672" s="9">
        <v>670</v>
      </c>
      <c r="B672" s="9">
        <v>10850</v>
      </c>
      <c r="C672" s="9" t="s">
        <v>738</v>
      </c>
      <c r="D672" s="9" t="s">
        <v>10</v>
      </c>
      <c r="E672" s="10" t="str">
        <f>"336.75"</f>
        <v>336.75</v>
      </c>
      <c r="F672" s="11"/>
      <c r="G672" s="11">
        <v>2017</v>
      </c>
      <c r="H672" s="12" t="str">
        <f>"404.71"</f>
        <v>404.71</v>
      </c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 t="str">
        <f>"338.49"</f>
        <v>338.49</v>
      </c>
      <c r="T672" s="12" t="str">
        <f>"380.71"</f>
        <v>380.71</v>
      </c>
      <c r="U672" s="12"/>
      <c r="V672" s="12"/>
      <c r="W672" s="12"/>
      <c r="X672" s="12"/>
      <c r="Y672" s="12"/>
      <c r="Z672" s="12" t="str">
        <f>"335.00"</f>
        <v>335.00</v>
      </c>
      <c r="AA672" s="12" t="str">
        <f>"443.55"</f>
        <v>443.55</v>
      </c>
    </row>
    <row r="673" spans="1:27">
      <c r="A673" s="9">
        <v>671</v>
      </c>
      <c r="B673" s="9">
        <v>3264</v>
      </c>
      <c r="C673" s="9" t="s">
        <v>766</v>
      </c>
      <c r="D673" s="9" t="s">
        <v>94</v>
      </c>
      <c r="E673" s="10" t="str">
        <f>"336.81"</f>
        <v>336.81</v>
      </c>
      <c r="F673" s="11" t="s">
        <v>9</v>
      </c>
      <c r="G673" s="11">
        <v>2017</v>
      </c>
      <c r="H673" s="12" t="str">
        <f>"225.03"</f>
        <v>225.03</v>
      </c>
      <c r="I673" s="12"/>
      <c r="J673" s="12"/>
      <c r="K673" s="12"/>
      <c r="L673" s="12"/>
      <c r="M673" s="12"/>
      <c r="N673" s="12"/>
      <c r="O673" s="12"/>
      <c r="P673" s="12" t="str">
        <f>"308.81"</f>
        <v>308.81</v>
      </c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>
      <c r="A674" s="9">
        <v>672</v>
      </c>
      <c r="B674" s="9">
        <v>11072</v>
      </c>
      <c r="C674" s="9" t="s">
        <v>962</v>
      </c>
      <c r="D674" s="9" t="s">
        <v>12</v>
      </c>
      <c r="E674" s="10" t="str">
        <f>"336.92"</f>
        <v>336.92</v>
      </c>
      <c r="F674" s="11" t="s">
        <v>11</v>
      </c>
      <c r="G674" s="11">
        <v>2017</v>
      </c>
      <c r="H674" s="12" t="str">
        <f>"308.92"</f>
        <v>308.92</v>
      </c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>
      <c r="A675" s="9">
        <v>673</v>
      </c>
      <c r="B675" s="9">
        <v>10275</v>
      </c>
      <c r="C675" s="9" t="s">
        <v>685</v>
      </c>
      <c r="D675" s="9" t="s">
        <v>590</v>
      </c>
      <c r="E675" s="10" t="str">
        <f>"337.57"</f>
        <v>337.57</v>
      </c>
      <c r="F675" s="11"/>
      <c r="G675" s="11">
        <v>2017</v>
      </c>
      <c r="H675" s="12" t="str">
        <f>"297.04"</f>
        <v>297.04</v>
      </c>
      <c r="I675" s="12"/>
      <c r="J675" s="12"/>
      <c r="K675" s="12"/>
      <c r="L675" s="12"/>
      <c r="M675" s="12" t="str">
        <f>"351.35"</f>
        <v>351.35</v>
      </c>
      <c r="N675" s="12"/>
      <c r="O675" s="12"/>
      <c r="P675" s="12"/>
      <c r="Q675" s="12"/>
      <c r="R675" s="12"/>
      <c r="S675" s="12"/>
      <c r="T675" s="12"/>
      <c r="U675" s="12" t="str">
        <f>"323.79"</f>
        <v>323.79</v>
      </c>
      <c r="V675" s="12"/>
      <c r="W675" s="12"/>
      <c r="X675" s="12"/>
      <c r="Y675" s="12"/>
      <c r="Z675" s="12"/>
      <c r="AA675" s="12"/>
    </row>
    <row r="676" spans="1:27">
      <c r="A676" s="9">
        <v>674</v>
      </c>
      <c r="B676" s="9">
        <v>10479</v>
      </c>
      <c r="C676" s="9" t="s">
        <v>664</v>
      </c>
      <c r="D676" s="9" t="s">
        <v>19</v>
      </c>
      <c r="E676" s="10" t="str">
        <f>"338.64"</f>
        <v>338.64</v>
      </c>
      <c r="F676" s="11" t="s">
        <v>9</v>
      </c>
      <c r="G676" s="11">
        <v>2017</v>
      </c>
      <c r="H676" s="12" t="str">
        <f>"362.80"</f>
        <v>362.80</v>
      </c>
      <c r="I676" s="12"/>
      <c r="J676" s="12"/>
      <c r="K676" s="12"/>
      <c r="L676" s="12"/>
      <c r="M676" s="12"/>
      <c r="N676" s="12"/>
      <c r="O676" s="12" t="str">
        <f>"310.64"</f>
        <v>310.64</v>
      </c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>
      <c r="A677" s="9">
        <v>675</v>
      </c>
      <c r="B677" s="9">
        <v>8505</v>
      </c>
      <c r="C677" s="9" t="s">
        <v>906</v>
      </c>
      <c r="D677" s="9" t="s">
        <v>10</v>
      </c>
      <c r="E677" s="10" t="str">
        <f>"340.77"</f>
        <v>340.77</v>
      </c>
      <c r="F677" s="11" t="s">
        <v>11</v>
      </c>
      <c r="G677" s="11">
        <v>2017</v>
      </c>
      <c r="H677" s="12" t="str">
        <f>"312.77"</f>
        <v>312.77</v>
      </c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>
      <c r="A678" s="9">
        <v>676</v>
      </c>
      <c r="B678" s="9">
        <v>10186</v>
      </c>
      <c r="C678" s="9" t="s">
        <v>873</v>
      </c>
      <c r="D678" s="9" t="s">
        <v>10</v>
      </c>
      <c r="E678" s="10" t="str">
        <f>"340.80"</f>
        <v>340.80</v>
      </c>
      <c r="F678" s="11"/>
      <c r="G678" s="11">
        <v>2017</v>
      </c>
      <c r="H678" s="12" t="str">
        <f>"904.28"</f>
        <v>904.28</v>
      </c>
      <c r="I678" s="12" t="str">
        <f>"432.58"</f>
        <v>432.58</v>
      </c>
      <c r="J678" s="12" t="str">
        <f>"395.63"</f>
        <v>395.63</v>
      </c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 t="str">
        <f>"285.96"</f>
        <v>285.96</v>
      </c>
      <c r="AA678" s="12"/>
    </row>
    <row r="679" spans="1:27">
      <c r="A679" s="9">
        <v>677</v>
      </c>
      <c r="B679" s="9">
        <v>3621</v>
      </c>
      <c r="C679" s="9" t="s">
        <v>919</v>
      </c>
      <c r="D679" s="9" t="s">
        <v>448</v>
      </c>
      <c r="E679" s="10" t="str">
        <f>"341.19"</f>
        <v>341.19</v>
      </c>
      <c r="F679" s="11" t="s">
        <v>9</v>
      </c>
      <c r="G679" s="11">
        <v>2017</v>
      </c>
      <c r="H679" s="12" t="str">
        <f>"317.77"</f>
        <v>317.77</v>
      </c>
      <c r="I679" s="12"/>
      <c r="J679" s="12"/>
      <c r="K679" s="12"/>
      <c r="L679" s="12" t="str">
        <f>"313.19"</f>
        <v>313.19</v>
      </c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>
      <c r="A680" s="9">
        <v>678</v>
      </c>
      <c r="B680" s="9">
        <v>10231</v>
      </c>
      <c r="C680" s="9" t="s">
        <v>597</v>
      </c>
      <c r="D680" s="9" t="s">
        <v>50</v>
      </c>
      <c r="E680" s="10" t="str">
        <f>"341.28"</f>
        <v>341.28</v>
      </c>
      <c r="F680" s="11" t="s">
        <v>11</v>
      </c>
      <c r="G680" s="11">
        <v>2017</v>
      </c>
      <c r="H680" s="12" t="str">
        <f>"313.28"</f>
        <v>313.28</v>
      </c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>
      <c r="A681" s="9">
        <v>679</v>
      </c>
      <c r="B681" s="9">
        <v>7299</v>
      </c>
      <c r="C681" s="9" t="s">
        <v>886</v>
      </c>
      <c r="D681" s="9" t="s">
        <v>40</v>
      </c>
      <c r="E681" s="10" t="str">
        <f>"341.93"</f>
        <v>341.93</v>
      </c>
      <c r="F681" s="11" t="s">
        <v>11</v>
      </c>
      <c r="G681" s="11">
        <v>2017</v>
      </c>
      <c r="H681" s="12" t="str">
        <f>"313.93"</f>
        <v>313.93</v>
      </c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>
      <c r="A682" s="9">
        <v>680</v>
      </c>
      <c r="B682" s="9">
        <v>10680</v>
      </c>
      <c r="C682" s="9" t="s">
        <v>459</v>
      </c>
      <c r="D682" s="9" t="s">
        <v>19</v>
      </c>
      <c r="E682" s="10" t="str">
        <f>"342.07"</f>
        <v>342.07</v>
      </c>
      <c r="F682" s="11"/>
      <c r="G682" s="11">
        <v>2017</v>
      </c>
      <c r="H682" s="12" t="str">
        <f>"438.58"</f>
        <v>438.58</v>
      </c>
      <c r="I682" s="12"/>
      <c r="J682" s="12"/>
      <c r="K682" s="12"/>
      <c r="L682" s="12"/>
      <c r="M682" s="12"/>
      <c r="N682" s="12" t="str">
        <f>"318.78"</f>
        <v>318.78</v>
      </c>
      <c r="O682" s="12" t="str">
        <f>"388.45"</f>
        <v>388.45</v>
      </c>
      <c r="P682" s="12"/>
      <c r="Q682" s="12"/>
      <c r="R682" s="12" t="str">
        <f>"365.36"</f>
        <v>365.36</v>
      </c>
      <c r="S682" s="12"/>
      <c r="T682" s="12"/>
      <c r="U682" s="12"/>
      <c r="V682" s="12"/>
      <c r="W682" s="12"/>
      <c r="X682" s="12"/>
      <c r="Y682" s="12" t="str">
        <f>"646.55"</f>
        <v>646.55</v>
      </c>
      <c r="Z682" s="12"/>
      <c r="AA682" s="12"/>
    </row>
    <row r="683" spans="1:27">
      <c r="A683" s="9">
        <v>681</v>
      </c>
      <c r="B683" s="9">
        <v>1917</v>
      </c>
      <c r="C683" s="9" t="s">
        <v>935</v>
      </c>
      <c r="D683" s="9" t="s">
        <v>38</v>
      </c>
      <c r="E683" s="10" t="str">
        <f>"343.03"</f>
        <v>343.03</v>
      </c>
      <c r="F683" s="11" t="s">
        <v>11</v>
      </c>
      <c r="G683" s="11">
        <v>2017</v>
      </c>
      <c r="H683" s="12" t="str">
        <f>"315.03"</f>
        <v>315.03</v>
      </c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>
      <c r="A684" s="9">
        <v>682</v>
      </c>
      <c r="B684" s="9">
        <v>2396</v>
      </c>
      <c r="C684" s="9" t="s">
        <v>887</v>
      </c>
      <c r="D684" s="9" t="s">
        <v>10</v>
      </c>
      <c r="E684" s="10" t="str">
        <f>"343.16"</f>
        <v>343.16</v>
      </c>
      <c r="F684" s="11"/>
      <c r="G684" s="11">
        <v>2017</v>
      </c>
      <c r="H684" s="12" t="str">
        <f>"339.55"</f>
        <v>339.55</v>
      </c>
      <c r="I684" s="12" t="str">
        <f>"455.55"</f>
        <v>455.55</v>
      </c>
      <c r="J684" s="12"/>
      <c r="K684" s="12"/>
      <c r="L684" s="12"/>
      <c r="M684" s="12"/>
      <c r="N684" s="12"/>
      <c r="O684" s="12"/>
      <c r="P684" s="12"/>
      <c r="Q684" s="12"/>
      <c r="R684" s="12"/>
      <c r="S684" s="12" t="str">
        <f>"294.16"</f>
        <v>294.16</v>
      </c>
      <c r="T684" s="12" t="str">
        <f>"392.15"</f>
        <v>392.15</v>
      </c>
      <c r="U684" s="12"/>
      <c r="V684" s="12"/>
      <c r="W684" s="12"/>
      <c r="X684" s="12"/>
      <c r="Y684" s="12"/>
      <c r="Z684" s="12"/>
      <c r="AA684" s="12"/>
    </row>
    <row r="685" spans="1:27">
      <c r="A685" s="9">
        <v>683</v>
      </c>
      <c r="B685" s="9">
        <v>6275</v>
      </c>
      <c r="C685" s="9" t="s">
        <v>455</v>
      </c>
      <c r="D685" s="9" t="s">
        <v>19</v>
      </c>
      <c r="E685" s="10" t="str">
        <f>"343.30"</f>
        <v>343.30</v>
      </c>
      <c r="F685" s="11"/>
      <c r="G685" s="11">
        <v>2017</v>
      </c>
      <c r="H685" s="12" t="str">
        <f>"274.60"</f>
        <v>274.60</v>
      </c>
      <c r="I685" s="12"/>
      <c r="J685" s="12"/>
      <c r="K685" s="12"/>
      <c r="L685" s="12"/>
      <c r="M685" s="12"/>
      <c r="N685" s="12" t="str">
        <f>"277.88"</f>
        <v>277.88</v>
      </c>
      <c r="O685" s="12" t="str">
        <f>"441.52"</f>
        <v>441.52</v>
      </c>
      <c r="P685" s="12"/>
      <c r="Q685" s="12"/>
      <c r="R685" s="12" t="str">
        <f>"408.72"</f>
        <v>408.72</v>
      </c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>
      <c r="A686" s="9">
        <v>684</v>
      </c>
      <c r="B686" s="9">
        <v>10167</v>
      </c>
      <c r="C686" s="9" t="s">
        <v>496</v>
      </c>
      <c r="D686" s="9" t="s">
        <v>10</v>
      </c>
      <c r="E686" s="10" t="str">
        <f>"343.95"</f>
        <v>343.95</v>
      </c>
      <c r="F686" s="11"/>
      <c r="G686" s="11">
        <v>2017</v>
      </c>
      <c r="H686" s="12" t="str">
        <f>"283.42"</f>
        <v>283.42</v>
      </c>
      <c r="I686" s="12" t="str">
        <f>"335.96"</f>
        <v>335.96</v>
      </c>
      <c r="J686" s="12"/>
      <c r="K686" s="12"/>
      <c r="L686" s="12"/>
      <c r="M686" s="12"/>
      <c r="N686" s="12"/>
      <c r="O686" s="12"/>
      <c r="P686" s="12"/>
      <c r="Q686" s="12"/>
      <c r="R686" s="12"/>
      <c r="S686" s="12" t="str">
        <f>"351.93"</f>
        <v>351.93</v>
      </c>
      <c r="T686" s="12" t="str">
        <f>"561.48"</f>
        <v>561.48</v>
      </c>
      <c r="U686" s="12"/>
      <c r="V686" s="12"/>
      <c r="W686" s="12"/>
      <c r="X686" s="12"/>
      <c r="Y686" s="12"/>
      <c r="Z686" s="12"/>
      <c r="AA686" s="12"/>
    </row>
    <row r="687" spans="1:27">
      <c r="A687" s="9">
        <v>685</v>
      </c>
      <c r="B687" s="9">
        <v>1321</v>
      </c>
      <c r="C687" s="9" t="s">
        <v>552</v>
      </c>
      <c r="D687" s="9" t="s">
        <v>68</v>
      </c>
      <c r="E687" s="10" t="str">
        <f>"345.75"</f>
        <v>345.75</v>
      </c>
      <c r="F687" s="11" t="s">
        <v>11</v>
      </c>
      <c r="G687" s="11">
        <v>2017</v>
      </c>
      <c r="H687" s="12" t="str">
        <f>"317.75"</f>
        <v>317.75</v>
      </c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>
      <c r="A688" s="9">
        <v>686</v>
      </c>
      <c r="B688" s="9">
        <v>10955</v>
      </c>
      <c r="C688" s="9" t="s">
        <v>501</v>
      </c>
      <c r="D688" s="9" t="s">
        <v>19</v>
      </c>
      <c r="E688" s="10" t="str">
        <f>"346.80"</f>
        <v>346.80</v>
      </c>
      <c r="F688" s="11" t="s">
        <v>9</v>
      </c>
      <c r="G688" s="11">
        <v>2017</v>
      </c>
      <c r="H688" s="12" t="str">
        <f>"366.33"</f>
        <v>366.33</v>
      </c>
      <c r="I688" s="12"/>
      <c r="J688" s="12"/>
      <c r="K688" s="12"/>
      <c r="L688" s="12"/>
      <c r="M688" s="12"/>
      <c r="N688" s="12"/>
      <c r="O688" s="12"/>
      <c r="P688" s="12"/>
      <c r="Q688" s="12"/>
      <c r="R688" s="12" t="str">
        <f>"318.80"</f>
        <v>318.80</v>
      </c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>
      <c r="A689" s="9">
        <v>687</v>
      </c>
      <c r="B689" s="9">
        <v>10898</v>
      </c>
      <c r="C689" s="9" t="s">
        <v>879</v>
      </c>
      <c r="D689" s="9" t="s">
        <v>10</v>
      </c>
      <c r="E689" s="10" t="str">
        <f>"346.93"</f>
        <v>346.93</v>
      </c>
      <c r="F689" s="11"/>
      <c r="G689" s="11">
        <v>2017</v>
      </c>
      <c r="H689" s="12" t="str">
        <f>"659.84"</f>
        <v>659.84</v>
      </c>
      <c r="I689" s="12" t="str">
        <f>"615.49"</f>
        <v>615.49</v>
      </c>
      <c r="J689" s="12" t="str">
        <f>"547.85"</f>
        <v>547.85</v>
      </c>
      <c r="K689" s="12"/>
      <c r="L689" s="12"/>
      <c r="M689" s="12"/>
      <c r="N689" s="12"/>
      <c r="O689" s="12"/>
      <c r="P689" s="12"/>
      <c r="Q689" s="12"/>
      <c r="R689" s="12"/>
      <c r="S689" s="12" t="str">
        <f>"395.74"</f>
        <v>395.74</v>
      </c>
      <c r="T689" s="12"/>
      <c r="U689" s="12"/>
      <c r="V689" s="12"/>
      <c r="W689" s="12"/>
      <c r="X689" s="12"/>
      <c r="Y689" s="12"/>
      <c r="Z689" s="12" t="str">
        <f>"337.38"</f>
        <v>337.38</v>
      </c>
      <c r="AA689" s="12" t="str">
        <f>"356.48"</f>
        <v>356.48</v>
      </c>
    </row>
    <row r="690" spans="1:27">
      <c r="A690" s="9">
        <v>688</v>
      </c>
      <c r="B690" s="9">
        <v>10907</v>
      </c>
      <c r="C690" s="9" t="s">
        <v>821</v>
      </c>
      <c r="D690" s="9" t="s">
        <v>10</v>
      </c>
      <c r="E690" s="10" t="str">
        <f>"347.65"</f>
        <v>347.65</v>
      </c>
      <c r="F690" s="11"/>
      <c r="G690" s="11">
        <v>2017</v>
      </c>
      <c r="H690" s="12" t="str">
        <f>"614.24"</f>
        <v>614.24</v>
      </c>
      <c r="I690" s="12" t="str">
        <f>"621.74"</f>
        <v>621.74</v>
      </c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 t="str">
        <f>"314.42"</f>
        <v>314.42</v>
      </c>
      <c r="AA690" s="12" t="str">
        <f>"380.87"</f>
        <v>380.87</v>
      </c>
    </row>
    <row r="691" spans="1:27">
      <c r="A691" s="9">
        <v>689</v>
      </c>
      <c r="B691" s="9">
        <v>10372</v>
      </c>
      <c r="C691" s="9" t="s">
        <v>835</v>
      </c>
      <c r="D691" s="9" t="s">
        <v>81</v>
      </c>
      <c r="E691" s="10" t="str">
        <f>"350.35"</f>
        <v>350.35</v>
      </c>
      <c r="F691" s="11" t="s">
        <v>11</v>
      </c>
      <c r="G691" s="11">
        <v>2017</v>
      </c>
      <c r="H691" s="12" t="str">
        <f>"322.35"</f>
        <v>322.35</v>
      </c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>
      <c r="A692" s="9">
        <v>690</v>
      </c>
      <c r="B692" s="9">
        <v>10437</v>
      </c>
      <c r="C692" s="9" t="s">
        <v>803</v>
      </c>
      <c r="D692" s="9" t="s">
        <v>19</v>
      </c>
      <c r="E692" s="10" t="str">
        <f>"350.72"</f>
        <v>350.72</v>
      </c>
      <c r="F692" s="11"/>
      <c r="G692" s="11">
        <v>2017</v>
      </c>
      <c r="H692" s="12" t="str">
        <f>"391.87"</f>
        <v>391.87</v>
      </c>
      <c r="I692" s="12"/>
      <c r="J692" s="12"/>
      <c r="K692" s="12"/>
      <c r="L692" s="12"/>
      <c r="M692" s="12"/>
      <c r="N692" s="12"/>
      <c r="O692" s="12"/>
      <c r="P692" s="12"/>
      <c r="Q692" s="12"/>
      <c r="R692" s="12" t="str">
        <f>"771.60"</f>
        <v>771.60</v>
      </c>
      <c r="S692" s="12"/>
      <c r="T692" s="12"/>
      <c r="U692" s="12"/>
      <c r="V692" s="12"/>
      <c r="W692" s="12"/>
      <c r="X692" s="12"/>
      <c r="Y692" s="12" t="str">
        <f>"289.39"</f>
        <v>289.39</v>
      </c>
      <c r="Z692" s="12" t="str">
        <f>"412.04"</f>
        <v>412.04</v>
      </c>
      <c r="AA692" s="12"/>
    </row>
    <row r="693" spans="1:27">
      <c r="A693" s="9">
        <v>691</v>
      </c>
      <c r="B693" s="9">
        <v>10584</v>
      </c>
      <c r="C693" s="9" t="s">
        <v>843</v>
      </c>
      <c r="D693" s="9" t="s">
        <v>10</v>
      </c>
      <c r="E693" s="10" t="str">
        <f>"351.09"</f>
        <v>351.09</v>
      </c>
      <c r="F693" s="11"/>
      <c r="G693" s="11">
        <v>2017</v>
      </c>
      <c r="H693" s="12" t="str">
        <f>"292.60"</f>
        <v>292.60</v>
      </c>
      <c r="I693" s="12" t="str">
        <f>"367.35"</f>
        <v>367.35</v>
      </c>
      <c r="J693" s="12"/>
      <c r="K693" s="12"/>
      <c r="L693" s="12"/>
      <c r="M693" s="12"/>
      <c r="N693" s="12"/>
      <c r="O693" s="12"/>
      <c r="P693" s="12"/>
      <c r="Q693" s="12"/>
      <c r="R693" s="12"/>
      <c r="S693" s="12" t="str">
        <f>"334.82"</f>
        <v>334.82</v>
      </c>
      <c r="T693" s="12" t="str">
        <f>"412.25"</f>
        <v>412.25</v>
      </c>
      <c r="U693" s="12"/>
      <c r="V693" s="12"/>
      <c r="W693" s="12"/>
      <c r="X693" s="12"/>
      <c r="Y693" s="12"/>
      <c r="Z693" s="12"/>
      <c r="AA693" s="12"/>
    </row>
    <row r="694" spans="1:27">
      <c r="A694" s="9">
        <v>692</v>
      </c>
      <c r="B694" s="9">
        <v>10888</v>
      </c>
      <c r="C694" s="9" t="s">
        <v>757</v>
      </c>
      <c r="D694" s="9" t="s">
        <v>10</v>
      </c>
      <c r="E694" s="10" t="str">
        <f>"351.30"</f>
        <v>351.30</v>
      </c>
      <c r="F694" s="11"/>
      <c r="G694" s="11">
        <v>2017</v>
      </c>
      <c r="H694" s="12" t="str">
        <f>"507.01"</f>
        <v>507.01</v>
      </c>
      <c r="I694" s="12" t="str">
        <f>"418.92"</f>
        <v>418.92</v>
      </c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 t="str">
        <f>"359.52"</f>
        <v>359.52</v>
      </c>
      <c r="AA694" s="12" t="str">
        <f>"343.08"</f>
        <v>343.08</v>
      </c>
    </row>
    <row r="695" spans="1:27">
      <c r="A695" s="9">
        <v>693</v>
      </c>
      <c r="B695" s="9">
        <v>10298</v>
      </c>
      <c r="C695" s="9" t="s">
        <v>720</v>
      </c>
      <c r="D695" s="9" t="s">
        <v>25</v>
      </c>
      <c r="E695" s="10" t="str">
        <f>"351.32"</f>
        <v>351.32</v>
      </c>
      <c r="F695" s="11" t="s">
        <v>11</v>
      </c>
      <c r="G695" s="11">
        <v>2017</v>
      </c>
      <c r="H695" s="12" t="str">
        <f>"323.32"</f>
        <v>323.32</v>
      </c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>
      <c r="A696" s="9">
        <v>694</v>
      </c>
      <c r="B696" s="9">
        <v>11097</v>
      </c>
      <c r="C696" s="9" t="s">
        <v>700</v>
      </c>
      <c r="D696" s="9" t="s">
        <v>14</v>
      </c>
      <c r="E696" s="10" t="str">
        <f>"352.23"</f>
        <v>352.23</v>
      </c>
      <c r="F696" s="11" t="s">
        <v>9</v>
      </c>
      <c r="G696" s="11">
        <v>2017</v>
      </c>
      <c r="H696" s="12" t="str">
        <f>"341.63"</f>
        <v>341.63</v>
      </c>
      <c r="I696" s="12"/>
      <c r="J696" s="12"/>
      <c r="K696" s="12"/>
      <c r="L696" s="12"/>
      <c r="M696" s="12" t="str">
        <f>"324.23"</f>
        <v>324.23</v>
      </c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>
      <c r="A697" s="9">
        <v>695</v>
      </c>
      <c r="B697" s="9">
        <v>4546</v>
      </c>
      <c r="C697" s="9" t="s">
        <v>402</v>
      </c>
      <c r="D697" s="9" t="s">
        <v>21</v>
      </c>
      <c r="E697" s="10" t="str">
        <f>"352.60"</f>
        <v>352.60</v>
      </c>
      <c r="F697" s="11" t="s">
        <v>11</v>
      </c>
      <c r="G697" s="11">
        <v>2017</v>
      </c>
      <c r="H697" s="12" t="str">
        <f>"324.60"</f>
        <v>324.60</v>
      </c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>
      <c r="A698" s="9">
        <v>696</v>
      </c>
      <c r="B698" s="9">
        <v>11284</v>
      </c>
      <c r="C698" s="9" t="s">
        <v>822</v>
      </c>
      <c r="D698" s="9" t="s">
        <v>10</v>
      </c>
      <c r="E698" s="10" t="str">
        <f>"354.27"</f>
        <v>354.27</v>
      </c>
      <c r="F698" s="11" t="s">
        <v>9</v>
      </c>
      <c r="G698" s="11">
        <v>2017</v>
      </c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 t="str">
        <f>"326.27"</f>
        <v>326.27</v>
      </c>
      <c r="T698" s="12"/>
      <c r="U698" s="12"/>
      <c r="V698" s="12"/>
      <c r="W698" s="12"/>
      <c r="X698" s="12"/>
      <c r="Y698" s="12"/>
      <c r="Z698" s="12"/>
      <c r="AA698" s="12"/>
    </row>
    <row r="699" spans="1:27">
      <c r="A699" s="9">
        <v>697</v>
      </c>
      <c r="B699" s="9">
        <v>10458</v>
      </c>
      <c r="C699" s="9" t="s">
        <v>1215</v>
      </c>
      <c r="D699" s="9" t="s">
        <v>19</v>
      </c>
      <c r="E699" s="10" t="str">
        <f>"354.53"</f>
        <v>354.53</v>
      </c>
      <c r="F699" s="11"/>
      <c r="G699" s="11">
        <v>2017</v>
      </c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 t="str">
        <f>"843.34"</f>
        <v>843.34</v>
      </c>
      <c r="S699" s="12"/>
      <c r="T699" s="12"/>
      <c r="U699" s="12"/>
      <c r="V699" s="12"/>
      <c r="W699" s="12"/>
      <c r="X699" s="12"/>
      <c r="Y699" s="12"/>
      <c r="Z699" s="12" t="str">
        <f>"366.48"</f>
        <v>366.48</v>
      </c>
      <c r="AA699" s="12" t="str">
        <f>"342.58"</f>
        <v>342.58</v>
      </c>
    </row>
    <row r="700" spans="1:27">
      <c r="A700" s="9">
        <v>698</v>
      </c>
      <c r="B700" s="9">
        <v>3924</v>
      </c>
      <c r="C700" s="9" t="s">
        <v>913</v>
      </c>
      <c r="D700" s="9" t="s">
        <v>914</v>
      </c>
      <c r="E700" s="10" t="str">
        <f>"354.72"</f>
        <v>354.72</v>
      </c>
      <c r="F700" s="11" t="s">
        <v>9</v>
      </c>
      <c r="G700" s="11">
        <v>2017</v>
      </c>
      <c r="H700" s="12" t="str">
        <f>"320.83"</f>
        <v>320.83</v>
      </c>
      <c r="I700" s="12"/>
      <c r="J700" s="12"/>
      <c r="K700" s="12"/>
      <c r="L700" s="12" t="str">
        <f>"326.72"</f>
        <v>326.72</v>
      </c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>
      <c r="A701" s="9">
        <v>699</v>
      </c>
      <c r="B701" s="9">
        <v>11204</v>
      </c>
      <c r="C701" s="9" t="s">
        <v>742</v>
      </c>
      <c r="D701" s="9" t="s">
        <v>19</v>
      </c>
      <c r="E701" s="10" t="str">
        <f>"354.78"</f>
        <v>354.78</v>
      </c>
      <c r="F701" s="11"/>
      <c r="G701" s="11">
        <v>2017</v>
      </c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 t="str">
        <f>"507.90"</f>
        <v>507.90</v>
      </c>
      <c r="S701" s="12"/>
      <c r="T701" s="12"/>
      <c r="U701" s="12"/>
      <c r="V701" s="12"/>
      <c r="W701" s="12"/>
      <c r="X701" s="12"/>
      <c r="Y701" s="12" t="str">
        <f>"201.65"</f>
        <v>201.65</v>
      </c>
      <c r="Z701" s="12"/>
      <c r="AA701" s="12"/>
    </row>
    <row r="702" spans="1:27">
      <c r="A702" s="9">
        <v>700</v>
      </c>
      <c r="B702" s="9">
        <v>11227</v>
      </c>
      <c r="C702" s="9" t="s">
        <v>762</v>
      </c>
      <c r="D702" s="9" t="s">
        <v>77</v>
      </c>
      <c r="E702" s="10" t="str">
        <f>"355.04"</f>
        <v>355.04</v>
      </c>
      <c r="F702" s="11" t="s">
        <v>9</v>
      </c>
      <c r="G702" s="11">
        <v>2017</v>
      </c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 t="str">
        <f>"327.04"</f>
        <v>327.04</v>
      </c>
      <c r="Y702" s="12"/>
      <c r="Z702" s="12"/>
      <c r="AA702" s="12"/>
    </row>
    <row r="703" spans="1:27">
      <c r="A703" s="9">
        <v>701</v>
      </c>
      <c r="B703" s="9">
        <v>11043</v>
      </c>
      <c r="C703" s="9" t="s">
        <v>941</v>
      </c>
      <c r="D703" s="9" t="s">
        <v>12</v>
      </c>
      <c r="E703" s="10" t="str">
        <f>"355.27"</f>
        <v>355.27</v>
      </c>
      <c r="F703" s="11" t="s">
        <v>9</v>
      </c>
      <c r="G703" s="11">
        <v>2017</v>
      </c>
      <c r="H703" s="12" t="str">
        <f>"360.76"</f>
        <v>360.76</v>
      </c>
      <c r="I703" s="12"/>
      <c r="J703" s="12"/>
      <c r="K703" s="12"/>
      <c r="L703" s="12"/>
      <c r="M703" s="12" t="str">
        <f>"327.27"</f>
        <v>327.27</v>
      </c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>
      <c r="A704" s="9">
        <v>702</v>
      </c>
      <c r="B704" s="9">
        <v>10115</v>
      </c>
      <c r="C704" s="9" t="s">
        <v>811</v>
      </c>
      <c r="D704" s="9" t="s">
        <v>10</v>
      </c>
      <c r="E704" s="10" t="str">
        <f>"356.54"</f>
        <v>356.54</v>
      </c>
      <c r="F704" s="11" t="s">
        <v>9</v>
      </c>
      <c r="G704" s="11">
        <v>2017</v>
      </c>
      <c r="H704" s="12" t="str">
        <f>"506.01"</f>
        <v>506.01</v>
      </c>
      <c r="I704" s="12" t="str">
        <f>"328.54"</f>
        <v>328.54</v>
      </c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>
      <c r="A705" s="9">
        <v>703</v>
      </c>
      <c r="B705" s="9">
        <v>2817</v>
      </c>
      <c r="C705" s="9" t="s">
        <v>1201</v>
      </c>
      <c r="D705" s="9" t="s">
        <v>40</v>
      </c>
      <c r="E705" s="10" t="str">
        <f>"356.82"</f>
        <v>356.82</v>
      </c>
      <c r="F705" s="11" t="s">
        <v>11</v>
      </c>
      <c r="G705" s="11">
        <v>2017</v>
      </c>
      <c r="H705" s="12" t="str">
        <f>"328.82"</f>
        <v>328.82</v>
      </c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>
      <c r="A706" s="9">
        <v>704</v>
      </c>
      <c r="B706" s="9">
        <v>10702</v>
      </c>
      <c r="C706" s="9" t="s">
        <v>673</v>
      </c>
      <c r="D706" s="9" t="s">
        <v>10</v>
      </c>
      <c r="E706" s="10" t="str">
        <f>"357.98"</f>
        <v>357.98</v>
      </c>
      <c r="F706" s="11" t="s">
        <v>11</v>
      </c>
      <c r="G706" s="11">
        <v>2017</v>
      </c>
      <c r="H706" s="12" t="str">
        <f>"329.98"</f>
        <v>329.98</v>
      </c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>
      <c r="A707" s="9">
        <v>705</v>
      </c>
      <c r="B707" s="9">
        <v>5190</v>
      </c>
      <c r="C707" s="9" t="s">
        <v>937</v>
      </c>
      <c r="D707" s="9" t="s">
        <v>87</v>
      </c>
      <c r="E707" s="10" t="str">
        <f>"358.31"</f>
        <v>358.31</v>
      </c>
      <c r="F707" s="11" t="s">
        <v>11</v>
      </c>
      <c r="G707" s="11">
        <v>2017</v>
      </c>
      <c r="H707" s="12" t="str">
        <f>"330.31"</f>
        <v>330.31</v>
      </c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>
      <c r="A708" s="9">
        <v>706</v>
      </c>
      <c r="B708" s="9">
        <v>9143</v>
      </c>
      <c r="C708" s="9" t="s">
        <v>490</v>
      </c>
      <c r="D708" s="9" t="s">
        <v>22</v>
      </c>
      <c r="E708" s="10" t="str">
        <f>"358.46"</f>
        <v>358.46</v>
      </c>
      <c r="F708" s="11" t="s">
        <v>9</v>
      </c>
      <c r="G708" s="11">
        <v>2017</v>
      </c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 t="str">
        <f>"330.46"</f>
        <v>330.46</v>
      </c>
      <c r="W708" s="12"/>
      <c r="X708" s="12"/>
      <c r="Y708" s="12"/>
      <c r="Z708" s="12"/>
      <c r="AA708" s="12"/>
    </row>
    <row r="709" spans="1:27">
      <c r="A709" s="9">
        <v>707</v>
      </c>
      <c r="B709" s="9">
        <v>10993</v>
      </c>
      <c r="C709" s="9" t="s">
        <v>580</v>
      </c>
      <c r="D709" s="9" t="s">
        <v>49</v>
      </c>
      <c r="E709" s="10" t="str">
        <f>"358.81"</f>
        <v>358.81</v>
      </c>
      <c r="F709" s="11"/>
      <c r="G709" s="11">
        <v>2017</v>
      </c>
      <c r="H709" s="12" t="str">
        <f>"374.23"</f>
        <v>374.23</v>
      </c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 t="str">
        <f>"319.22"</f>
        <v>319.22</v>
      </c>
      <c r="V709" s="12" t="str">
        <f>"398.40"</f>
        <v>398.40</v>
      </c>
      <c r="W709" s="12"/>
      <c r="X709" s="12"/>
      <c r="Y709" s="12"/>
      <c r="Z709" s="12"/>
      <c r="AA709" s="12"/>
    </row>
    <row r="710" spans="1:27">
      <c r="A710" s="9">
        <v>708</v>
      </c>
      <c r="B710" s="9">
        <v>10774</v>
      </c>
      <c r="C710" s="9" t="s">
        <v>541</v>
      </c>
      <c r="D710" s="9" t="s">
        <v>19</v>
      </c>
      <c r="E710" s="10" t="str">
        <f>"359.11"</f>
        <v>359.11</v>
      </c>
      <c r="F710" s="11"/>
      <c r="G710" s="11">
        <v>2017</v>
      </c>
      <c r="H710" s="12" t="str">
        <f>"808.44"</f>
        <v>808.44</v>
      </c>
      <c r="I710" s="12"/>
      <c r="J710" s="12"/>
      <c r="K710" s="12"/>
      <c r="L710" s="12"/>
      <c r="M710" s="12"/>
      <c r="N710" s="12"/>
      <c r="O710" s="12"/>
      <c r="P710" s="12"/>
      <c r="Q710" s="12"/>
      <c r="R710" s="12" t="str">
        <f>"726.00"</f>
        <v>726.00</v>
      </c>
      <c r="S710" s="12"/>
      <c r="T710" s="12"/>
      <c r="U710" s="12"/>
      <c r="V710" s="12"/>
      <c r="W710" s="12"/>
      <c r="X710" s="12"/>
      <c r="Y710" s="12" t="str">
        <f>"325.84"</f>
        <v>325.84</v>
      </c>
      <c r="Z710" s="12" t="str">
        <f>"392.37"</f>
        <v>392.37</v>
      </c>
      <c r="AA710" s="12"/>
    </row>
    <row r="711" spans="1:27">
      <c r="A711" s="9">
        <v>709</v>
      </c>
      <c r="B711" s="9">
        <v>1275</v>
      </c>
      <c r="C711" s="9" t="s">
        <v>621</v>
      </c>
      <c r="D711" s="9" t="s">
        <v>71</v>
      </c>
      <c r="E711" s="10" t="str">
        <f>"359.76"</f>
        <v>359.76</v>
      </c>
      <c r="F711" s="11" t="s">
        <v>9</v>
      </c>
      <c r="G711" s="11">
        <v>2017</v>
      </c>
      <c r="H711" s="12" t="str">
        <f>"212.11"</f>
        <v>212.11</v>
      </c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 t="str">
        <f>"331.76"</f>
        <v>331.76</v>
      </c>
      <c r="V711" s="12"/>
      <c r="W711" s="12"/>
      <c r="X711" s="12"/>
      <c r="Y711" s="12"/>
      <c r="Z711" s="12"/>
      <c r="AA711" s="12"/>
    </row>
    <row r="712" spans="1:27">
      <c r="A712" s="9">
        <v>710</v>
      </c>
      <c r="B712" s="9">
        <v>9332</v>
      </c>
      <c r="C712" s="9" t="s">
        <v>629</v>
      </c>
      <c r="D712" s="9" t="s">
        <v>72</v>
      </c>
      <c r="E712" s="10" t="str">
        <f>"360.55"</f>
        <v>360.55</v>
      </c>
      <c r="F712" s="11" t="s">
        <v>11</v>
      </c>
      <c r="G712" s="11">
        <v>2017</v>
      </c>
      <c r="H712" s="12" t="str">
        <f>"332.55"</f>
        <v>332.55</v>
      </c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>
      <c r="A713" s="9">
        <v>711</v>
      </c>
      <c r="B713" s="9">
        <v>1236</v>
      </c>
      <c r="C713" s="9" t="s">
        <v>663</v>
      </c>
      <c r="D713" s="9" t="s">
        <v>65</v>
      </c>
      <c r="E713" s="10" t="str">
        <f>"360.56"</f>
        <v>360.56</v>
      </c>
      <c r="F713" s="11" t="s">
        <v>9</v>
      </c>
      <c r="G713" s="11">
        <v>2017</v>
      </c>
      <c r="H713" s="12" t="str">
        <f>"264.52"</f>
        <v>264.52</v>
      </c>
      <c r="I713" s="12"/>
      <c r="J713" s="12"/>
      <c r="K713" s="12"/>
      <c r="L713" s="12"/>
      <c r="M713" s="12"/>
      <c r="N713" s="12"/>
      <c r="O713" s="12"/>
      <c r="P713" s="12"/>
      <c r="Q713" s="12" t="str">
        <f>"332.56"</f>
        <v>332.56</v>
      </c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>
      <c r="A714" s="9">
        <v>712</v>
      </c>
      <c r="B714" s="9">
        <v>1266</v>
      </c>
      <c r="C714" s="9" t="s">
        <v>734</v>
      </c>
      <c r="D714" s="9" t="s">
        <v>94</v>
      </c>
      <c r="E714" s="10" t="str">
        <f>"360.78"</f>
        <v>360.78</v>
      </c>
      <c r="F714" s="11" t="s">
        <v>9</v>
      </c>
      <c r="G714" s="11">
        <v>2017</v>
      </c>
      <c r="H714" s="12" t="str">
        <f>"283.98"</f>
        <v>283.98</v>
      </c>
      <c r="I714" s="12"/>
      <c r="J714" s="12"/>
      <c r="K714" s="12"/>
      <c r="L714" s="12"/>
      <c r="M714" s="12"/>
      <c r="N714" s="12"/>
      <c r="O714" s="12"/>
      <c r="P714" s="12"/>
      <c r="Q714" s="12" t="str">
        <f>"332.78"</f>
        <v>332.78</v>
      </c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>
      <c r="A715" s="9">
        <v>713</v>
      </c>
      <c r="B715" s="9">
        <v>2211</v>
      </c>
      <c r="C715" s="9" t="s">
        <v>691</v>
      </c>
      <c r="D715" s="9" t="s">
        <v>10</v>
      </c>
      <c r="E715" s="10" t="str">
        <f>"360.87"</f>
        <v>360.87</v>
      </c>
      <c r="F715" s="11" t="s">
        <v>9</v>
      </c>
      <c r="G715" s="11">
        <v>2017</v>
      </c>
      <c r="H715" s="12" t="str">
        <f>"219.66"</f>
        <v>219.66</v>
      </c>
      <c r="I715" s="12"/>
      <c r="J715" s="12" t="str">
        <f>"332.87"</f>
        <v>332.87</v>
      </c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>
      <c r="A716" s="9">
        <v>714</v>
      </c>
      <c r="B716" s="9">
        <v>1365</v>
      </c>
      <c r="C716" s="9" t="s">
        <v>809</v>
      </c>
      <c r="D716" s="9" t="s">
        <v>79</v>
      </c>
      <c r="E716" s="10" t="str">
        <f>"361.29"</f>
        <v>361.29</v>
      </c>
      <c r="F716" s="11" t="s">
        <v>9</v>
      </c>
      <c r="G716" s="11">
        <v>2017</v>
      </c>
      <c r="H716" s="12" t="str">
        <f>"342.69"</f>
        <v>342.69</v>
      </c>
      <c r="I716" s="12"/>
      <c r="J716" s="12"/>
      <c r="K716" s="12"/>
      <c r="L716" s="12" t="str">
        <f>"333.29"</f>
        <v>333.29</v>
      </c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>
      <c r="A717" s="9">
        <v>715</v>
      </c>
      <c r="B717" s="9">
        <v>10883</v>
      </c>
      <c r="C717" s="9" t="s">
        <v>789</v>
      </c>
      <c r="D717" s="9" t="s">
        <v>10</v>
      </c>
      <c r="E717" s="10" t="str">
        <f>"362.85"</f>
        <v>362.85</v>
      </c>
      <c r="F717" s="11"/>
      <c r="G717" s="11">
        <v>2017</v>
      </c>
      <c r="H717" s="12" t="str">
        <f>"465.05"</f>
        <v>465.05</v>
      </c>
      <c r="I717" s="12" t="str">
        <f>"385.90"</f>
        <v>385.90</v>
      </c>
      <c r="J717" s="12"/>
      <c r="K717" s="12"/>
      <c r="L717" s="12"/>
      <c r="M717" s="12"/>
      <c r="N717" s="12"/>
      <c r="O717" s="12"/>
      <c r="P717" s="12"/>
      <c r="Q717" s="12"/>
      <c r="R717" s="12"/>
      <c r="S717" s="12" t="str">
        <f>"339.80"</f>
        <v>339.80</v>
      </c>
      <c r="T717" s="12"/>
      <c r="U717" s="12"/>
      <c r="V717" s="12"/>
      <c r="W717" s="12"/>
      <c r="X717" s="12"/>
      <c r="Y717" s="12"/>
      <c r="Z717" s="12"/>
      <c r="AA717" s="12"/>
    </row>
    <row r="718" spans="1:27">
      <c r="A718" s="9">
        <v>716</v>
      </c>
      <c r="B718" s="9">
        <v>10971</v>
      </c>
      <c r="C718" s="9" t="s">
        <v>699</v>
      </c>
      <c r="D718" s="9" t="s">
        <v>14</v>
      </c>
      <c r="E718" s="10" t="str">
        <f>"363.09"</f>
        <v>363.09</v>
      </c>
      <c r="F718" s="11" t="s">
        <v>9</v>
      </c>
      <c r="G718" s="11">
        <v>2017</v>
      </c>
      <c r="H718" s="12" t="str">
        <f>"344.11"</f>
        <v>344.11</v>
      </c>
      <c r="I718" s="12"/>
      <c r="J718" s="12"/>
      <c r="K718" s="12"/>
      <c r="L718" s="12"/>
      <c r="M718" s="12" t="str">
        <f>"335.09"</f>
        <v>335.09</v>
      </c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>
      <c r="A719" s="9">
        <v>717</v>
      </c>
      <c r="B719" s="9">
        <v>4539</v>
      </c>
      <c r="C719" s="9" t="s">
        <v>1190</v>
      </c>
      <c r="D719" s="9" t="s">
        <v>716</v>
      </c>
      <c r="E719" s="10" t="str">
        <f>"365.22"</f>
        <v>365.22</v>
      </c>
      <c r="F719" s="11" t="s">
        <v>11</v>
      </c>
      <c r="G719" s="11">
        <v>2017</v>
      </c>
      <c r="H719" s="12" t="str">
        <f>"337.22"</f>
        <v>337.22</v>
      </c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>
      <c r="A720" s="9">
        <v>718</v>
      </c>
      <c r="B720" s="9">
        <v>2919</v>
      </c>
      <c r="C720" s="9" t="s">
        <v>578</v>
      </c>
      <c r="D720" s="9" t="s">
        <v>71</v>
      </c>
      <c r="E720" s="10" t="str">
        <f>"366.02"</f>
        <v>366.02</v>
      </c>
      <c r="F720" s="11" t="s">
        <v>9</v>
      </c>
      <c r="G720" s="11">
        <v>2017</v>
      </c>
      <c r="H720" s="12" t="str">
        <f>"186.97"</f>
        <v>186.97</v>
      </c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 t="str">
        <f>"338.02"</f>
        <v>338.02</v>
      </c>
      <c r="V720" s="12"/>
      <c r="W720" s="12"/>
      <c r="X720" s="12"/>
      <c r="Y720" s="12"/>
      <c r="Z720" s="12"/>
      <c r="AA720" s="12"/>
    </row>
    <row r="721" spans="1:27">
      <c r="A721" s="9">
        <v>719</v>
      </c>
      <c r="B721" s="9">
        <v>5512</v>
      </c>
      <c r="C721" s="9" t="s">
        <v>842</v>
      </c>
      <c r="D721" s="9" t="s">
        <v>10</v>
      </c>
      <c r="E721" s="10" t="str">
        <f>"367.39"</f>
        <v>367.39</v>
      </c>
      <c r="F721" s="11" t="s">
        <v>11</v>
      </c>
      <c r="G721" s="11">
        <v>2017</v>
      </c>
      <c r="H721" s="12" t="str">
        <f>"339.39"</f>
        <v>339.39</v>
      </c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>
      <c r="A722" s="9">
        <v>720</v>
      </c>
      <c r="B722" s="9">
        <v>11309</v>
      </c>
      <c r="C722" s="9" t="s">
        <v>1152</v>
      </c>
      <c r="D722" s="9" t="s">
        <v>10</v>
      </c>
      <c r="E722" s="10" t="str">
        <f>"368.45"</f>
        <v>368.45</v>
      </c>
      <c r="F722" s="11"/>
      <c r="G722" s="11">
        <v>2017</v>
      </c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 t="str">
        <f>"418.17"</f>
        <v>418.17</v>
      </c>
      <c r="T722" s="12"/>
      <c r="U722" s="12"/>
      <c r="V722" s="12"/>
      <c r="W722" s="12"/>
      <c r="X722" s="12"/>
      <c r="Y722" s="12"/>
      <c r="Z722" s="12" t="str">
        <f>"318.72"</f>
        <v>318.72</v>
      </c>
      <c r="AA722" s="12"/>
    </row>
    <row r="723" spans="1:27">
      <c r="A723" s="9">
        <v>721</v>
      </c>
      <c r="B723" s="9">
        <v>11260</v>
      </c>
      <c r="C723" s="9" t="s">
        <v>983</v>
      </c>
      <c r="D723" s="9" t="s">
        <v>10</v>
      </c>
      <c r="E723" s="10" t="str">
        <f>"368.58"</f>
        <v>368.58</v>
      </c>
      <c r="F723" s="11" t="s">
        <v>9</v>
      </c>
      <c r="G723" s="11">
        <v>2017</v>
      </c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 t="str">
        <f>"340.58"</f>
        <v>340.58</v>
      </c>
      <c r="T723" s="12"/>
      <c r="U723" s="12"/>
      <c r="V723" s="12"/>
      <c r="W723" s="12"/>
      <c r="X723" s="12"/>
      <c r="Y723" s="12"/>
      <c r="Z723" s="12"/>
      <c r="AA723" s="12"/>
    </row>
    <row r="724" spans="1:27">
      <c r="A724" s="9">
        <v>722</v>
      </c>
      <c r="B724" s="9">
        <v>10778</v>
      </c>
      <c r="C724" s="9" t="s">
        <v>596</v>
      </c>
      <c r="D724" s="9" t="s">
        <v>19</v>
      </c>
      <c r="E724" s="10" t="str">
        <f>"368.86"</f>
        <v>368.86</v>
      </c>
      <c r="F724" s="11"/>
      <c r="G724" s="11">
        <v>2017</v>
      </c>
      <c r="H724" s="12" t="str">
        <f>"448.06"</f>
        <v>448.06</v>
      </c>
      <c r="I724" s="12"/>
      <c r="J724" s="12"/>
      <c r="K724" s="12"/>
      <c r="L724" s="12"/>
      <c r="M724" s="12"/>
      <c r="N724" s="12"/>
      <c r="O724" s="12"/>
      <c r="P724" s="12"/>
      <c r="Q724" s="12"/>
      <c r="R724" s="12" t="str">
        <f>"812.10"</f>
        <v>812.10</v>
      </c>
      <c r="S724" s="12"/>
      <c r="T724" s="12"/>
      <c r="U724" s="12"/>
      <c r="V724" s="12"/>
      <c r="W724" s="12"/>
      <c r="X724" s="12"/>
      <c r="Y724" s="12" t="str">
        <f>"328.68"</f>
        <v>328.68</v>
      </c>
      <c r="Z724" s="12" t="str">
        <f>"409.03"</f>
        <v>409.03</v>
      </c>
      <c r="AA724" s="12"/>
    </row>
    <row r="725" spans="1:27">
      <c r="A725" s="9">
        <v>723</v>
      </c>
      <c r="B725" s="9">
        <v>10165</v>
      </c>
      <c r="C725" s="9" t="s">
        <v>658</v>
      </c>
      <c r="D725" s="9" t="s">
        <v>10</v>
      </c>
      <c r="E725" s="10" t="str">
        <f>"369.25"</f>
        <v>369.25</v>
      </c>
      <c r="F725" s="11"/>
      <c r="G725" s="11">
        <v>2017</v>
      </c>
      <c r="H725" s="12" t="str">
        <f>"324.95"</f>
        <v>324.95</v>
      </c>
      <c r="I725" s="12" t="str">
        <f>"415.66"</f>
        <v>415.66</v>
      </c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 t="str">
        <f>"322.83"</f>
        <v>322.83</v>
      </c>
      <c r="AA725" s="12"/>
    </row>
    <row r="726" spans="1:27">
      <c r="A726" s="9">
        <v>724</v>
      </c>
      <c r="B726" s="9">
        <v>10414</v>
      </c>
      <c r="C726" s="9" t="s">
        <v>786</v>
      </c>
      <c r="D726" s="9" t="s">
        <v>19</v>
      </c>
      <c r="E726" s="10" t="str">
        <f>"369.45"</f>
        <v>369.45</v>
      </c>
      <c r="F726" s="11"/>
      <c r="G726" s="11">
        <v>2017</v>
      </c>
      <c r="H726" s="12" t="str">
        <f>"350.95"</f>
        <v>350.95</v>
      </c>
      <c r="I726" s="12"/>
      <c r="J726" s="12"/>
      <c r="K726" s="12"/>
      <c r="L726" s="12"/>
      <c r="M726" s="12"/>
      <c r="N726" s="12"/>
      <c r="O726" s="12" t="str">
        <f>"443.43"</f>
        <v>443.43</v>
      </c>
      <c r="P726" s="12"/>
      <c r="Q726" s="12"/>
      <c r="R726" s="12" t="str">
        <f>"692.84"</f>
        <v>692.84</v>
      </c>
      <c r="S726" s="12"/>
      <c r="T726" s="12"/>
      <c r="U726" s="12"/>
      <c r="V726" s="12"/>
      <c r="W726" s="12"/>
      <c r="X726" s="12"/>
      <c r="Y726" s="12" t="str">
        <f>"295.46"</f>
        <v>295.46</v>
      </c>
      <c r="Z726" s="12"/>
      <c r="AA726" s="12"/>
    </row>
    <row r="727" spans="1:27">
      <c r="A727" s="9">
        <v>725</v>
      </c>
      <c r="B727" s="9">
        <v>10617</v>
      </c>
      <c r="C727" s="9" t="s">
        <v>868</v>
      </c>
      <c r="D727" s="9" t="s">
        <v>10</v>
      </c>
      <c r="E727" s="10" t="str">
        <f>"370.59"</f>
        <v>370.59</v>
      </c>
      <c r="F727" s="11" t="s">
        <v>11</v>
      </c>
      <c r="G727" s="11">
        <v>2017</v>
      </c>
      <c r="H727" s="12" t="str">
        <f>"342.59"</f>
        <v>342.59</v>
      </c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>
      <c r="A728" s="9">
        <v>726</v>
      </c>
      <c r="B728" s="9">
        <v>4346</v>
      </c>
      <c r="C728" s="9" t="s">
        <v>847</v>
      </c>
      <c r="D728" s="9" t="s">
        <v>60</v>
      </c>
      <c r="E728" s="10" t="str">
        <f>"370.83"</f>
        <v>370.83</v>
      </c>
      <c r="F728" s="11" t="s">
        <v>11</v>
      </c>
      <c r="G728" s="11">
        <v>2017</v>
      </c>
      <c r="H728" s="12" t="str">
        <f>"342.83"</f>
        <v>342.83</v>
      </c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>
      <c r="A729" s="9">
        <v>727</v>
      </c>
      <c r="B729" s="9">
        <v>8088</v>
      </c>
      <c r="C729" s="9" t="s">
        <v>469</v>
      </c>
      <c r="D729" s="9" t="s">
        <v>65</v>
      </c>
      <c r="E729" s="10" t="str">
        <f>"370.97"</f>
        <v>370.97</v>
      </c>
      <c r="F729" s="11" t="s">
        <v>11</v>
      </c>
      <c r="G729" s="11">
        <v>2017</v>
      </c>
      <c r="H729" s="12" t="str">
        <f>"342.97"</f>
        <v>342.97</v>
      </c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>
      <c r="A730" s="9">
        <v>728</v>
      </c>
      <c r="B730" s="9">
        <v>6468</v>
      </c>
      <c r="C730" s="9" t="s">
        <v>903</v>
      </c>
      <c r="D730" s="9" t="s">
        <v>904</v>
      </c>
      <c r="E730" s="10" t="str">
        <f>"371.41"</f>
        <v>371.41</v>
      </c>
      <c r="F730" s="11" t="s">
        <v>9</v>
      </c>
      <c r="G730" s="11">
        <v>2017</v>
      </c>
      <c r="H730" s="12" t="str">
        <f>"277.29"</f>
        <v>277.29</v>
      </c>
      <c r="I730" s="12"/>
      <c r="J730" s="12"/>
      <c r="K730" s="12"/>
      <c r="L730" s="12"/>
      <c r="M730" s="12"/>
      <c r="N730" s="12"/>
      <c r="O730" s="12"/>
      <c r="P730" s="12"/>
      <c r="Q730" s="12" t="str">
        <f>"343.41"</f>
        <v>343.41</v>
      </c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>
      <c r="A731" s="9">
        <v>729</v>
      </c>
      <c r="B731" s="9">
        <v>2332</v>
      </c>
      <c r="C731" s="9" t="s">
        <v>895</v>
      </c>
      <c r="D731" s="9" t="s">
        <v>10</v>
      </c>
      <c r="E731" s="10" t="str">
        <f>"372.21"</f>
        <v>372.21</v>
      </c>
      <c r="F731" s="11" t="s">
        <v>11</v>
      </c>
      <c r="G731" s="11">
        <v>2017</v>
      </c>
      <c r="H731" s="12" t="str">
        <f>"344.21"</f>
        <v>344.21</v>
      </c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>
      <c r="A732" s="9">
        <v>730</v>
      </c>
      <c r="B732" s="9">
        <v>2173</v>
      </c>
      <c r="C732" s="9" t="s">
        <v>839</v>
      </c>
      <c r="D732" s="9" t="s">
        <v>10</v>
      </c>
      <c r="E732" s="10" t="str">
        <f>"372.40"</f>
        <v>372.40</v>
      </c>
      <c r="F732" s="11"/>
      <c r="G732" s="11">
        <v>2017</v>
      </c>
      <c r="H732" s="12" t="str">
        <f>"584.03"</f>
        <v>584.03</v>
      </c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 t="str">
        <f>"242.32"</f>
        <v>242.32</v>
      </c>
      <c r="T732" s="12" t="str">
        <f>"502.48"</f>
        <v>502.48</v>
      </c>
      <c r="U732" s="12"/>
      <c r="V732" s="12"/>
      <c r="W732" s="12"/>
      <c r="X732" s="12"/>
      <c r="Y732" s="12"/>
      <c r="Z732" s="12"/>
      <c r="AA732" s="12"/>
    </row>
    <row r="733" spans="1:27">
      <c r="A733" s="9">
        <v>731</v>
      </c>
      <c r="B733" s="9">
        <v>5353</v>
      </c>
      <c r="C733" s="9" t="s">
        <v>662</v>
      </c>
      <c r="D733" s="9" t="s">
        <v>14</v>
      </c>
      <c r="E733" s="10" t="str">
        <f>"373.05"</f>
        <v>373.05</v>
      </c>
      <c r="F733" s="11" t="s">
        <v>9</v>
      </c>
      <c r="G733" s="11">
        <v>2017</v>
      </c>
      <c r="H733" s="12" t="str">
        <f>"174.18"</f>
        <v>174.18</v>
      </c>
      <c r="I733" s="12"/>
      <c r="J733" s="12"/>
      <c r="K733" s="12"/>
      <c r="L733" s="12"/>
      <c r="M733" s="12" t="str">
        <f>"345.05"</f>
        <v>345.05</v>
      </c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>
      <c r="A734" s="9">
        <v>732</v>
      </c>
      <c r="B734" s="9">
        <v>2296</v>
      </c>
      <c r="C734" s="9" t="s">
        <v>545</v>
      </c>
      <c r="D734" s="9" t="s">
        <v>10</v>
      </c>
      <c r="E734" s="10" t="str">
        <f>"373.63"</f>
        <v>373.63</v>
      </c>
      <c r="F734" s="11"/>
      <c r="G734" s="11">
        <v>2017</v>
      </c>
      <c r="H734" s="12" t="str">
        <f>"294.92"</f>
        <v>294.92</v>
      </c>
      <c r="I734" s="12" t="str">
        <f>"494.72"</f>
        <v>494.72</v>
      </c>
      <c r="J734" s="12"/>
      <c r="K734" s="12"/>
      <c r="L734" s="12"/>
      <c r="M734" s="12"/>
      <c r="N734" s="12"/>
      <c r="O734" s="12"/>
      <c r="P734" s="12"/>
      <c r="Q734" s="12"/>
      <c r="R734" s="12"/>
      <c r="S734" s="12" t="str">
        <f>"252.53"</f>
        <v>252.53</v>
      </c>
      <c r="T734" s="12"/>
      <c r="U734" s="12"/>
      <c r="V734" s="12"/>
      <c r="W734" s="12"/>
      <c r="X734" s="12"/>
      <c r="Y734" s="12"/>
      <c r="Z734" s="12"/>
      <c r="AA734" s="12"/>
    </row>
    <row r="735" spans="1:27">
      <c r="A735" s="9">
        <v>733</v>
      </c>
      <c r="B735" s="9">
        <v>4143</v>
      </c>
      <c r="C735" s="9" t="s">
        <v>820</v>
      </c>
      <c r="D735" s="9" t="s">
        <v>22</v>
      </c>
      <c r="E735" s="10" t="str">
        <f>"374.17"</f>
        <v>374.17</v>
      </c>
      <c r="F735" s="11" t="s">
        <v>11</v>
      </c>
      <c r="G735" s="11">
        <v>2017</v>
      </c>
      <c r="H735" s="12" t="str">
        <f>"346.17"</f>
        <v>346.17</v>
      </c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>
      <c r="A736" s="9">
        <v>734</v>
      </c>
      <c r="B736" s="9">
        <v>10823</v>
      </c>
      <c r="C736" s="9" t="s">
        <v>351</v>
      </c>
      <c r="D736" s="9" t="s">
        <v>19</v>
      </c>
      <c r="E736" s="10" t="str">
        <f>"375.35"</f>
        <v>375.35</v>
      </c>
      <c r="F736" s="11"/>
      <c r="G736" s="11">
        <v>2017</v>
      </c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 t="str">
        <f>"530.22"</f>
        <v>530.22</v>
      </c>
      <c r="S736" s="12"/>
      <c r="T736" s="12"/>
      <c r="U736" s="12" t="str">
        <f>"220.48"</f>
        <v>220.48</v>
      </c>
      <c r="V736" s="12"/>
      <c r="W736" s="12"/>
      <c r="X736" s="12"/>
      <c r="Y736" s="12"/>
      <c r="Z736" s="12"/>
      <c r="AA736" s="12"/>
    </row>
    <row r="737" spans="1:27">
      <c r="A737" s="9">
        <v>735</v>
      </c>
      <c r="B737" s="9">
        <v>3104</v>
      </c>
      <c r="C737" s="9" t="s">
        <v>945</v>
      </c>
      <c r="D737" s="9" t="s">
        <v>91</v>
      </c>
      <c r="E737" s="10" t="str">
        <f>"375.77"</f>
        <v>375.77</v>
      </c>
      <c r="F737" s="11" t="s">
        <v>11</v>
      </c>
      <c r="G737" s="11">
        <v>2017</v>
      </c>
      <c r="H737" s="12" t="str">
        <f>"347.77"</f>
        <v>347.77</v>
      </c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>
      <c r="A738" s="9">
        <v>736</v>
      </c>
      <c r="B738" s="9">
        <v>3107</v>
      </c>
      <c r="C738" s="9" t="s">
        <v>837</v>
      </c>
      <c r="D738" s="9" t="s">
        <v>167</v>
      </c>
      <c r="E738" s="10" t="str">
        <f>"376.51"</f>
        <v>376.51</v>
      </c>
      <c r="F738" s="11" t="s">
        <v>9</v>
      </c>
      <c r="G738" s="11">
        <v>2017</v>
      </c>
      <c r="H738" s="12" t="str">
        <f>"328.02"</f>
        <v>328.02</v>
      </c>
      <c r="I738" s="12"/>
      <c r="J738" s="12"/>
      <c r="K738" s="12"/>
      <c r="L738" s="12"/>
      <c r="M738" s="12"/>
      <c r="N738" s="12"/>
      <c r="O738" s="12"/>
      <c r="P738" s="12"/>
      <c r="Q738" s="12" t="str">
        <f>"348.51"</f>
        <v>348.51</v>
      </c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>
      <c r="A739" s="9">
        <v>737</v>
      </c>
      <c r="B739" s="9">
        <v>11268</v>
      </c>
      <c r="C739" s="9" t="s">
        <v>692</v>
      </c>
      <c r="D739" s="9" t="s">
        <v>10</v>
      </c>
      <c r="E739" s="10" t="str">
        <f>"377.02"</f>
        <v>377.02</v>
      </c>
      <c r="F739" s="11"/>
      <c r="G739" s="11">
        <v>2017</v>
      </c>
      <c r="H739" s="12"/>
      <c r="I739" s="12" t="str">
        <f>"468.13"</f>
        <v>468.13</v>
      </c>
      <c r="J739" s="12" t="str">
        <f>"594.55"</f>
        <v>594.55</v>
      </c>
      <c r="K739" s="12"/>
      <c r="L739" s="12"/>
      <c r="M739" s="12"/>
      <c r="N739" s="12"/>
      <c r="O739" s="12"/>
      <c r="P739" s="12"/>
      <c r="Q739" s="12"/>
      <c r="R739" s="12"/>
      <c r="S739" s="12" t="str">
        <f>"371.04"</f>
        <v>371.04</v>
      </c>
      <c r="T739" s="12" t="str">
        <f>"564.11"</f>
        <v>564.11</v>
      </c>
      <c r="U739" s="12"/>
      <c r="V739" s="12"/>
      <c r="W739" s="12"/>
      <c r="X739" s="12" t="str">
        <f>"382.99"</f>
        <v>382.99</v>
      </c>
      <c r="Y739" s="12"/>
      <c r="Z739" s="12"/>
      <c r="AA739" s="12"/>
    </row>
    <row r="740" spans="1:27">
      <c r="A740" s="9">
        <v>738</v>
      </c>
      <c r="B740" s="9">
        <v>10125</v>
      </c>
      <c r="C740" s="9" t="s">
        <v>794</v>
      </c>
      <c r="D740" s="9" t="s">
        <v>10</v>
      </c>
      <c r="E740" s="10" t="str">
        <f>"377.58"</f>
        <v>377.58</v>
      </c>
      <c r="F740" s="11"/>
      <c r="G740" s="11">
        <v>2017</v>
      </c>
      <c r="H740" s="12" t="str">
        <f>"568.00"</f>
        <v>568.00</v>
      </c>
      <c r="I740" s="12" t="str">
        <f>"473.74"</f>
        <v>473.74</v>
      </c>
      <c r="J740" s="12" t="str">
        <f>"456.39"</f>
        <v>456.39</v>
      </c>
      <c r="K740" s="12"/>
      <c r="L740" s="12"/>
      <c r="M740" s="12"/>
      <c r="N740" s="12"/>
      <c r="O740" s="12"/>
      <c r="P740" s="12"/>
      <c r="Q740" s="12"/>
      <c r="R740" s="12"/>
      <c r="S740" s="12" t="str">
        <f>"410.05"</f>
        <v>410.05</v>
      </c>
      <c r="T740" s="12"/>
      <c r="U740" s="12"/>
      <c r="V740" s="12"/>
      <c r="W740" s="12"/>
      <c r="X740" s="12" t="str">
        <f>"345.11"</f>
        <v>345.11</v>
      </c>
      <c r="Y740" s="12"/>
      <c r="Z740" s="12"/>
      <c r="AA740" s="12"/>
    </row>
    <row r="741" spans="1:27">
      <c r="A741" s="9">
        <v>739</v>
      </c>
      <c r="B741" s="9">
        <v>10965</v>
      </c>
      <c r="C741" s="9" t="s">
        <v>783</v>
      </c>
      <c r="D741" s="9" t="s">
        <v>27</v>
      </c>
      <c r="E741" s="10" t="str">
        <f>"378.93"</f>
        <v>378.93</v>
      </c>
      <c r="F741" s="11" t="s">
        <v>9</v>
      </c>
      <c r="G741" s="11">
        <v>2017</v>
      </c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 t="str">
        <f>"350.93"</f>
        <v>350.93</v>
      </c>
      <c r="V741" s="12"/>
      <c r="W741" s="12"/>
      <c r="X741" s="12"/>
      <c r="Y741" s="12"/>
      <c r="Z741" s="12"/>
      <c r="AA741" s="12"/>
    </row>
    <row r="742" spans="1:27">
      <c r="A742" s="9">
        <v>740</v>
      </c>
      <c r="B742" s="9">
        <v>9958</v>
      </c>
      <c r="C742" s="9" t="s">
        <v>477</v>
      </c>
      <c r="D742" s="9" t="s">
        <v>19</v>
      </c>
      <c r="E742" s="10" t="str">
        <f>"379.02"</f>
        <v>379.02</v>
      </c>
      <c r="F742" s="11" t="s">
        <v>9</v>
      </c>
      <c r="G742" s="11">
        <v>2017</v>
      </c>
      <c r="H742" s="12" t="str">
        <f>"382.14"</f>
        <v>382.14</v>
      </c>
      <c r="I742" s="12"/>
      <c r="J742" s="12"/>
      <c r="K742" s="12"/>
      <c r="L742" s="12"/>
      <c r="M742" s="12"/>
      <c r="N742" s="12"/>
      <c r="O742" s="12"/>
      <c r="P742" s="12"/>
      <c r="Q742" s="12"/>
      <c r="R742" s="12" t="str">
        <f>"351.02"</f>
        <v>351.02</v>
      </c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>
      <c r="A743" s="9">
        <v>741</v>
      </c>
      <c r="B743" s="9">
        <v>10689</v>
      </c>
      <c r="C743" s="9" t="s">
        <v>636</v>
      </c>
      <c r="D743" s="9" t="s">
        <v>14</v>
      </c>
      <c r="E743" s="10" t="str">
        <f>"379.85"</f>
        <v>379.85</v>
      </c>
      <c r="F743" s="11" t="s">
        <v>9</v>
      </c>
      <c r="G743" s="11">
        <v>2017</v>
      </c>
      <c r="H743" s="12" t="str">
        <f>"655.65"</f>
        <v>655.65</v>
      </c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 t="str">
        <f>"351.85"</f>
        <v>351.85</v>
      </c>
      <c r="Y743" s="12"/>
      <c r="Z743" s="12"/>
      <c r="AA743" s="12"/>
    </row>
    <row r="744" spans="1:27">
      <c r="A744" s="9">
        <v>742</v>
      </c>
      <c r="B744" s="9">
        <v>3269</v>
      </c>
      <c r="C744" s="9" t="s">
        <v>831</v>
      </c>
      <c r="D744" s="9" t="s">
        <v>48</v>
      </c>
      <c r="E744" s="10" t="str">
        <f>"380.82"</f>
        <v>380.82</v>
      </c>
      <c r="F744" s="11" t="s">
        <v>11</v>
      </c>
      <c r="G744" s="11">
        <v>2017</v>
      </c>
      <c r="H744" s="12" t="str">
        <f>"352.82"</f>
        <v>352.82</v>
      </c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>
      <c r="A745" s="9">
        <v>743</v>
      </c>
      <c r="B745" s="9">
        <v>10585</v>
      </c>
      <c r="C745" s="9" t="s">
        <v>925</v>
      </c>
      <c r="D745" s="9" t="s">
        <v>10</v>
      </c>
      <c r="E745" s="10" t="str">
        <f>"381.15"</f>
        <v>381.15</v>
      </c>
      <c r="F745" s="11" t="s">
        <v>9</v>
      </c>
      <c r="G745" s="11">
        <v>2017</v>
      </c>
      <c r="H745" s="12" t="str">
        <f>"407.03"</f>
        <v>407.03</v>
      </c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 t="str">
        <f>"353.15"</f>
        <v>353.15</v>
      </c>
      <c r="T745" s="12"/>
      <c r="U745" s="12"/>
      <c r="V745" s="12"/>
      <c r="W745" s="12"/>
      <c r="X745" s="12"/>
      <c r="Y745" s="12"/>
      <c r="Z745" s="12"/>
      <c r="AA745" s="12"/>
    </row>
    <row r="746" spans="1:27">
      <c r="A746" s="9">
        <v>744</v>
      </c>
      <c r="B746" s="9">
        <v>2334</v>
      </c>
      <c r="C746" s="9" t="s">
        <v>867</v>
      </c>
      <c r="D746" s="9" t="s">
        <v>10</v>
      </c>
      <c r="E746" s="10" t="str">
        <f>"381.53"</f>
        <v>381.53</v>
      </c>
      <c r="F746" s="11"/>
      <c r="G746" s="11">
        <v>2017</v>
      </c>
      <c r="H746" s="12" t="str">
        <f>"375.31"</f>
        <v>375.31</v>
      </c>
      <c r="I746" s="12" t="str">
        <f>"435.83"</f>
        <v>435.83</v>
      </c>
      <c r="J746" s="12" t="str">
        <f>"441.54"</f>
        <v>441.54</v>
      </c>
      <c r="K746" s="12"/>
      <c r="L746" s="12"/>
      <c r="M746" s="12"/>
      <c r="N746" s="12"/>
      <c r="O746" s="12"/>
      <c r="P746" s="12"/>
      <c r="Q746" s="12"/>
      <c r="R746" s="12"/>
      <c r="S746" s="12" t="str">
        <f>"355.68"</f>
        <v>355.68</v>
      </c>
      <c r="T746" s="12" t="str">
        <f>"450.37"</f>
        <v>450.37</v>
      </c>
      <c r="U746" s="12"/>
      <c r="V746" s="12"/>
      <c r="W746" s="12"/>
      <c r="X746" s="12"/>
      <c r="Y746" s="12"/>
      <c r="Z746" s="12" t="str">
        <f>"407.38"</f>
        <v>407.38</v>
      </c>
      <c r="AA746" s="12"/>
    </row>
    <row r="747" spans="1:27">
      <c r="A747" s="9">
        <v>745</v>
      </c>
      <c r="B747" s="9">
        <v>5817</v>
      </c>
      <c r="C747" s="9" t="s">
        <v>817</v>
      </c>
      <c r="D747" s="9" t="s">
        <v>21</v>
      </c>
      <c r="E747" s="10" t="str">
        <f>"382.17"</f>
        <v>382.17</v>
      </c>
      <c r="F747" s="11" t="s">
        <v>9</v>
      </c>
      <c r="G747" s="11">
        <v>2017</v>
      </c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 t="str">
        <f>"354.17"</f>
        <v>354.17</v>
      </c>
      <c r="V747" s="12"/>
      <c r="W747" s="12"/>
      <c r="X747" s="12"/>
      <c r="Y747" s="12"/>
      <c r="Z747" s="12"/>
      <c r="AA747" s="12"/>
    </row>
    <row r="748" spans="1:27">
      <c r="A748" s="9">
        <v>746</v>
      </c>
      <c r="B748" s="9">
        <v>2174</v>
      </c>
      <c r="C748" s="9" t="s">
        <v>747</v>
      </c>
      <c r="D748" s="9" t="s">
        <v>10</v>
      </c>
      <c r="E748" s="10" t="str">
        <f>"383.01"</f>
        <v>383.01</v>
      </c>
      <c r="F748" s="11"/>
      <c r="G748" s="11">
        <v>2017</v>
      </c>
      <c r="H748" s="12" t="str">
        <f>"337.56"</f>
        <v>337.56</v>
      </c>
      <c r="I748" s="12" t="str">
        <f>"421.81"</f>
        <v>421.81</v>
      </c>
      <c r="J748" s="12" t="str">
        <f>"405.96"</f>
        <v>405.96</v>
      </c>
      <c r="K748" s="12"/>
      <c r="L748" s="12"/>
      <c r="M748" s="12"/>
      <c r="N748" s="12"/>
      <c r="O748" s="12"/>
      <c r="P748" s="12"/>
      <c r="Q748" s="12"/>
      <c r="R748" s="12"/>
      <c r="S748" s="12" t="str">
        <f>"360.05"</f>
        <v>360.05</v>
      </c>
      <c r="T748" s="12" t="str">
        <f>"439.70"</f>
        <v>439.70</v>
      </c>
      <c r="U748" s="12"/>
      <c r="V748" s="12"/>
      <c r="W748" s="12"/>
      <c r="X748" s="12"/>
      <c r="Y748" s="12"/>
      <c r="Z748" s="12"/>
      <c r="AA748" s="12"/>
    </row>
    <row r="749" spans="1:27">
      <c r="A749" s="9">
        <v>747</v>
      </c>
      <c r="B749" s="9">
        <v>2161</v>
      </c>
      <c r="C749" s="9" t="s">
        <v>953</v>
      </c>
      <c r="D749" s="9" t="s">
        <v>10</v>
      </c>
      <c r="E749" s="10" t="str">
        <f>"383.35"</f>
        <v>383.35</v>
      </c>
      <c r="F749" s="11"/>
      <c r="G749" s="11">
        <v>2017</v>
      </c>
      <c r="H749" s="12" t="str">
        <f>"356.12"</f>
        <v>356.12</v>
      </c>
      <c r="I749" s="12" t="str">
        <f>"381.83"</f>
        <v>381.83</v>
      </c>
      <c r="J749" s="12" t="str">
        <f>"384.87"</f>
        <v>384.87</v>
      </c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>
      <c r="A750" s="9">
        <v>748</v>
      </c>
      <c r="B750" s="9">
        <v>5410</v>
      </c>
      <c r="C750" s="9" t="s">
        <v>980</v>
      </c>
      <c r="D750" s="9" t="s">
        <v>60</v>
      </c>
      <c r="E750" s="10" t="str">
        <f>"383.42"</f>
        <v>383.42</v>
      </c>
      <c r="F750" s="11" t="s">
        <v>9</v>
      </c>
      <c r="G750" s="11">
        <v>2017</v>
      </c>
      <c r="H750" s="12" t="str">
        <f>"470.85"</f>
        <v>470.85</v>
      </c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 t="str">
        <f>"355.42"</f>
        <v>355.42</v>
      </c>
      <c r="X750" s="12"/>
      <c r="Y750" s="12"/>
      <c r="Z750" s="12"/>
      <c r="AA750" s="12"/>
    </row>
    <row r="751" spans="1:27">
      <c r="A751" s="9">
        <v>749</v>
      </c>
      <c r="B751" s="9">
        <v>11011</v>
      </c>
      <c r="C751" s="9" t="s">
        <v>871</v>
      </c>
      <c r="D751" s="9" t="s">
        <v>275</v>
      </c>
      <c r="E751" s="10" t="str">
        <f>"384.03"</f>
        <v>384.03</v>
      </c>
      <c r="F751" s="11" t="s">
        <v>11</v>
      </c>
      <c r="G751" s="11">
        <v>2017</v>
      </c>
      <c r="H751" s="12" t="str">
        <f>"356.03"</f>
        <v>356.03</v>
      </c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>
      <c r="A752" s="9">
        <v>750</v>
      </c>
      <c r="B752" s="9">
        <v>3880</v>
      </c>
      <c r="C752" s="9" t="s">
        <v>1206</v>
      </c>
      <c r="D752" s="9" t="s">
        <v>189</v>
      </c>
      <c r="E752" s="10" t="str">
        <f>"385.42"</f>
        <v>385.42</v>
      </c>
      <c r="F752" s="11" t="s">
        <v>11</v>
      </c>
      <c r="G752" s="11">
        <v>2017</v>
      </c>
      <c r="H752" s="12" t="str">
        <f>"357.42"</f>
        <v>357.42</v>
      </c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>
      <c r="A753" s="9">
        <v>751</v>
      </c>
      <c r="B753" s="9">
        <v>274</v>
      </c>
      <c r="C753" s="9" t="s">
        <v>863</v>
      </c>
      <c r="D753" s="9" t="s">
        <v>33</v>
      </c>
      <c r="E753" s="10" t="str">
        <f>"386.16"</f>
        <v>386.16</v>
      </c>
      <c r="F753" s="11" t="s">
        <v>9</v>
      </c>
      <c r="G753" s="11">
        <v>2017</v>
      </c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 t="str">
        <f>"358.16"</f>
        <v>358.16</v>
      </c>
      <c r="V753" s="12"/>
      <c r="W753" s="12"/>
      <c r="X753" s="12"/>
      <c r="Y753" s="12"/>
      <c r="Z753" s="12"/>
      <c r="AA753" s="12"/>
    </row>
    <row r="754" spans="1:27">
      <c r="A754" s="9">
        <v>752</v>
      </c>
      <c r="B754" s="9">
        <v>10483</v>
      </c>
      <c r="C754" s="9" t="s">
        <v>647</v>
      </c>
      <c r="D754" s="9" t="s">
        <v>19</v>
      </c>
      <c r="E754" s="10" t="str">
        <f>"387.30"</f>
        <v>387.30</v>
      </c>
      <c r="F754" s="11" t="s">
        <v>9</v>
      </c>
      <c r="G754" s="11">
        <v>2017</v>
      </c>
      <c r="H754" s="12" t="str">
        <f>"241.38"</f>
        <v>241.38</v>
      </c>
      <c r="I754" s="12"/>
      <c r="J754" s="12"/>
      <c r="K754" s="12"/>
      <c r="L754" s="12"/>
      <c r="M754" s="12"/>
      <c r="N754" s="12"/>
      <c r="O754" s="12"/>
      <c r="P754" s="12"/>
      <c r="Q754" s="12"/>
      <c r="R754" s="12" t="str">
        <f>"359.30"</f>
        <v>359.30</v>
      </c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>
      <c r="A755" s="9">
        <v>753</v>
      </c>
      <c r="B755" s="9">
        <v>10884</v>
      </c>
      <c r="C755" s="9" t="s">
        <v>917</v>
      </c>
      <c r="D755" s="9" t="s">
        <v>10</v>
      </c>
      <c r="E755" s="10" t="str">
        <f>"388.80"</f>
        <v>388.80</v>
      </c>
      <c r="F755" s="11"/>
      <c r="G755" s="11">
        <v>2017</v>
      </c>
      <c r="H755" s="12" t="str">
        <f>"528.30"</f>
        <v>528.30</v>
      </c>
      <c r="I755" s="12" t="str">
        <f>"444.70"</f>
        <v>444.70</v>
      </c>
      <c r="J755" s="12" t="str">
        <f>"481.50"</f>
        <v>481.50</v>
      </c>
      <c r="K755" s="12"/>
      <c r="L755" s="12"/>
      <c r="M755" s="12"/>
      <c r="N755" s="12"/>
      <c r="O755" s="12"/>
      <c r="P755" s="12"/>
      <c r="Q755" s="12"/>
      <c r="R755" s="12"/>
      <c r="S755" s="12" t="str">
        <f>"332.90"</f>
        <v>332.90</v>
      </c>
      <c r="T755" s="12"/>
      <c r="U755" s="12"/>
      <c r="V755" s="12"/>
      <c r="W755" s="12"/>
      <c r="X755" s="12"/>
      <c r="Y755" s="12"/>
      <c r="Z755" s="12"/>
      <c r="AA755" s="12"/>
    </row>
    <row r="756" spans="1:27">
      <c r="A756" s="9">
        <v>754</v>
      </c>
      <c r="B756" s="9">
        <v>2166</v>
      </c>
      <c r="C756" s="9" t="s">
        <v>961</v>
      </c>
      <c r="D756" s="9" t="s">
        <v>10</v>
      </c>
      <c r="E756" s="10" t="str">
        <f>"389.08"</f>
        <v>389.08</v>
      </c>
      <c r="F756" s="11"/>
      <c r="G756" s="11">
        <v>2017</v>
      </c>
      <c r="H756" s="12" t="str">
        <f>"435.57"</f>
        <v>435.57</v>
      </c>
      <c r="I756" s="12" t="str">
        <f>"412.95"</f>
        <v>412.95</v>
      </c>
      <c r="J756" s="12" t="str">
        <f>"415.07"</f>
        <v>415.07</v>
      </c>
      <c r="K756" s="12"/>
      <c r="L756" s="12"/>
      <c r="M756" s="12"/>
      <c r="N756" s="12"/>
      <c r="O756" s="12"/>
      <c r="P756" s="12"/>
      <c r="Q756" s="12"/>
      <c r="R756" s="12"/>
      <c r="S756" s="12" t="str">
        <f>"365.20"</f>
        <v>365.20</v>
      </c>
      <c r="T756" s="12"/>
      <c r="U756" s="12"/>
      <c r="V756" s="12"/>
      <c r="W756" s="12"/>
      <c r="X756" s="12"/>
      <c r="Y756" s="12"/>
      <c r="Z756" s="12"/>
      <c r="AA756" s="12"/>
    </row>
    <row r="757" spans="1:27">
      <c r="A757" s="9">
        <v>755</v>
      </c>
      <c r="B757" s="9">
        <v>4545</v>
      </c>
      <c r="C757" s="9" t="s">
        <v>672</v>
      </c>
      <c r="D757" s="9" t="s">
        <v>21</v>
      </c>
      <c r="E757" s="10" t="str">
        <f>"389.09"</f>
        <v>389.09</v>
      </c>
      <c r="F757" s="11" t="s">
        <v>11</v>
      </c>
      <c r="G757" s="11">
        <v>2017</v>
      </c>
      <c r="H757" s="12" t="str">
        <f>"361.09"</f>
        <v>361.09</v>
      </c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>
      <c r="A758" s="9">
        <v>756</v>
      </c>
      <c r="B758" s="9">
        <v>5653</v>
      </c>
      <c r="C758" s="9" t="s">
        <v>401</v>
      </c>
      <c r="D758" s="9" t="s">
        <v>74</v>
      </c>
      <c r="E758" s="10" t="str">
        <f>"389.71"</f>
        <v>389.71</v>
      </c>
      <c r="F758" s="11" t="s">
        <v>11</v>
      </c>
      <c r="G758" s="11">
        <v>2017</v>
      </c>
      <c r="H758" s="12" t="str">
        <f>"361.71"</f>
        <v>361.71</v>
      </c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>
      <c r="A759" s="9">
        <v>757</v>
      </c>
      <c r="B759" s="9">
        <v>6100</v>
      </c>
      <c r="C759" s="9" t="s">
        <v>857</v>
      </c>
      <c r="D759" s="9" t="s">
        <v>105</v>
      </c>
      <c r="E759" s="10" t="str">
        <f>"389.98"</f>
        <v>389.98</v>
      </c>
      <c r="F759" s="11" t="s">
        <v>9</v>
      </c>
      <c r="G759" s="11">
        <v>2017</v>
      </c>
      <c r="H759" s="12" t="str">
        <f>"305.57"</f>
        <v>305.57</v>
      </c>
      <c r="I759" s="12"/>
      <c r="J759" s="12"/>
      <c r="K759" s="12"/>
      <c r="L759" s="12"/>
      <c r="M759" s="12"/>
      <c r="N759" s="12"/>
      <c r="O759" s="12"/>
      <c r="P759" s="12"/>
      <c r="Q759" s="12" t="str">
        <f>"361.98"</f>
        <v>361.98</v>
      </c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>
      <c r="A760" s="9">
        <v>758</v>
      </c>
      <c r="B760" s="9">
        <v>3892</v>
      </c>
      <c r="C760" s="9" t="s">
        <v>266</v>
      </c>
      <c r="D760" s="9" t="s">
        <v>89</v>
      </c>
      <c r="E760" s="10" t="str">
        <f>"390.51"</f>
        <v>390.51</v>
      </c>
      <c r="F760" s="11" t="s">
        <v>9</v>
      </c>
      <c r="G760" s="11">
        <v>2017</v>
      </c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 t="str">
        <f>"362.51"</f>
        <v>362.51</v>
      </c>
      <c r="V760" s="12"/>
      <c r="W760" s="12"/>
      <c r="X760" s="12"/>
      <c r="Y760" s="12"/>
      <c r="Z760" s="12"/>
      <c r="AA760" s="12"/>
    </row>
    <row r="761" spans="1:27">
      <c r="A761" s="9">
        <v>759</v>
      </c>
      <c r="B761" s="9">
        <v>2325</v>
      </c>
      <c r="C761" s="9" t="s">
        <v>790</v>
      </c>
      <c r="D761" s="9" t="s">
        <v>10</v>
      </c>
      <c r="E761" s="10" t="str">
        <f>"390.87"</f>
        <v>390.87</v>
      </c>
      <c r="F761" s="11"/>
      <c r="G761" s="11">
        <v>2017</v>
      </c>
      <c r="H761" s="12" t="str">
        <f>"260.01"</f>
        <v>260.01</v>
      </c>
      <c r="I761" s="12" t="str">
        <f>"307.56"</f>
        <v>307.56</v>
      </c>
      <c r="J761" s="12" t="str">
        <f>"474.18"</f>
        <v>474.18</v>
      </c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>
      <c r="A762" s="9">
        <v>760</v>
      </c>
      <c r="B762" s="9">
        <v>2175</v>
      </c>
      <c r="C762" s="9" t="s">
        <v>808</v>
      </c>
      <c r="D762" s="9" t="s">
        <v>10</v>
      </c>
      <c r="E762" s="10" t="str">
        <f>"391.51"</f>
        <v>391.51</v>
      </c>
      <c r="F762" s="11"/>
      <c r="G762" s="11">
        <v>2017</v>
      </c>
      <c r="H762" s="12" t="str">
        <f>"378.41"</f>
        <v>378.41</v>
      </c>
      <c r="I762" s="12" t="str">
        <f>"429.68"</f>
        <v>429.68</v>
      </c>
      <c r="J762" s="12" t="str">
        <f>"448.50"</f>
        <v>448.50</v>
      </c>
      <c r="K762" s="12"/>
      <c r="L762" s="12"/>
      <c r="M762" s="12"/>
      <c r="N762" s="12"/>
      <c r="O762" s="12"/>
      <c r="P762" s="12"/>
      <c r="Q762" s="12"/>
      <c r="R762" s="12"/>
      <c r="S762" s="12" t="str">
        <f>"353.33"</f>
        <v>353.33</v>
      </c>
      <c r="T762" s="12" t="str">
        <f>"490.89"</f>
        <v>490.89</v>
      </c>
      <c r="U762" s="12"/>
      <c r="V762" s="12"/>
      <c r="W762" s="12"/>
      <c r="X762" s="12"/>
      <c r="Y762" s="12"/>
      <c r="Z762" s="12"/>
      <c r="AA762" s="12"/>
    </row>
    <row r="763" spans="1:27">
      <c r="A763" s="9">
        <v>761</v>
      </c>
      <c r="B763" s="9">
        <v>2668</v>
      </c>
      <c r="C763" s="9" t="s">
        <v>745</v>
      </c>
      <c r="D763" s="9" t="s">
        <v>133</v>
      </c>
      <c r="E763" s="10" t="str">
        <f>"391.77"</f>
        <v>391.77</v>
      </c>
      <c r="F763" s="11" t="s">
        <v>9</v>
      </c>
      <c r="G763" s="11">
        <v>2017</v>
      </c>
      <c r="H763" s="12" t="str">
        <f>"399.77"</f>
        <v>399.77</v>
      </c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 t="str">
        <f>"363.77"</f>
        <v>363.77</v>
      </c>
      <c r="W763" s="12"/>
      <c r="X763" s="12"/>
      <c r="Y763" s="12"/>
      <c r="Z763" s="12"/>
      <c r="AA763" s="12"/>
    </row>
    <row r="764" spans="1:27">
      <c r="A764" s="9">
        <v>762</v>
      </c>
      <c r="B764" s="9">
        <v>10910</v>
      </c>
      <c r="C764" s="9" t="s">
        <v>855</v>
      </c>
      <c r="D764" s="9" t="s">
        <v>10</v>
      </c>
      <c r="E764" s="10" t="str">
        <f>"393.98"</f>
        <v>393.98</v>
      </c>
      <c r="F764" s="11" t="s">
        <v>11</v>
      </c>
      <c r="G764" s="11">
        <v>2017</v>
      </c>
      <c r="H764" s="12" t="str">
        <f>"365.98"</f>
        <v>365.98</v>
      </c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>
      <c r="A765" s="9">
        <v>763</v>
      </c>
      <c r="B765" s="9">
        <v>1912</v>
      </c>
      <c r="C765" s="9" t="s">
        <v>801</v>
      </c>
      <c r="D765" s="9" t="s">
        <v>68</v>
      </c>
      <c r="E765" s="10" t="str">
        <f>"395.54"</f>
        <v>395.54</v>
      </c>
      <c r="F765" s="11" t="s">
        <v>11</v>
      </c>
      <c r="G765" s="11">
        <v>2017</v>
      </c>
      <c r="H765" s="12" t="str">
        <f>"367.54"</f>
        <v>367.54</v>
      </c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>
      <c r="A766" s="9">
        <v>764</v>
      </c>
      <c r="B766" s="9">
        <v>2269</v>
      </c>
      <c r="C766" s="9" t="s">
        <v>965</v>
      </c>
      <c r="D766" s="9" t="s">
        <v>904</v>
      </c>
      <c r="E766" s="10" t="str">
        <f>"396.00"</f>
        <v>396.00</v>
      </c>
      <c r="F766" s="11" t="s">
        <v>11</v>
      </c>
      <c r="G766" s="11">
        <v>2017</v>
      </c>
      <c r="H766" s="12" t="str">
        <f>"368.00"</f>
        <v>368.00</v>
      </c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>
      <c r="A767" s="9">
        <v>765</v>
      </c>
      <c r="B767" s="9">
        <v>10157</v>
      </c>
      <c r="C767" s="9" t="s">
        <v>1090</v>
      </c>
      <c r="D767" s="9" t="s">
        <v>10</v>
      </c>
      <c r="E767" s="10" t="str">
        <f>"396.66"</f>
        <v>396.66</v>
      </c>
      <c r="F767" s="11" t="s">
        <v>11</v>
      </c>
      <c r="G767" s="11">
        <v>2017</v>
      </c>
      <c r="H767" s="12" t="str">
        <f>"368.66"</f>
        <v>368.66</v>
      </c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>
      <c r="A768" s="9">
        <v>766</v>
      </c>
      <c r="B768" s="9">
        <v>10151</v>
      </c>
      <c r="C768" s="9" t="s">
        <v>642</v>
      </c>
      <c r="D768" s="9" t="s">
        <v>10</v>
      </c>
      <c r="E768" s="10" t="str">
        <f>"397.44"</f>
        <v>397.44</v>
      </c>
      <c r="F768" s="11" t="s">
        <v>9</v>
      </c>
      <c r="G768" s="11">
        <v>2017</v>
      </c>
      <c r="H768" s="12" t="str">
        <f>"288.84"</f>
        <v>288.84</v>
      </c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 t="str">
        <f>"369.44"</f>
        <v>369.44</v>
      </c>
      <c r="V768" s="12"/>
      <c r="W768" s="12"/>
      <c r="X768" s="12"/>
      <c r="Y768" s="12"/>
      <c r="Z768" s="12"/>
      <c r="AA768" s="12"/>
    </row>
    <row r="769" spans="1:27">
      <c r="A769" s="9">
        <v>767</v>
      </c>
      <c r="B769" s="9">
        <v>10096</v>
      </c>
      <c r="C769" s="9" t="s">
        <v>498</v>
      </c>
      <c r="D769" s="9" t="s">
        <v>49</v>
      </c>
      <c r="E769" s="10" t="str">
        <f>"398.31"</f>
        <v>398.31</v>
      </c>
      <c r="F769" s="11" t="s">
        <v>11</v>
      </c>
      <c r="G769" s="11">
        <v>2017</v>
      </c>
      <c r="H769" s="12" t="str">
        <f>"370.31"</f>
        <v>370.31</v>
      </c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>
      <c r="A770" s="9">
        <v>768</v>
      </c>
      <c r="B770" s="9">
        <v>10364</v>
      </c>
      <c r="C770" s="9" t="s">
        <v>911</v>
      </c>
      <c r="D770" s="9" t="s">
        <v>12</v>
      </c>
      <c r="E770" s="10" t="str">
        <f>"400.70"</f>
        <v>400.70</v>
      </c>
      <c r="F770" s="11" t="s">
        <v>11</v>
      </c>
      <c r="G770" s="11">
        <v>2017</v>
      </c>
      <c r="H770" s="12" t="str">
        <f>"372.70"</f>
        <v>372.70</v>
      </c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>
      <c r="A771" s="9">
        <v>769</v>
      </c>
      <c r="B771" s="9">
        <v>10875</v>
      </c>
      <c r="C771" s="9" t="s">
        <v>778</v>
      </c>
      <c r="D771" s="9" t="s">
        <v>10</v>
      </c>
      <c r="E771" s="10" t="str">
        <f>"401.31"</f>
        <v>401.31</v>
      </c>
      <c r="F771" s="11" t="s">
        <v>9</v>
      </c>
      <c r="G771" s="11">
        <v>2017</v>
      </c>
      <c r="H771" s="12" t="str">
        <f>"480.49"</f>
        <v>480.49</v>
      </c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 t="str">
        <f>"373.31"</f>
        <v>373.31</v>
      </c>
      <c r="T771" s="12"/>
      <c r="U771" s="12"/>
      <c r="V771" s="12"/>
      <c r="W771" s="12"/>
      <c r="X771" s="12"/>
      <c r="Y771" s="12"/>
      <c r="Z771" s="12"/>
      <c r="AA771" s="12"/>
    </row>
    <row r="772" spans="1:27">
      <c r="A772" s="9">
        <v>770</v>
      </c>
      <c r="B772" s="9">
        <v>11296</v>
      </c>
      <c r="C772" s="9" t="s">
        <v>743</v>
      </c>
      <c r="D772" s="9" t="s">
        <v>10</v>
      </c>
      <c r="E772" s="10" t="str">
        <f>"403.78"</f>
        <v>403.78</v>
      </c>
      <c r="F772" s="11"/>
      <c r="G772" s="11">
        <v>2017</v>
      </c>
      <c r="H772" s="12"/>
      <c r="I772" s="12" t="str">
        <f>"582.20"</f>
        <v>582.20</v>
      </c>
      <c r="J772" s="12" t="str">
        <f>"744.62"</f>
        <v>744.62</v>
      </c>
      <c r="K772" s="12"/>
      <c r="L772" s="12"/>
      <c r="M772" s="12"/>
      <c r="N772" s="12"/>
      <c r="O772" s="12"/>
      <c r="P772" s="12"/>
      <c r="Q772" s="12"/>
      <c r="R772" s="12"/>
      <c r="S772" s="12" t="str">
        <f>"421.22"</f>
        <v>421.22</v>
      </c>
      <c r="T772" s="12"/>
      <c r="U772" s="12"/>
      <c r="V772" s="12"/>
      <c r="W772" s="12"/>
      <c r="X772" s="12"/>
      <c r="Y772" s="12"/>
      <c r="Z772" s="12" t="str">
        <f>"386.33"</f>
        <v>386.33</v>
      </c>
      <c r="AA772" s="12"/>
    </row>
    <row r="773" spans="1:27">
      <c r="A773" s="9">
        <v>771</v>
      </c>
      <c r="B773" s="9">
        <v>9650</v>
      </c>
      <c r="C773" s="9" t="s">
        <v>407</v>
      </c>
      <c r="D773" s="9" t="s">
        <v>74</v>
      </c>
      <c r="E773" s="10" t="str">
        <f>"403.96"</f>
        <v>403.96</v>
      </c>
      <c r="F773" s="11"/>
      <c r="G773" s="11">
        <v>2017</v>
      </c>
      <c r="H773" s="12" t="str">
        <f>"204.35"</f>
        <v>204.35</v>
      </c>
      <c r="I773" s="12"/>
      <c r="J773" s="12"/>
      <c r="K773" s="12"/>
      <c r="L773" s="12"/>
      <c r="M773" s="12"/>
      <c r="N773" s="12"/>
      <c r="O773" s="12"/>
      <c r="P773" s="12" t="str">
        <f>"221.54"</f>
        <v>221.54</v>
      </c>
      <c r="Q773" s="12"/>
      <c r="R773" s="12"/>
      <c r="S773" s="12"/>
      <c r="T773" s="12"/>
      <c r="U773" s="12" t="str">
        <f>"586.38"</f>
        <v>586.38</v>
      </c>
      <c r="V773" s="12"/>
      <c r="W773" s="12"/>
      <c r="X773" s="12"/>
      <c r="Y773" s="12"/>
      <c r="Z773" s="12"/>
      <c r="AA773" s="12"/>
    </row>
    <row r="774" spans="1:27">
      <c r="A774" s="9">
        <v>772</v>
      </c>
      <c r="B774" s="9">
        <v>6080</v>
      </c>
      <c r="C774" s="9" t="s">
        <v>422</v>
      </c>
      <c r="D774" s="9" t="s">
        <v>51</v>
      </c>
      <c r="E774" s="10" t="str">
        <f>"404.70"</f>
        <v>404.70</v>
      </c>
      <c r="F774" s="11" t="s">
        <v>11</v>
      </c>
      <c r="G774" s="11">
        <v>2017</v>
      </c>
      <c r="H774" s="12" t="str">
        <f>"376.70"</f>
        <v>376.70</v>
      </c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>
      <c r="A775" s="9">
        <v>773</v>
      </c>
      <c r="B775" s="9">
        <v>1387</v>
      </c>
      <c r="C775" s="9" t="s">
        <v>1174</v>
      </c>
      <c r="D775" s="9" t="s">
        <v>45</v>
      </c>
      <c r="E775" s="10" t="str">
        <f>"404.71"</f>
        <v>404.71</v>
      </c>
      <c r="F775" s="11" t="s">
        <v>11</v>
      </c>
      <c r="G775" s="11">
        <v>2017</v>
      </c>
      <c r="H775" s="12" t="str">
        <f>"376.71"</f>
        <v>376.71</v>
      </c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>
      <c r="A776" s="9">
        <v>774</v>
      </c>
      <c r="B776" s="9">
        <v>10835</v>
      </c>
      <c r="C776" s="9" t="s">
        <v>836</v>
      </c>
      <c r="D776" s="9" t="s">
        <v>10</v>
      </c>
      <c r="E776" s="10" t="str">
        <f>"405.78"</f>
        <v>405.78</v>
      </c>
      <c r="F776" s="11" t="s">
        <v>11</v>
      </c>
      <c r="G776" s="11">
        <v>2017</v>
      </c>
      <c r="H776" s="12" t="str">
        <f>"377.78"</f>
        <v>377.78</v>
      </c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>
      <c r="A777" s="9">
        <v>775</v>
      </c>
      <c r="B777" s="9">
        <v>10865</v>
      </c>
      <c r="C777" s="9" t="s">
        <v>829</v>
      </c>
      <c r="D777" s="9" t="s">
        <v>10</v>
      </c>
      <c r="E777" s="10" t="str">
        <f>"405.94"</f>
        <v>405.94</v>
      </c>
      <c r="F777" s="11"/>
      <c r="G777" s="11">
        <v>2017</v>
      </c>
      <c r="H777" s="12" t="str">
        <f>"586.09"</f>
        <v>586.09</v>
      </c>
      <c r="I777" s="12" t="str">
        <f>"640.91"</f>
        <v>640.91</v>
      </c>
      <c r="J777" s="12"/>
      <c r="K777" s="12"/>
      <c r="L777" s="12"/>
      <c r="M777" s="12"/>
      <c r="N777" s="12"/>
      <c r="O777" s="12"/>
      <c r="P777" s="12"/>
      <c r="Q777" s="12"/>
      <c r="R777" s="12"/>
      <c r="S777" s="12" t="str">
        <f>"380.90"</f>
        <v>380.90</v>
      </c>
      <c r="T777" s="12"/>
      <c r="U777" s="12"/>
      <c r="V777" s="12"/>
      <c r="W777" s="12"/>
      <c r="X777" s="12"/>
      <c r="Y777" s="12"/>
      <c r="Z777" s="12" t="str">
        <f>"430.98"</f>
        <v>430.98</v>
      </c>
      <c r="AA777" s="12"/>
    </row>
    <row r="778" spans="1:27">
      <c r="A778" s="9">
        <v>776</v>
      </c>
      <c r="B778" s="9">
        <v>531</v>
      </c>
      <c r="C778" s="9" t="s">
        <v>894</v>
      </c>
      <c r="D778" s="9" t="s">
        <v>248</v>
      </c>
      <c r="E778" s="10" t="str">
        <f>"405.99"</f>
        <v>405.99</v>
      </c>
      <c r="F778" s="11" t="s">
        <v>11</v>
      </c>
      <c r="G778" s="11">
        <v>2017</v>
      </c>
      <c r="H778" s="12" t="str">
        <f>"377.99"</f>
        <v>377.99</v>
      </c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>
      <c r="A779" s="9">
        <v>777</v>
      </c>
      <c r="B779" s="9">
        <v>10327</v>
      </c>
      <c r="C779" s="9" t="s">
        <v>759</v>
      </c>
      <c r="D779" s="9" t="s">
        <v>91</v>
      </c>
      <c r="E779" s="10" t="str">
        <f>"406.13"</f>
        <v>406.13</v>
      </c>
      <c r="F779" s="11" t="s">
        <v>11</v>
      </c>
      <c r="G779" s="11">
        <v>2017</v>
      </c>
      <c r="H779" s="12" t="str">
        <f>"378.13"</f>
        <v>378.13</v>
      </c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>
      <c r="A780" s="9">
        <v>778</v>
      </c>
      <c r="B780" s="9">
        <v>5431</v>
      </c>
      <c r="C780" s="9" t="s">
        <v>1142</v>
      </c>
      <c r="D780" s="9" t="s">
        <v>36</v>
      </c>
      <c r="E780" s="10" t="str">
        <f>"406.18"</f>
        <v>406.18</v>
      </c>
      <c r="F780" s="11" t="s">
        <v>11</v>
      </c>
      <c r="G780" s="11">
        <v>2017</v>
      </c>
      <c r="H780" s="12" t="str">
        <f>"378.18"</f>
        <v>378.18</v>
      </c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>
      <c r="A781" s="9">
        <v>779</v>
      </c>
      <c r="B781" s="9">
        <v>8633</v>
      </c>
      <c r="C781" s="9" t="s">
        <v>880</v>
      </c>
      <c r="D781" s="9" t="s">
        <v>10</v>
      </c>
      <c r="E781" s="10" t="str">
        <f>"406.52"</f>
        <v>406.52</v>
      </c>
      <c r="F781" s="11"/>
      <c r="G781" s="11">
        <v>2017</v>
      </c>
      <c r="H781" s="12" t="str">
        <f>"383.97"</f>
        <v>383.97</v>
      </c>
      <c r="I781" s="12" t="str">
        <f>"447.32"</f>
        <v>447.32</v>
      </c>
      <c r="J781" s="12" t="str">
        <f>"497.64"</f>
        <v>497.64</v>
      </c>
      <c r="K781" s="12"/>
      <c r="L781" s="12"/>
      <c r="M781" s="12"/>
      <c r="N781" s="12"/>
      <c r="O781" s="12"/>
      <c r="P781" s="12"/>
      <c r="Q781" s="12"/>
      <c r="R781" s="12"/>
      <c r="S781" s="12" t="str">
        <f>"365.72"</f>
        <v>365.72</v>
      </c>
      <c r="T781" s="12" t="str">
        <f>"458.95"</f>
        <v>458.95</v>
      </c>
      <c r="U781" s="12"/>
      <c r="V781" s="12"/>
      <c r="W781" s="12"/>
      <c r="X781" s="12"/>
      <c r="Y781" s="12"/>
      <c r="Z781" s="12"/>
      <c r="AA781" s="12"/>
    </row>
    <row r="782" spans="1:27">
      <c r="A782" s="9">
        <v>780</v>
      </c>
      <c r="B782" s="9">
        <v>5770</v>
      </c>
      <c r="C782" s="9" t="s">
        <v>770</v>
      </c>
      <c r="D782" s="9" t="s">
        <v>133</v>
      </c>
      <c r="E782" s="10" t="str">
        <f>"408.04"</f>
        <v>408.04</v>
      </c>
      <c r="F782" s="11" t="s">
        <v>11</v>
      </c>
      <c r="G782" s="11">
        <v>2017</v>
      </c>
      <c r="H782" s="12" t="str">
        <f>"380.04"</f>
        <v>380.04</v>
      </c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>
      <c r="A783" s="9">
        <v>781</v>
      </c>
      <c r="B783" s="9">
        <v>10119</v>
      </c>
      <c r="C783" s="9" t="s">
        <v>967</v>
      </c>
      <c r="D783" s="9" t="s">
        <v>10</v>
      </c>
      <c r="E783" s="10" t="str">
        <f>"409.83"</f>
        <v>409.83</v>
      </c>
      <c r="F783" s="11"/>
      <c r="G783" s="11">
        <v>2017</v>
      </c>
      <c r="H783" s="12" t="str">
        <f>"996.24"</f>
        <v>996.24</v>
      </c>
      <c r="I783" s="12" t="str">
        <f>"412.31"</f>
        <v>412.31</v>
      </c>
      <c r="J783" s="12"/>
      <c r="K783" s="12"/>
      <c r="L783" s="12"/>
      <c r="M783" s="12"/>
      <c r="N783" s="12"/>
      <c r="O783" s="12"/>
      <c r="P783" s="12"/>
      <c r="Q783" s="12"/>
      <c r="R783" s="12"/>
      <c r="S783" s="12" t="str">
        <f>"407.35"</f>
        <v>407.35</v>
      </c>
      <c r="T783" s="12"/>
      <c r="U783" s="12"/>
      <c r="V783" s="12"/>
      <c r="W783" s="12"/>
      <c r="X783" s="12" t="str">
        <f>"468.52"</f>
        <v>468.52</v>
      </c>
      <c r="Y783" s="12"/>
      <c r="Z783" s="12"/>
      <c r="AA783" s="12"/>
    </row>
    <row r="784" spans="1:27">
      <c r="A784" s="9">
        <v>782</v>
      </c>
      <c r="B784" s="9">
        <v>9992</v>
      </c>
      <c r="C784" s="9" t="s">
        <v>972</v>
      </c>
      <c r="D784" s="9" t="s">
        <v>130</v>
      </c>
      <c r="E784" s="10" t="str">
        <f>"410.05"</f>
        <v>410.05</v>
      </c>
      <c r="F784" s="11" t="s">
        <v>9</v>
      </c>
      <c r="G784" s="11">
        <v>2017</v>
      </c>
      <c r="H784" s="12" t="str">
        <f>"445.87"</f>
        <v>445.87</v>
      </c>
      <c r="I784" s="12"/>
      <c r="J784" s="12"/>
      <c r="K784" s="12"/>
      <c r="L784" s="12"/>
      <c r="M784" s="12" t="str">
        <f>"382.05"</f>
        <v>382.05</v>
      </c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>
      <c r="A785" s="9">
        <v>783</v>
      </c>
      <c r="B785" s="9">
        <v>3391</v>
      </c>
      <c r="C785" s="9" t="s">
        <v>279</v>
      </c>
      <c r="D785" s="9" t="s">
        <v>14</v>
      </c>
      <c r="E785" s="10" t="str">
        <f>"410.74"</f>
        <v>410.74</v>
      </c>
      <c r="F785" s="11" t="s">
        <v>11</v>
      </c>
      <c r="G785" s="11">
        <v>2017</v>
      </c>
      <c r="H785" s="12" t="str">
        <f>"382.74"</f>
        <v>382.74</v>
      </c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>
      <c r="A786" s="9">
        <v>784</v>
      </c>
      <c r="B786" s="9">
        <v>10539</v>
      </c>
      <c r="C786" s="9" t="s">
        <v>787</v>
      </c>
      <c r="D786" s="9" t="s">
        <v>10</v>
      </c>
      <c r="E786" s="10" t="str">
        <f>"410.91"</f>
        <v>410.91</v>
      </c>
      <c r="F786" s="11" t="s">
        <v>9</v>
      </c>
      <c r="G786" s="11">
        <v>2017</v>
      </c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 t="str">
        <f>"382.91"</f>
        <v>382.91</v>
      </c>
      <c r="T786" s="12"/>
      <c r="U786" s="12"/>
      <c r="V786" s="12"/>
      <c r="W786" s="12"/>
      <c r="X786" s="12"/>
      <c r="Y786" s="12"/>
      <c r="Z786" s="12"/>
      <c r="AA786" s="12"/>
    </row>
    <row r="787" spans="1:27">
      <c r="A787" s="9">
        <v>785</v>
      </c>
      <c r="B787" s="9">
        <v>10122</v>
      </c>
      <c r="C787" s="9" t="s">
        <v>899</v>
      </c>
      <c r="D787" s="9" t="s">
        <v>10</v>
      </c>
      <c r="E787" s="10" t="str">
        <f>"411.24"</f>
        <v>411.24</v>
      </c>
      <c r="F787" s="11" t="s">
        <v>9</v>
      </c>
      <c r="G787" s="11">
        <v>2017</v>
      </c>
      <c r="H787" s="12" t="str">
        <f>"657.15"</f>
        <v>657.15</v>
      </c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 t="str">
        <f>"383.24"</f>
        <v>383.24</v>
      </c>
      <c r="Y787" s="12"/>
      <c r="Z787" s="12"/>
      <c r="AA787" s="12"/>
    </row>
    <row r="788" spans="1:27">
      <c r="A788" s="9">
        <v>786</v>
      </c>
      <c r="B788" s="9">
        <v>11182</v>
      </c>
      <c r="C788" s="9" t="s">
        <v>1020</v>
      </c>
      <c r="D788" s="9" t="s">
        <v>19</v>
      </c>
      <c r="E788" s="10" t="str">
        <f>"414.74"</f>
        <v>414.74</v>
      </c>
      <c r="F788" s="11" t="s">
        <v>9</v>
      </c>
      <c r="G788" s="11">
        <v>2017</v>
      </c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 t="str">
        <f>"386.74"</f>
        <v>386.74</v>
      </c>
      <c r="Z788" s="12"/>
      <c r="AA788" s="12"/>
    </row>
    <row r="789" spans="1:27">
      <c r="A789" s="9">
        <v>787</v>
      </c>
      <c r="B789" s="9">
        <v>10118</v>
      </c>
      <c r="C789" s="9" t="s">
        <v>819</v>
      </c>
      <c r="D789" s="9" t="s">
        <v>10</v>
      </c>
      <c r="E789" s="10" t="str">
        <f>"416.04"</f>
        <v>416.04</v>
      </c>
      <c r="F789" s="11"/>
      <c r="G789" s="11">
        <v>2017</v>
      </c>
      <c r="H789" s="12" t="str">
        <f>"663.37"</f>
        <v>663.37</v>
      </c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 t="str">
        <f>"487.38"</f>
        <v>487.38</v>
      </c>
      <c r="T789" s="12"/>
      <c r="U789" s="12"/>
      <c r="V789" s="12"/>
      <c r="W789" s="12"/>
      <c r="X789" s="12" t="str">
        <f>"344.70"</f>
        <v>344.70</v>
      </c>
      <c r="Y789" s="12"/>
      <c r="Z789" s="12"/>
      <c r="AA789" s="12"/>
    </row>
    <row r="790" spans="1:27">
      <c r="A790" s="9">
        <v>788</v>
      </c>
      <c r="B790" s="9">
        <v>5145</v>
      </c>
      <c r="C790" s="9" t="s">
        <v>644</v>
      </c>
      <c r="D790" s="9" t="s">
        <v>22</v>
      </c>
      <c r="E790" s="10" t="str">
        <f>"416.27"</f>
        <v>416.27</v>
      </c>
      <c r="F790" s="11" t="s">
        <v>11</v>
      </c>
      <c r="G790" s="11">
        <v>2017</v>
      </c>
      <c r="H790" s="12" t="str">
        <f>"388.27"</f>
        <v>388.27</v>
      </c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>
      <c r="A791" s="9">
        <v>789</v>
      </c>
      <c r="B791" s="9">
        <v>11293</v>
      </c>
      <c r="C791" s="9" t="s">
        <v>915</v>
      </c>
      <c r="D791" s="9" t="s">
        <v>10</v>
      </c>
      <c r="E791" s="10" t="str">
        <f>"416.62"</f>
        <v>416.62</v>
      </c>
      <c r="F791" s="11" t="s">
        <v>9</v>
      </c>
      <c r="G791" s="11">
        <v>2017</v>
      </c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 t="str">
        <f>"388.62"</f>
        <v>388.62</v>
      </c>
      <c r="AA791" s="12"/>
    </row>
    <row r="792" spans="1:27">
      <c r="A792" s="9">
        <v>790</v>
      </c>
      <c r="B792" s="9">
        <v>7623</v>
      </c>
      <c r="C792" s="9" t="s">
        <v>851</v>
      </c>
      <c r="D792" s="9" t="s">
        <v>852</v>
      </c>
      <c r="E792" s="10" t="str">
        <f>"419.19"</f>
        <v>419.19</v>
      </c>
      <c r="F792" s="11" t="s">
        <v>9</v>
      </c>
      <c r="G792" s="11">
        <v>2017</v>
      </c>
      <c r="H792" s="12" t="str">
        <f>"448.74"</f>
        <v>448.74</v>
      </c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 t="str">
        <f>"391.19"</f>
        <v>391.19</v>
      </c>
      <c r="V792" s="12"/>
      <c r="W792" s="12"/>
      <c r="X792" s="12"/>
      <c r="Y792" s="12"/>
      <c r="Z792" s="12"/>
      <c r="AA792" s="12"/>
    </row>
    <row r="793" spans="1:27">
      <c r="A793" s="9">
        <v>791</v>
      </c>
      <c r="B793" s="9">
        <v>11252</v>
      </c>
      <c r="C793" s="9" t="s">
        <v>767</v>
      </c>
      <c r="D793" s="9" t="s">
        <v>10</v>
      </c>
      <c r="E793" s="10" t="str">
        <f>"420.16"</f>
        <v>420.16</v>
      </c>
      <c r="F793" s="11" t="s">
        <v>9</v>
      </c>
      <c r="G793" s="11">
        <v>2017</v>
      </c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 t="str">
        <f>"392.16"</f>
        <v>392.16</v>
      </c>
      <c r="T793" s="12"/>
      <c r="U793" s="12"/>
      <c r="V793" s="12"/>
      <c r="W793" s="12"/>
      <c r="X793" s="12"/>
      <c r="Y793" s="12"/>
      <c r="Z793" s="12"/>
      <c r="AA793" s="12"/>
    </row>
    <row r="794" spans="1:27">
      <c r="A794" s="9">
        <v>792</v>
      </c>
      <c r="B794" s="9">
        <v>10967</v>
      </c>
      <c r="C794" s="9" t="s">
        <v>833</v>
      </c>
      <c r="D794" s="9" t="s">
        <v>14</v>
      </c>
      <c r="E794" s="10" t="str">
        <f>"422.42"</f>
        <v>422.42</v>
      </c>
      <c r="F794" s="11" t="s">
        <v>11</v>
      </c>
      <c r="G794" s="11">
        <v>2017</v>
      </c>
      <c r="H794" s="12" t="str">
        <f>"394.42"</f>
        <v>394.42</v>
      </c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>
      <c r="A795" s="9">
        <v>793</v>
      </c>
      <c r="B795" s="9">
        <v>8307</v>
      </c>
      <c r="C795" s="9" t="s">
        <v>1063</v>
      </c>
      <c r="D795" s="9" t="s">
        <v>85</v>
      </c>
      <c r="E795" s="10" t="str">
        <f>"423.03"</f>
        <v>423.03</v>
      </c>
      <c r="F795" s="11" t="s">
        <v>11</v>
      </c>
      <c r="G795" s="11">
        <v>2017</v>
      </c>
      <c r="H795" s="12" t="str">
        <f>"395.03"</f>
        <v>395.03</v>
      </c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>
      <c r="A796" s="9">
        <v>794</v>
      </c>
      <c r="B796" s="9">
        <v>10901</v>
      </c>
      <c r="C796" s="9" t="s">
        <v>468</v>
      </c>
      <c r="D796" s="9" t="s">
        <v>10</v>
      </c>
      <c r="E796" s="10" t="str">
        <f>"423.92"</f>
        <v>423.92</v>
      </c>
      <c r="F796" s="11" t="s">
        <v>9</v>
      </c>
      <c r="G796" s="11">
        <v>2017</v>
      </c>
      <c r="H796" s="12" t="str">
        <f>"188.95"</f>
        <v>188.95</v>
      </c>
      <c r="I796" s="12"/>
      <c r="J796" s="12" t="str">
        <f>"395.92"</f>
        <v>395.92</v>
      </c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>
      <c r="A797" s="9">
        <v>795</v>
      </c>
      <c r="B797" s="9">
        <v>10582</v>
      </c>
      <c r="C797" s="9" t="s">
        <v>942</v>
      </c>
      <c r="D797" s="9" t="s">
        <v>10</v>
      </c>
      <c r="E797" s="10" t="str">
        <f>"424.91"</f>
        <v>424.91</v>
      </c>
      <c r="F797" s="11"/>
      <c r="G797" s="11">
        <v>2017</v>
      </c>
      <c r="H797" s="12" t="str">
        <f>"517.69"</f>
        <v>517.69</v>
      </c>
      <c r="I797" s="12" t="str">
        <f>"463.15"</f>
        <v>463.15</v>
      </c>
      <c r="J797" s="12" t="str">
        <f>"498.29"</f>
        <v>498.29</v>
      </c>
      <c r="K797" s="12"/>
      <c r="L797" s="12"/>
      <c r="M797" s="12"/>
      <c r="N797" s="12"/>
      <c r="O797" s="12"/>
      <c r="P797" s="12"/>
      <c r="Q797" s="12"/>
      <c r="R797" s="12"/>
      <c r="S797" s="12" t="str">
        <f>"386.66"</f>
        <v>386.66</v>
      </c>
      <c r="T797" s="12"/>
      <c r="U797" s="12"/>
      <c r="V797" s="12"/>
      <c r="W797" s="12"/>
      <c r="X797" s="12"/>
      <c r="Y797" s="12"/>
      <c r="Z797" s="12"/>
      <c r="AA797" s="12"/>
    </row>
    <row r="798" spans="1:27">
      <c r="A798" s="9">
        <v>796</v>
      </c>
      <c r="B798" s="9">
        <v>2271</v>
      </c>
      <c r="C798" s="9" t="s">
        <v>888</v>
      </c>
      <c r="D798" s="9" t="s">
        <v>10</v>
      </c>
      <c r="E798" s="10" t="str">
        <f>"426.38"</f>
        <v>426.38</v>
      </c>
      <c r="F798" s="11"/>
      <c r="G798" s="11">
        <v>2017</v>
      </c>
      <c r="H798" s="12" t="str">
        <f>"295.99"</f>
        <v>295.99</v>
      </c>
      <c r="I798" s="12" t="str">
        <f>"328.72"</f>
        <v>328.72</v>
      </c>
      <c r="J798" s="12" t="str">
        <f>"524.04"</f>
        <v>524.04</v>
      </c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>
      <c r="A799" s="9">
        <v>797</v>
      </c>
      <c r="B799" s="9">
        <v>8616</v>
      </c>
      <c r="C799" s="9" t="s">
        <v>575</v>
      </c>
      <c r="D799" s="9" t="s">
        <v>10</v>
      </c>
      <c r="E799" s="10" t="str">
        <f>"427.34"</f>
        <v>427.34</v>
      </c>
      <c r="F799" s="11" t="s">
        <v>9</v>
      </c>
      <c r="G799" s="11">
        <v>2017</v>
      </c>
      <c r="H799" s="12" t="str">
        <f>"219.11"</f>
        <v>219.11</v>
      </c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 t="str">
        <f>"399.34"</f>
        <v>399.34</v>
      </c>
      <c r="U799" s="12"/>
      <c r="V799" s="12"/>
      <c r="W799" s="12"/>
      <c r="X799" s="12"/>
      <c r="Y799" s="12"/>
      <c r="Z799" s="12"/>
      <c r="AA799" s="12"/>
    </row>
    <row r="800" spans="1:27">
      <c r="A800" s="9">
        <v>798</v>
      </c>
      <c r="B800" s="9">
        <v>10361</v>
      </c>
      <c r="C800" s="9" t="s">
        <v>1077</v>
      </c>
      <c r="D800" s="9" t="s">
        <v>12</v>
      </c>
      <c r="E800" s="10" t="str">
        <f>"427.87"</f>
        <v>427.87</v>
      </c>
      <c r="F800" s="11" t="s">
        <v>11</v>
      </c>
      <c r="G800" s="11">
        <v>2017</v>
      </c>
      <c r="H800" s="12" t="str">
        <f>"399.87"</f>
        <v>399.87</v>
      </c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>
      <c r="A801" s="9">
        <v>799</v>
      </c>
      <c r="B801" s="9">
        <v>9987</v>
      </c>
      <c r="C801" s="9" t="s">
        <v>1210</v>
      </c>
      <c r="D801" s="9" t="s">
        <v>12</v>
      </c>
      <c r="E801" s="10" t="str">
        <f>"428.15"</f>
        <v>428.15</v>
      </c>
      <c r="F801" s="11" t="s">
        <v>11</v>
      </c>
      <c r="G801" s="11">
        <v>2017</v>
      </c>
      <c r="H801" s="12" t="str">
        <f>"400.15"</f>
        <v>400.15</v>
      </c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>
      <c r="A802" s="9">
        <v>800</v>
      </c>
      <c r="B802" s="9">
        <v>11276</v>
      </c>
      <c r="C802" s="9" t="s">
        <v>1155</v>
      </c>
      <c r="D802" s="9" t="s">
        <v>10</v>
      </c>
      <c r="E802" s="10" t="str">
        <f>"428.47"</f>
        <v>428.47</v>
      </c>
      <c r="F802" s="11"/>
      <c r="G802" s="11">
        <v>2017</v>
      </c>
      <c r="H802" s="12"/>
      <c r="I802" s="12" t="str">
        <f>"444.70"</f>
        <v>444.70</v>
      </c>
      <c r="J802" s="12"/>
      <c r="K802" s="12"/>
      <c r="L802" s="12"/>
      <c r="M802" s="12"/>
      <c r="N802" s="12"/>
      <c r="O802" s="12"/>
      <c r="P802" s="12"/>
      <c r="Q802" s="12"/>
      <c r="R802" s="12"/>
      <c r="S802" s="12" t="str">
        <f>"412.24"</f>
        <v>412.24</v>
      </c>
      <c r="T802" s="12"/>
      <c r="U802" s="12"/>
      <c r="V802" s="12"/>
      <c r="W802" s="12"/>
      <c r="X802" s="12"/>
      <c r="Y802" s="12"/>
      <c r="Z802" s="12"/>
      <c r="AA802" s="12"/>
    </row>
    <row r="803" spans="1:27">
      <c r="A803" s="9">
        <v>801</v>
      </c>
      <c r="B803" s="9">
        <v>10626</v>
      </c>
      <c r="C803" s="9" t="s">
        <v>884</v>
      </c>
      <c r="D803" s="9" t="s">
        <v>10</v>
      </c>
      <c r="E803" s="10" t="str">
        <f>"429.24"</f>
        <v>429.24</v>
      </c>
      <c r="F803" s="11" t="s">
        <v>9</v>
      </c>
      <c r="G803" s="11">
        <v>2017</v>
      </c>
      <c r="H803" s="12" t="str">
        <f>"517.29"</f>
        <v>517.29</v>
      </c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 t="str">
        <f>"401.24"</f>
        <v>401.24</v>
      </c>
      <c r="T803" s="12"/>
      <c r="U803" s="12"/>
      <c r="V803" s="12"/>
      <c r="W803" s="12"/>
      <c r="X803" s="12"/>
      <c r="Y803" s="12"/>
      <c r="Z803" s="12"/>
      <c r="AA803" s="12"/>
    </row>
    <row r="804" spans="1:27">
      <c r="A804" s="9">
        <v>802</v>
      </c>
      <c r="B804" s="9">
        <v>10684</v>
      </c>
      <c r="C804" s="9" t="s">
        <v>1023</v>
      </c>
      <c r="D804" s="9" t="s">
        <v>10</v>
      </c>
      <c r="E804" s="10" t="str">
        <f>"431.46"</f>
        <v>431.46</v>
      </c>
      <c r="F804" s="11" t="s">
        <v>11</v>
      </c>
      <c r="G804" s="11">
        <v>2017</v>
      </c>
      <c r="H804" s="12" t="str">
        <f>"403.46"</f>
        <v>403.46</v>
      </c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>
      <c r="A805" s="9">
        <v>803</v>
      </c>
      <c r="B805" s="9">
        <v>4000</v>
      </c>
      <c r="C805" s="9" t="s">
        <v>733</v>
      </c>
      <c r="D805" s="9" t="s">
        <v>79</v>
      </c>
      <c r="E805" s="10" t="str">
        <f>"431.72"</f>
        <v>431.72</v>
      </c>
      <c r="F805" s="11" t="s">
        <v>11</v>
      </c>
      <c r="G805" s="11">
        <v>2017</v>
      </c>
      <c r="H805" s="12" t="str">
        <f>"403.72"</f>
        <v>403.72</v>
      </c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>
      <c r="A806" s="9">
        <v>804</v>
      </c>
      <c r="B806" s="9">
        <v>11318</v>
      </c>
      <c r="C806" s="9" t="s">
        <v>717</v>
      </c>
      <c r="D806" s="9" t="s">
        <v>10</v>
      </c>
      <c r="E806" s="10" t="str">
        <f>"432.62"</f>
        <v>432.62</v>
      </c>
      <c r="F806" s="11" t="s">
        <v>9</v>
      </c>
      <c r="G806" s="11">
        <v>2017</v>
      </c>
      <c r="H806" s="12"/>
      <c r="I806" s="12" t="str">
        <f>"404.62"</f>
        <v>404.62</v>
      </c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>
      <c r="A807" s="9">
        <v>805</v>
      </c>
      <c r="B807" s="9">
        <v>10383</v>
      </c>
      <c r="C807" s="9" t="s">
        <v>638</v>
      </c>
      <c r="D807" s="9" t="s">
        <v>19</v>
      </c>
      <c r="E807" s="10" t="str">
        <f>"433.22"</f>
        <v>433.22</v>
      </c>
      <c r="F807" s="11" t="s">
        <v>9</v>
      </c>
      <c r="G807" s="11">
        <v>2017</v>
      </c>
      <c r="H807" s="12" t="str">
        <f>"1251.74"</f>
        <v>1251.74</v>
      </c>
      <c r="I807" s="12"/>
      <c r="J807" s="12"/>
      <c r="K807" s="12"/>
      <c r="L807" s="12"/>
      <c r="M807" s="12"/>
      <c r="N807" s="12"/>
      <c r="O807" s="12"/>
      <c r="P807" s="12"/>
      <c r="Q807" s="12"/>
      <c r="R807" s="12" t="str">
        <f>"405.22"</f>
        <v>405.22</v>
      </c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>
      <c r="A808" s="9">
        <v>806</v>
      </c>
      <c r="B808" s="9">
        <v>10293</v>
      </c>
      <c r="C808" s="9" t="s">
        <v>1036</v>
      </c>
      <c r="D808" s="9" t="s">
        <v>50</v>
      </c>
      <c r="E808" s="10" t="str">
        <f>"434.49"</f>
        <v>434.49</v>
      </c>
      <c r="F808" s="11" t="s">
        <v>11</v>
      </c>
      <c r="G808" s="11">
        <v>2017</v>
      </c>
      <c r="H808" s="12" t="str">
        <f>"406.49"</f>
        <v>406.49</v>
      </c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>
      <c r="A809" s="9">
        <v>807</v>
      </c>
      <c r="B809" s="9">
        <v>10882</v>
      </c>
      <c r="C809" s="9" t="s">
        <v>885</v>
      </c>
      <c r="D809" s="9" t="s">
        <v>10</v>
      </c>
      <c r="E809" s="10" t="str">
        <f>"435.57"</f>
        <v>435.57</v>
      </c>
      <c r="F809" s="11"/>
      <c r="G809" s="11">
        <v>2017</v>
      </c>
      <c r="H809" s="12" t="str">
        <f>"580.87"</f>
        <v>580.87</v>
      </c>
      <c r="I809" s="12" t="str">
        <f>"620.02"</f>
        <v>620.02</v>
      </c>
      <c r="J809" s="12"/>
      <c r="K809" s="12"/>
      <c r="L809" s="12"/>
      <c r="M809" s="12"/>
      <c r="N809" s="12"/>
      <c r="O809" s="12"/>
      <c r="P809" s="12"/>
      <c r="Q809" s="12"/>
      <c r="R809" s="12"/>
      <c r="S809" s="12" t="str">
        <f>"462.94"</f>
        <v>462.94</v>
      </c>
      <c r="T809" s="12"/>
      <c r="U809" s="12"/>
      <c r="V809" s="12"/>
      <c r="W809" s="12"/>
      <c r="X809" s="12"/>
      <c r="Y809" s="12"/>
      <c r="Z809" s="12" t="str">
        <f>"408.20"</f>
        <v>408.20</v>
      </c>
      <c r="AA809" s="12"/>
    </row>
    <row r="810" spans="1:27">
      <c r="A810" s="9">
        <v>808</v>
      </c>
      <c r="B810" s="9">
        <v>10915</v>
      </c>
      <c r="C810" s="9" t="s">
        <v>1018</v>
      </c>
      <c r="D810" s="9" t="s">
        <v>10</v>
      </c>
      <c r="E810" s="10" t="str">
        <f>"436.81"</f>
        <v>436.81</v>
      </c>
      <c r="F810" s="11"/>
      <c r="G810" s="11">
        <v>2017</v>
      </c>
      <c r="H810" s="12"/>
      <c r="I810" s="12" t="str">
        <f>"496.71"</f>
        <v>496.71</v>
      </c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 t="str">
        <f>"376.91"</f>
        <v>376.91</v>
      </c>
      <c r="AA810" s="12"/>
    </row>
    <row r="811" spans="1:27">
      <c r="A811" s="9">
        <v>809</v>
      </c>
      <c r="B811" s="9">
        <v>9929</v>
      </c>
      <c r="C811" s="9" t="s">
        <v>877</v>
      </c>
      <c r="D811" s="9" t="s">
        <v>400</v>
      </c>
      <c r="E811" s="10" t="str">
        <f>"440.18"</f>
        <v>440.18</v>
      </c>
      <c r="F811" s="11" t="s">
        <v>11</v>
      </c>
      <c r="G811" s="11">
        <v>2017</v>
      </c>
      <c r="H811" s="12" t="str">
        <f>"412.18"</f>
        <v>412.18</v>
      </c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>
      <c r="A812" s="9">
        <v>810</v>
      </c>
      <c r="B812" s="9">
        <v>11058</v>
      </c>
      <c r="C812" s="9" t="s">
        <v>846</v>
      </c>
      <c r="D812" s="9" t="s">
        <v>50</v>
      </c>
      <c r="E812" s="10" t="str">
        <f>"440.38"</f>
        <v>440.38</v>
      </c>
      <c r="F812" s="11" t="s">
        <v>11</v>
      </c>
      <c r="G812" s="11">
        <v>2017</v>
      </c>
      <c r="H812" s="12" t="str">
        <f>"412.38"</f>
        <v>412.38</v>
      </c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>
      <c r="A813" s="9">
        <v>811</v>
      </c>
      <c r="B813" s="9">
        <v>10189</v>
      </c>
      <c r="C813" s="9" t="s">
        <v>971</v>
      </c>
      <c r="D813" s="9" t="s">
        <v>10</v>
      </c>
      <c r="E813" s="10" t="str">
        <f>"441.34"</f>
        <v>441.34</v>
      </c>
      <c r="F813" s="11"/>
      <c r="G813" s="11">
        <v>2017</v>
      </c>
      <c r="H813" s="12" t="str">
        <f>"620.99"</f>
        <v>620.99</v>
      </c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 t="str">
        <f>"476.12"</f>
        <v>476.12</v>
      </c>
      <c r="T813" s="12"/>
      <c r="U813" s="12"/>
      <c r="V813" s="12"/>
      <c r="W813" s="12"/>
      <c r="X813" s="12"/>
      <c r="Y813" s="12"/>
      <c r="Z813" s="12" t="str">
        <f>"406.55"</f>
        <v>406.55</v>
      </c>
      <c r="AA813" s="12"/>
    </row>
    <row r="814" spans="1:27">
      <c r="A814" s="9">
        <v>812</v>
      </c>
      <c r="B814" s="9">
        <v>10588</v>
      </c>
      <c r="C814" s="9" t="s">
        <v>909</v>
      </c>
      <c r="D814" s="9" t="s">
        <v>10</v>
      </c>
      <c r="E814" s="10" t="str">
        <f>"441.66"</f>
        <v>441.66</v>
      </c>
      <c r="F814" s="11"/>
      <c r="G814" s="11">
        <v>2017</v>
      </c>
      <c r="H814" s="12" t="str">
        <f>"354.22"</f>
        <v>354.22</v>
      </c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 t="str">
        <f>"369.47"</f>
        <v>369.47</v>
      </c>
      <c r="T814" s="12" t="str">
        <f>"513.85"</f>
        <v>513.85</v>
      </c>
      <c r="U814" s="12"/>
      <c r="V814" s="12"/>
      <c r="W814" s="12"/>
      <c r="X814" s="12"/>
      <c r="Y814" s="12"/>
      <c r="Z814" s="12"/>
      <c r="AA814" s="12"/>
    </row>
    <row r="815" spans="1:27">
      <c r="A815" s="9">
        <v>813</v>
      </c>
      <c r="B815" s="9">
        <v>4046</v>
      </c>
      <c r="C815" s="9" t="s">
        <v>946</v>
      </c>
      <c r="D815" s="9" t="s">
        <v>48</v>
      </c>
      <c r="E815" s="10" t="str">
        <f>"442.38"</f>
        <v>442.38</v>
      </c>
      <c r="F815" s="11" t="s">
        <v>11</v>
      </c>
      <c r="G815" s="11">
        <v>2017</v>
      </c>
      <c r="H815" s="12" t="str">
        <f>"414.38"</f>
        <v>414.38</v>
      </c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>
      <c r="A816" s="9">
        <v>814</v>
      </c>
      <c r="B816" s="9">
        <v>10595</v>
      </c>
      <c r="C816" s="9" t="s">
        <v>931</v>
      </c>
      <c r="D816" s="9" t="s">
        <v>10</v>
      </c>
      <c r="E816" s="10" t="str">
        <f>"442.81"</f>
        <v>442.81</v>
      </c>
      <c r="F816" s="11"/>
      <c r="G816" s="11">
        <v>2017</v>
      </c>
      <c r="H816" s="12" t="str">
        <f>"357.33"</f>
        <v>357.33</v>
      </c>
      <c r="I816" s="12" t="str">
        <f>"402.54"</f>
        <v>402.54</v>
      </c>
      <c r="J816" s="12" t="str">
        <f>"483.08"</f>
        <v>483.08</v>
      </c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>
      <c r="A817" s="9">
        <v>815</v>
      </c>
      <c r="B817" s="9">
        <v>10771</v>
      </c>
      <c r="C817" s="9" t="s">
        <v>697</v>
      </c>
      <c r="D817" s="9" t="s">
        <v>19</v>
      </c>
      <c r="E817" s="10" t="str">
        <f>"443.10"</f>
        <v>443.10</v>
      </c>
      <c r="F817" s="11"/>
      <c r="G817" s="11">
        <v>2017</v>
      </c>
      <c r="H817" s="12" t="str">
        <f>"632.31"</f>
        <v>632.31</v>
      </c>
      <c r="I817" s="12"/>
      <c r="J817" s="12"/>
      <c r="K817" s="12"/>
      <c r="L817" s="12"/>
      <c r="M817" s="12"/>
      <c r="N817" s="12"/>
      <c r="O817" s="12"/>
      <c r="P817" s="12"/>
      <c r="Q817" s="12"/>
      <c r="R817" s="12" t="str">
        <f>"606.10"</f>
        <v>606.10</v>
      </c>
      <c r="S817" s="12"/>
      <c r="T817" s="12"/>
      <c r="U817" s="12"/>
      <c r="V817" s="12" t="str">
        <f>"280.10"</f>
        <v>280.10</v>
      </c>
      <c r="W817" s="12"/>
      <c r="X817" s="12"/>
      <c r="Y817" s="12"/>
      <c r="Z817" s="12"/>
      <c r="AA817" s="12"/>
    </row>
    <row r="818" spans="1:27">
      <c r="A818" s="9">
        <v>816</v>
      </c>
      <c r="B818" s="9">
        <v>10524</v>
      </c>
      <c r="C818" s="9" t="s">
        <v>1007</v>
      </c>
      <c r="D818" s="9" t="s">
        <v>50</v>
      </c>
      <c r="E818" s="10" t="str">
        <f>"443.47"</f>
        <v>443.47</v>
      </c>
      <c r="F818" s="11"/>
      <c r="G818" s="11">
        <v>2017</v>
      </c>
      <c r="H818" s="12" t="str">
        <f>"546.59"</f>
        <v>546.59</v>
      </c>
      <c r="I818" s="12"/>
      <c r="J818" s="12"/>
      <c r="K818" s="12"/>
      <c r="L818" s="12"/>
      <c r="M818" s="12" t="str">
        <f>"451.80"</f>
        <v>451.80</v>
      </c>
      <c r="N818" s="12"/>
      <c r="O818" s="12"/>
      <c r="P818" s="12"/>
      <c r="Q818" s="12"/>
      <c r="R818" s="12"/>
      <c r="S818" s="12"/>
      <c r="T818" s="12"/>
      <c r="U818" s="12"/>
      <c r="V818" s="12" t="str">
        <f>"435.13"</f>
        <v>435.13</v>
      </c>
      <c r="W818" s="12"/>
      <c r="X818" s="12"/>
      <c r="Y818" s="12"/>
      <c r="Z818" s="12"/>
      <c r="AA818" s="12"/>
    </row>
    <row r="819" spans="1:27">
      <c r="A819" s="9">
        <v>817</v>
      </c>
      <c r="B819" s="9">
        <v>10905</v>
      </c>
      <c r="C819" s="9" t="s">
        <v>975</v>
      </c>
      <c r="D819" s="9" t="s">
        <v>10</v>
      </c>
      <c r="E819" s="10" t="str">
        <f>"443.93"</f>
        <v>443.93</v>
      </c>
      <c r="F819" s="11" t="s">
        <v>9</v>
      </c>
      <c r="G819" s="11">
        <v>2017</v>
      </c>
      <c r="H819" s="12" t="str">
        <f>"428.47"</f>
        <v>428.47</v>
      </c>
      <c r="I819" s="12" t="str">
        <f>"415.93"</f>
        <v>415.93</v>
      </c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>
      <c r="A820" s="9">
        <v>818</v>
      </c>
      <c r="B820" s="9">
        <v>2266</v>
      </c>
      <c r="C820" s="9" t="s">
        <v>1033</v>
      </c>
      <c r="D820" s="9" t="s">
        <v>10</v>
      </c>
      <c r="E820" s="10" t="str">
        <f>"444.02"</f>
        <v>444.02</v>
      </c>
      <c r="F820" s="11" t="s">
        <v>11</v>
      </c>
      <c r="G820" s="11">
        <v>2017</v>
      </c>
      <c r="H820" s="12" t="str">
        <f>"416.02"</f>
        <v>416.02</v>
      </c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>
      <c r="A821" s="9">
        <v>819</v>
      </c>
      <c r="B821" s="9">
        <v>11214</v>
      </c>
      <c r="C821" s="9" t="s">
        <v>755</v>
      </c>
      <c r="D821" s="9" t="s">
        <v>19</v>
      </c>
      <c r="E821" s="10" t="str">
        <f>"444.85"</f>
        <v>444.85</v>
      </c>
      <c r="F821" s="11"/>
      <c r="G821" s="11">
        <v>2017</v>
      </c>
      <c r="H821" s="12"/>
      <c r="I821" s="12"/>
      <c r="J821" s="12"/>
      <c r="K821" s="12"/>
      <c r="L821" s="12"/>
      <c r="M821" s="12"/>
      <c r="N821" s="12" t="str">
        <f>"482.87"</f>
        <v>482.87</v>
      </c>
      <c r="O821" s="12"/>
      <c r="P821" s="12"/>
      <c r="Q821" s="12"/>
      <c r="R821" s="12" t="str">
        <f>"1192.82"</f>
        <v>1192.82</v>
      </c>
      <c r="S821" s="12"/>
      <c r="T821" s="12"/>
      <c r="U821" s="12" t="str">
        <f>"406.82"</f>
        <v>406.82</v>
      </c>
      <c r="V821" s="12"/>
      <c r="W821" s="12"/>
      <c r="X821" s="12"/>
      <c r="Y821" s="12"/>
      <c r="Z821" s="12"/>
      <c r="AA821" s="12"/>
    </row>
    <row r="822" spans="1:27">
      <c r="A822" s="9">
        <v>820</v>
      </c>
      <c r="B822" s="9">
        <v>10838</v>
      </c>
      <c r="C822" s="9" t="s">
        <v>1010</v>
      </c>
      <c r="D822" s="9" t="s">
        <v>10</v>
      </c>
      <c r="E822" s="10" t="str">
        <f>"446.69"</f>
        <v>446.69</v>
      </c>
      <c r="F822" s="11" t="s">
        <v>9</v>
      </c>
      <c r="G822" s="11">
        <v>2017</v>
      </c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 t="str">
        <f>"418.69"</f>
        <v>418.69</v>
      </c>
      <c r="T822" s="12"/>
      <c r="U822" s="12"/>
      <c r="V822" s="12"/>
      <c r="W822" s="12"/>
      <c r="X822" s="12"/>
      <c r="Y822" s="12"/>
      <c r="Z822" s="12"/>
      <c r="AA822" s="12"/>
    </row>
    <row r="823" spans="1:27">
      <c r="A823" s="9">
        <v>821</v>
      </c>
      <c r="B823" s="9">
        <v>11055</v>
      </c>
      <c r="C823" s="9" t="s">
        <v>999</v>
      </c>
      <c r="D823" s="9" t="s">
        <v>50</v>
      </c>
      <c r="E823" s="10" t="str">
        <f>"447.05"</f>
        <v>447.05</v>
      </c>
      <c r="F823" s="11" t="s">
        <v>9</v>
      </c>
      <c r="G823" s="11">
        <v>2017</v>
      </c>
      <c r="H823" s="12"/>
      <c r="I823" s="12"/>
      <c r="J823" s="12"/>
      <c r="K823" s="12"/>
      <c r="L823" s="12"/>
      <c r="M823" s="12" t="str">
        <f>"419.05"</f>
        <v>419.05</v>
      </c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>
      <c r="A824" s="9">
        <v>822</v>
      </c>
      <c r="B824" s="9">
        <v>10747</v>
      </c>
      <c r="C824" s="9" t="s">
        <v>760</v>
      </c>
      <c r="D824" s="9" t="s">
        <v>19</v>
      </c>
      <c r="E824" s="10" t="str">
        <f>"448.15"</f>
        <v>448.15</v>
      </c>
      <c r="F824" s="11"/>
      <c r="G824" s="11">
        <v>2017</v>
      </c>
      <c r="H824" s="12" t="str">
        <f>"444.95"</f>
        <v>444.95</v>
      </c>
      <c r="I824" s="12"/>
      <c r="J824" s="12"/>
      <c r="K824" s="12"/>
      <c r="L824" s="12"/>
      <c r="M824" s="12"/>
      <c r="N824" s="12"/>
      <c r="O824" s="12" t="str">
        <f>"513.15"</f>
        <v>513.15</v>
      </c>
      <c r="P824" s="12"/>
      <c r="Q824" s="12"/>
      <c r="R824" s="12" t="str">
        <f>"778.62"</f>
        <v>778.62</v>
      </c>
      <c r="S824" s="12"/>
      <c r="T824" s="12"/>
      <c r="U824" s="12" t="str">
        <f>"383.15"</f>
        <v>383.15</v>
      </c>
      <c r="V824" s="12"/>
      <c r="W824" s="12"/>
      <c r="X824" s="12"/>
      <c r="Y824" s="12"/>
      <c r="Z824" s="12"/>
      <c r="AA824" s="12"/>
    </row>
    <row r="825" spans="1:27">
      <c r="A825" s="9">
        <v>823</v>
      </c>
      <c r="B825" s="9">
        <v>10390</v>
      </c>
      <c r="C825" s="9" t="s">
        <v>612</v>
      </c>
      <c r="D825" s="9" t="s">
        <v>19</v>
      </c>
      <c r="E825" s="10" t="str">
        <f>"449.47"</f>
        <v>449.47</v>
      </c>
      <c r="F825" s="11"/>
      <c r="G825" s="11">
        <v>2017</v>
      </c>
      <c r="H825" s="12" t="str">
        <f>"594.35"</f>
        <v>594.35</v>
      </c>
      <c r="I825" s="12"/>
      <c r="J825" s="12"/>
      <c r="K825" s="12"/>
      <c r="L825" s="12"/>
      <c r="M825" s="12"/>
      <c r="N825" s="12"/>
      <c r="O825" s="12"/>
      <c r="P825" s="12"/>
      <c r="Q825" s="12"/>
      <c r="R825" s="12" t="str">
        <f>"700.50"</f>
        <v>700.50</v>
      </c>
      <c r="S825" s="12"/>
      <c r="T825" s="12"/>
      <c r="U825" s="12"/>
      <c r="V825" s="12"/>
      <c r="W825" s="12"/>
      <c r="X825" s="12"/>
      <c r="Y825" s="12" t="str">
        <f>"198.43"</f>
        <v>198.43</v>
      </c>
      <c r="Z825" s="12"/>
      <c r="AA825" s="12"/>
    </row>
    <row r="826" spans="1:27">
      <c r="A826" s="9">
        <v>824</v>
      </c>
      <c r="B826" s="9">
        <v>2159</v>
      </c>
      <c r="C826" s="9" t="s">
        <v>1024</v>
      </c>
      <c r="D826" s="9" t="s">
        <v>10</v>
      </c>
      <c r="E826" s="10" t="str">
        <f>"449.56"</f>
        <v>449.56</v>
      </c>
      <c r="F826" s="11"/>
      <c r="G826" s="11">
        <v>2017</v>
      </c>
      <c r="H826" s="12" t="str">
        <f>"432.81"</f>
        <v>432.81</v>
      </c>
      <c r="I826" s="12" t="str">
        <f>"449.40"</f>
        <v>449.40</v>
      </c>
      <c r="J826" s="12" t="str">
        <f>"449.72"</f>
        <v>449.72</v>
      </c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>
      <c r="A827" s="9">
        <v>825</v>
      </c>
      <c r="B827" s="9">
        <v>10705</v>
      </c>
      <c r="C827" s="9" t="s">
        <v>804</v>
      </c>
      <c r="D827" s="9" t="s">
        <v>14</v>
      </c>
      <c r="E827" s="10" t="str">
        <f>"449.94"</f>
        <v>449.94</v>
      </c>
      <c r="F827" s="11" t="s">
        <v>9</v>
      </c>
      <c r="G827" s="11">
        <v>2017</v>
      </c>
      <c r="H827" s="12" t="str">
        <f>"391.51"</f>
        <v>391.51</v>
      </c>
      <c r="I827" s="12"/>
      <c r="J827" s="12"/>
      <c r="K827" s="12"/>
      <c r="L827" s="12"/>
      <c r="M827" s="12" t="str">
        <f>"421.94"</f>
        <v>421.94</v>
      </c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>
      <c r="A828" s="9">
        <v>826</v>
      </c>
      <c r="B828" s="9">
        <v>10858</v>
      </c>
      <c r="C828" s="9" t="s">
        <v>1008</v>
      </c>
      <c r="D828" s="9" t="s">
        <v>10</v>
      </c>
      <c r="E828" s="10" t="str">
        <f>"450.62"</f>
        <v>450.62</v>
      </c>
      <c r="F828" s="11" t="s">
        <v>9</v>
      </c>
      <c r="G828" s="11">
        <v>2017</v>
      </c>
      <c r="H828" s="12" t="str">
        <f>"439.50"</f>
        <v>439.50</v>
      </c>
      <c r="I828" s="12" t="str">
        <f>"422.62"</f>
        <v>422.62</v>
      </c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>
      <c r="A829" s="9">
        <v>827</v>
      </c>
      <c r="B829" s="9">
        <v>11311</v>
      </c>
      <c r="C829" s="9" t="s">
        <v>1143</v>
      </c>
      <c r="D829" s="9" t="s">
        <v>10</v>
      </c>
      <c r="E829" s="10" t="str">
        <f>"453.16"</f>
        <v>453.16</v>
      </c>
      <c r="F829" s="11"/>
      <c r="G829" s="11">
        <v>2017</v>
      </c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 t="str">
        <f>"498.11"</f>
        <v>498.11</v>
      </c>
      <c r="T829" s="12"/>
      <c r="U829" s="12"/>
      <c r="V829" s="12"/>
      <c r="W829" s="12"/>
      <c r="X829" s="12"/>
      <c r="Y829" s="12"/>
      <c r="Z829" s="12" t="str">
        <f>"408.20"</f>
        <v>408.20</v>
      </c>
      <c r="AA829" s="12"/>
    </row>
    <row r="830" spans="1:27">
      <c r="A830" s="9">
        <v>828</v>
      </c>
      <c r="B830" s="9">
        <v>10837</v>
      </c>
      <c r="C830" s="9" t="s">
        <v>807</v>
      </c>
      <c r="D830" s="9" t="s">
        <v>10</v>
      </c>
      <c r="E830" s="10" t="str">
        <f>"455.05"</f>
        <v>455.05</v>
      </c>
      <c r="F830" s="11" t="s">
        <v>9</v>
      </c>
      <c r="G830" s="11">
        <v>2017</v>
      </c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 t="str">
        <f>"427.05"</f>
        <v>427.05</v>
      </c>
      <c r="AA830" s="12"/>
    </row>
    <row r="831" spans="1:27">
      <c r="A831" s="9">
        <v>829</v>
      </c>
      <c r="B831" s="9">
        <v>8151</v>
      </c>
      <c r="C831" s="9" t="s">
        <v>958</v>
      </c>
      <c r="D831" s="9" t="s">
        <v>959</v>
      </c>
      <c r="E831" s="10" t="str">
        <f>"455.70"</f>
        <v>455.70</v>
      </c>
      <c r="F831" s="11" t="s">
        <v>11</v>
      </c>
      <c r="G831" s="11">
        <v>2017</v>
      </c>
      <c r="H831" s="12" t="str">
        <f>"427.70"</f>
        <v>427.70</v>
      </c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>
      <c r="A832" s="9">
        <v>830</v>
      </c>
      <c r="B832" s="9">
        <v>3249</v>
      </c>
      <c r="C832" s="9" t="s">
        <v>1016</v>
      </c>
      <c r="D832" s="9" t="s">
        <v>79</v>
      </c>
      <c r="E832" s="10" t="str">
        <f>"456.15"</f>
        <v>456.15</v>
      </c>
      <c r="F832" s="11" t="s">
        <v>11</v>
      </c>
      <c r="G832" s="11">
        <v>2017</v>
      </c>
      <c r="H832" s="12" t="str">
        <f>"428.15"</f>
        <v>428.15</v>
      </c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>
      <c r="A833" s="9">
        <v>831</v>
      </c>
      <c r="B833" s="9">
        <v>10228</v>
      </c>
      <c r="C833" s="9" t="s">
        <v>802</v>
      </c>
      <c r="D833" s="9" t="s">
        <v>50</v>
      </c>
      <c r="E833" s="10" t="str">
        <f>"458.45"</f>
        <v>458.45</v>
      </c>
      <c r="F833" s="11" t="s">
        <v>9</v>
      </c>
      <c r="G833" s="11">
        <v>2017</v>
      </c>
      <c r="H833" s="12" t="str">
        <f>"437.53"</f>
        <v>437.53</v>
      </c>
      <c r="I833" s="12"/>
      <c r="J833" s="12"/>
      <c r="K833" s="12"/>
      <c r="L833" s="12"/>
      <c r="M833" s="12" t="str">
        <f>"430.45"</f>
        <v>430.45</v>
      </c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>
      <c r="A834" s="9">
        <v>832</v>
      </c>
      <c r="B834" s="9">
        <v>10403</v>
      </c>
      <c r="C834" s="9" t="s">
        <v>796</v>
      </c>
      <c r="D834" s="9" t="s">
        <v>19</v>
      </c>
      <c r="E834" s="10" t="str">
        <f>"458.72"</f>
        <v>458.72</v>
      </c>
      <c r="F834" s="11"/>
      <c r="G834" s="11">
        <v>2017</v>
      </c>
      <c r="H834" s="12" t="str">
        <f>"670.24"</f>
        <v>670.24</v>
      </c>
      <c r="I834" s="12"/>
      <c r="J834" s="12"/>
      <c r="K834" s="12"/>
      <c r="L834" s="12"/>
      <c r="M834" s="12"/>
      <c r="N834" s="12"/>
      <c r="O834" s="12" t="str">
        <f>"481.23"</f>
        <v>481.23</v>
      </c>
      <c r="P834" s="12"/>
      <c r="Q834" s="12"/>
      <c r="R834" s="12" t="str">
        <f>"756.94"</f>
        <v>756.94</v>
      </c>
      <c r="S834" s="12"/>
      <c r="T834" s="12"/>
      <c r="U834" s="12"/>
      <c r="V834" s="12"/>
      <c r="W834" s="12"/>
      <c r="X834" s="12"/>
      <c r="Y834" s="12"/>
      <c r="Z834" s="12" t="str">
        <f>"436.20"</f>
        <v>436.20</v>
      </c>
      <c r="AA834" s="12"/>
    </row>
    <row r="835" spans="1:27">
      <c r="A835" s="9">
        <v>833</v>
      </c>
      <c r="B835" s="9">
        <v>10173</v>
      </c>
      <c r="C835" s="9" t="s">
        <v>560</v>
      </c>
      <c r="D835" s="9" t="s">
        <v>10</v>
      </c>
      <c r="E835" s="10" t="str">
        <f>"458.97"</f>
        <v>458.97</v>
      </c>
      <c r="F835" s="11"/>
      <c r="G835" s="11">
        <v>2017</v>
      </c>
      <c r="H835" s="12" t="str">
        <f>"278.67"</f>
        <v>278.67</v>
      </c>
      <c r="I835" s="12" t="str">
        <f>"524.31"</f>
        <v>524.31</v>
      </c>
      <c r="J835" s="12" t="str">
        <f>"393.62"</f>
        <v>393.62</v>
      </c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>
      <c r="A836" s="9">
        <v>834</v>
      </c>
      <c r="B836" s="9">
        <v>10889</v>
      </c>
      <c r="C836" s="9" t="s">
        <v>963</v>
      </c>
      <c r="D836" s="9" t="s">
        <v>10</v>
      </c>
      <c r="E836" s="10" t="str">
        <f>"459.82"</f>
        <v>459.82</v>
      </c>
      <c r="F836" s="11"/>
      <c r="G836" s="11">
        <v>2017</v>
      </c>
      <c r="H836" s="12" t="str">
        <f>"583.03"</f>
        <v>583.03</v>
      </c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 t="str">
        <f>"419.57"</f>
        <v>419.57</v>
      </c>
      <c r="T836" s="12"/>
      <c r="U836" s="12"/>
      <c r="V836" s="12"/>
      <c r="W836" s="12"/>
      <c r="X836" s="12"/>
      <c r="Y836" s="12"/>
      <c r="Z836" s="12" t="str">
        <f>"500.07"</f>
        <v>500.07</v>
      </c>
      <c r="AA836" s="12"/>
    </row>
    <row r="837" spans="1:27">
      <c r="A837" s="9">
        <v>835</v>
      </c>
      <c r="B837" s="9">
        <v>10849</v>
      </c>
      <c r="C837" s="9" t="s">
        <v>889</v>
      </c>
      <c r="D837" s="9" t="s">
        <v>10</v>
      </c>
      <c r="E837" s="10" t="str">
        <f>"460.22"</f>
        <v>460.22</v>
      </c>
      <c r="F837" s="11" t="s">
        <v>9</v>
      </c>
      <c r="G837" s="11">
        <v>2017</v>
      </c>
      <c r="H837" s="12" t="str">
        <f>"556.16"</f>
        <v>556.16</v>
      </c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 t="str">
        <f>"432.22"</f>
        <v>432.22</v>
      </c>
      <c r="T837" s="12"/>
      <c r="U837" s="12"/>
      <c r="V837" s="12"/>
      <c r="W837" s="12"/>
      <c r="X837" s="12"/>
      <c r="Y837" s="12"/>
      <c r="Z837" s="12"/>
      <c r="AA837" s="12"/>
    </row>
    <row r="838" spans="1:27">
      <c r="A838" s="9">
        <v>836</v>
      </c>
      <c r="B838" s="9">
        <v>10522</v>
      </c>
      <c r="C838" s="9" t="s">
        <v>878</v>
      </c>
      <c r="D838" s="9" t="s">
        <v>50</v>
      </c>
      <c r="E838" s="10" t="str">
        <f>"460.42"</f>
        <v>460.42</v>
      </c>
      <c r="F838" s="11" t="s">
        <v>9</v>
      </c>
      <c r="G838" s="11">
        <v>2017</v>
      </c>
      <c r="H838" s="12" t="str">
        <f>"483.85"</f>
        <v>483.85</v>
      </c>
      <c r="I838" s="12"/>
      <c r="J838" s="12"/>
      <c r="K838" s="12"/>
      <c r="L838" s="12"/>
      <c r="M838" s="12" t="str">
        <f>"432.42"</f>
        <v>432.42</v>
      </c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>
      <c r="A839" s="9">
        <v>837</v>
      </c>
      <c r="B839" s="9">
        <v>2647</v>
      </c>
      <c r="C839" s="9" t="s">
        <v>991</v>
      </c>
      <c r="D839" s="9" t="s">
        <v>959</v>
      </c>
      <c r="E839" s="10" t="str">
        <f>"460.54"</f>
        <v>460.54</v>
      </c>
      <c r="F839" s="11" t="s">
        <v>11</v>
      </c>
      <c r="G839" s="11">
        <v>2017</v>
      </c>
      <c r="H839" s="12" t="str">
        <f>"432.54"</f>
        <v>432.54</v>
      </c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>
      <c r="A840" s="9">
        <v>838</v>
      </c>
      <c r="B840" s="9">
        <v>10191</v>
      </c>
      <c r="C840" s="9" t="s">
        <v>995</v>
      </c>
      <c r="D840" s="9" t="s">
        <v>10</v>
      </c>
      <c r="E840" s="10" t="str">
        <f>"461.00"</f>
        <v>461.00</v>
      </c>
      <c r="F840" s="11" t="s">
        <v>11</v>
      </c>
      <c r="G840" s="11">
        <v>2017</v>
      </c>
      <c r="H840" s="12" t="str">
        <f>"433.00"</f>
        <v>433.00</v>
      </c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>
      <c r="A841" s="9">
        <v>839</v>
      </c>
      <c r="B841" s="9">
        <v>9982</v>
      </c>
      <c r="C841" s="9" t="s">
        <v>1027</v>
      </c>
      <c r="D841" s="9" t="s">
        <v>12</v>
      </c>
      <c r="E841" s="10" t="str">
        <f>"461.61"</f>
        <v>461.61</v>
      </c>
      <c r="F841" s="11" t="s">
        <v>11</v>
      </c>
      <c r="G841" s="11">
        <v>2017</v>
      </c>
      <c r="H841" s="12" t="str">
        <f>"433.61"</f>
        <v>433.61</v>
      </c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>
      <c r="A842" s="9">
        <v>840</v>
      </c>
      <c r="B842" s="9">
        <v>11238</v>
      </c>
      <c r="C842" s="9" t="s">
        <v>870</v>
      </c>
      <c r="D842" s="9" t="s">
        <v>10</v>
      </c>
      <c r="E842" s="10" t="str">
        <f>"462.22"</f>
        <v>462.22</v>
      </c>
      <c r="F842" s="11"/>
      <c r="G842" s="11">
        <v>2017</v>
      </c>
      <c r="H842" s="12"/>
      <c r="I842" s="12" t="str">
        <f>"502.14"</f>
        <v>502.14</v>
      </c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 t="str">
        <f>"422.29"</f>
        <v>422.29</v>
      </c>
      <c r="AA842" s="12"/>
    </row>
    <row r="843" spans="1:27">
      <c r="A843" s="9">
        <v>841</v>
      </c>
      <c r="B843" s="9">
        <v>5735</v>
      </c>
      <c r="C843" s="9" t="s">
        <v>890</v>
      </c>
      <c r="D843" s="9" t="s">
        <v>14</v>
      </c>
      <c r="E843" s="10" t="str">
        <f>"462.78"</f>
        <v>462.78</v>
      </c>
      <c r="F843" s="11" t="s">
        <v>9</v>
      </c>
      <c r="G843" s="11">
        <v>2017</v>
      </c>
      <c r="H843" s="12" t="str">
        <f>"386.74"</f>
        <v>386.74</v>
      </c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 t="str">
        <f>"434.78"</f>
        <v>434.78</v>
      </c>
      <c r="W843" s="12"/>
      <c r="X843" s="12"/>
      <c r="Y843" s="12"/>
      <c r="Z843" s="12"/>
      <c r="AA843" s="12"/>
    </row>
    <row r="844" spans="1:27">
      <c r="A844" s="9">
        <v>842</v>
      </c>
      <c r="B844" s="9">
        <v>3005</v>
      </c>
      <c r="C844" s="9" t="s">
        <v>932</v>
      </c>
      <c r="D844" s="9" t="s">
        <v>51</v>
      </c>
      <c r="E844" s="10" t="str">
        <f>"463.25"</f>
        <v>463.25</v>
      </c>
      <c r="F844" s="11" t="s">
        <v>11</v>
      </c>
      <c r="G844" s="11">
        <v>2017</v>
      </c>
      <c r="H844" s="12" t="str">
        <f>"435.25"</f>
        <v>435.25</v>
      </c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>
      <c r="A845" s="9">
        <v>843</v>
      </c>
      <c r="B845" s="9">
        <v>10356</v>
      </c>
      <c r="C845" s="9" t="s">
        <v>544</v>
      </c>
      <c r="D845" s="9" t="s">
        <v>77</v>
      </c>
      <c r="E845" s="10" t="str">
        <f>"463.96"</f>
        <v>463.96</v>
      </c>
      <c r="F845" s="11" t="s">
        <v>11</v>
      </c>
      <c r="G845" s="11">
        <v>2017</v>
      </c>
      <c r="H845" s="12" t="str">
        <f>"435.96"</f>
        <v>435.96</v>
      </c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>
      <c r="A846" s="9">
        <v>844</v>
      </c>
      <c r="B846" s="9">
        <v>4306</v>
      </c>
      <c r="C846" s="9" t="s">
        <v>1182</v>
      </c>
      <c r="D846" s="9" t="s">
        <v>22</v>
      </c>
      <c r="E846" s="10" t="str">
        <f>"466.08"</f>
        <v>466.08</v>
      </c>
      <c r="F846" s="11" t="s">
        <v>11</v>
      </c>
      <c r="G846" s="11">
        <v>2017</v>
      </c>
      <c r="H846" s="12" t="str">
        <f>"438.08"</f>
        <v>438.08</v>
      </c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>
      <c r="A847" s="9">
        <v>845</v>
      </c>
      <c r="B847" s="9">
        <v>8614</v>
      </c>
      <c r="C847" s="9" t="s">
        <v>881</v>
      </c>
      <c r="D847" s="9" t="s">
        <v>10</v>
      </c>
      <c r="E847" s="10" t="str">
        <f>"466.54"</f>
        <v>466.54</v>
      </c>
      <c r="F847" s="11"/>
      <c r="G847" s="11">
        <v>2017</v>
      </c>
      <c r="H847" s="12" t="str">
        <f>"349.92"</f>
        <v>349.92</v>
      </c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 t="str">
        <f>"359.00"</f>
        <v>359.00</v>
      </c>
      <c r="T847" s="12" t="str">
        <f>"574.08"</f>
        <v>574.08</v>
      </c>
      <c r="U847" s="12"/>
      <c r="V847" s="12"/>
      <c r="W847" s="12"/>
      <c r="X847" s="12"/>
      <c r="Y847" s="12"/>
      <c r="Z847" s="12"/>
      <c r="AA847" s="12"/>
    </row>
    <row r="848" spans="1:27">
      <c r="A848" s="9">
        <v>846</v>
      </c>
      <c r="B848" s="9">
        <v>11404</v>
      </c>
      <c r="C848" s="9" t="s">
        <v>990</v>
      </c>
      <c r="D848" s="9" t="s">
        <v>50</v>
      </c>
      <c r="E848" s="10" t="str">
        <f>"466.96"</f>
        <v>466.96</v>
      </c>
      <c r="F848" s="11" t="s">
        <v>9</v>
      </c>
      <c r="G848" s="11">
        <v>2017</v>
      </c>
      <c r="H848" s="12"/>
      <c r="I848" s="12"/>
      <c r="J848" s="12"/>
      <c r="K848" s="12"/>
      <c r="L848" s="12"/>
      <c r="M848" s="12" t="str">
        <f>"438.96"</f>
        <v>438.96</v>
      </c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>
      <c r="A849" s="9">
        <v>847</v>
      </c>
      <c r="B849" s="9">
        <v>1489</v>
      </c>
      <c r="C849" s="9" t="s">
        <v>979</v>
      </c>
      <c r="D849" s="9" t="s">
        <v>48</v>
      </c>
      <c r="E849" s="10" t="str">
        <f>"468.77"</f>
        <v>468.77</v>
      </c>
      <c r="F849" s="11" t="s">
        <v>11</v>
      </c>
      <c r="G849" s="11">
        <v>2017</v>
      </c>
      <c r="H849" s="12" t="str">
        <f>"440.77"</f>
        <v>440.77</v>
      </c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>
      <c r="A850" s="9">
        <v>848</v>
      </c>
      <c r="B850" s="9">
        <v>10230</v>
      </c>
      <c r="C850" s="9" t="s">
        <v>665</v>
      </c>
      <c r="D850" s="9" t="s">
        <v>50</v>
      </c>
      <c r="E850" s="10" t="str">
        <f>"469.60"</f>
        <v>469.60</v>
      </c>
      <c r="F850" s="11" t="s">
        <v>11</v>
      </c>
      <c r="G850" s="11">
        <v>2017</v>
      </c>
      <c r="H850" s="12" t="str">
        <f>"441.60"</f>
        <v>441.60</v>
      </c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>
      <c r="A851" s="9">
        <v>849</v>
      </c>
      <c r="B851" s="9">
        <v>10535</v>
      </c>
      <c r="C851" s="9" t="s">
        <v>1061</v>
      </c>
      <c r="D851" s="9" t="s">
        <v>10</v>
      </c>
      <c r="E851" s="10" t="str">
        <f>"471.09"</f>
        <v>471.09</v>
      </c>
      <c r="F851" s="11" t="s">
        <v>11</v>
      </c>
      <c r="G851" s="11">
        <v>2017</v>
      </c>
      <c r="H851" s="12" t="str">
        <f>"443.09"</f>
        <v>443.09</v>
      </c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>
      <c r="A852" s="9">
        <v>850</v>
      </c>
      <c r="B852" s="9">
        <v>10811</v>
      </c>
      <c r="C852" s="9" t="s">
        <v>763</v>
      </c>
      <c r="D852" s="9" t="s">
        <v>19</v>
      </c>
      <c r="E852" s="10" t="str">
        <f>"471.16"</f>
        <v>471.16</v>
      </c>
      <c r="F852" s="11" t="s">
        <v>9</v>
      </c>
      <c r="G852" s="11">
        <v>2017</v>
      </c>
      <c r="H852" s="12" t="str">
        <f>"573.32"</f>
        <v>573.32</v>
      </c>
      <c r="I852" s="12"/>
      <c r="J852" s="12"/>
      <c r="K852" s="12"/>
      <c r="L852" s="12"/>
      <c r="M852" s="12"/>
      <c r="N852" s="12"/>
      <c r="O852" s="12"/>
      <c r="P852" s="12"/>
      <c r="Q852" s="12"/>
      <c r="R852" s="12" t="str">
        <f>"443.16"</f>
        <v>443.16</v>
      </c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>
      <c r="A853" s="9">
        <v>851</v>
      </c>
      <c r="B853" s="9">
        <v>2845</v>
      </c>
      <c r="C853" s="9" t="s">
        <v>161</v>
      </c>
      <c r="D853" s="9" t="s">
        <v>133</v>
      </c>
      <c r="E853" s="10" t="str">
        <f>"471.96"</f>
        <v>471.96</v>
      </c>
      <c r="F853" s="11" t="s">
        <v>9</v>
      </c>
      <c r="G853" s="11">
        <v>2017</v>
      </c>
      <c r="H853" s="12" t="str">
        <f>"207.49"</f>
        <v>207.49</v>
      </c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 t="str">
        <f>"443.96"</f>
        <v>443.96</v>
      </c>
      <c r="Y853" s="12"/>
      <c r="Z853" s="12"/>
      <c r="AA853" s="12"/>
    </row>
    <row r="854" spans="1:27">
      <c r="A854" s="9">
        <v>852</v>
      </c>
      <c r="B854" s="9">
        <v>10891</v>
      </c>
      <c r="C854" s="9" t="s">
        <v>735</v>
      </c>
      <c r="D854" s="9" t="s">
        <v>10</v>
      </c>
      <c r="E854" s="10" t="str">
        <f>"473.66"</f>
        <v>473.66</v>
      </c>
      <c r="F854" s="11" t="s">
        <v>9</v>
      </c>
      <c r="G854" s="11">
        <v>2017</v>
      </c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 t="str">
        <f>"445.66"</f>
        <v>445.66</v>
      </c>
      <c r="T854" s="12"/>
      <c r="U854" s="12"/>
      <c r="V854" s="12"/>
      <c r="W854" s="12"/>
      <c r="X854" s="12"/>
      <c r="Y854" s="12"/>
      <c r="Z854" s="12"/>
      <c r="AA854" s="12"/>
    </row>
    <row r="855" spans="1:27">
      <c r="A855" s="9">
        <v>853</v>
      </c>
      <c r="B855" s="9">
        <v>11258</v>
      </c>
      <c r="C855" s="9" t="s">
        <v>1030</v>
      </c>
      <c r="D855" s="9" t="s">
        <v>10</v>
      </c>
      <c r="E855" s="10" t="str">
        <f>"474.14"</f>
        <v>474.14</v>
      </c>
      <c r="F855" s="11"/>
      <c r="G855" s="11">
        <v>2017</v>
      </c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 t="str">
        <f>"489.38"</f>
        <v>489.38</v>
      </c>
      <c r="T855" s="12"/>
      <c r="U855" s="12"/>
      <c r="V855" s="12"/>
      <c r="W855" s="12"/>
      <c r="X855" s="12"/>
      <c r="Y855" s="12"/>
      <c r="Z855" s="12" t="str">
        <f>"458.89"</f>
        <v>458.89</v>
      </c>
      <c r="AA855" s="12"/>
    </row>
    <row r="856" spans="1:27">
      <c r="A856" s="9">
        <v>854</v>
      </c>
      <c r="B856" s="9">
        <v>10402</v>
      </c>
      <c r="C856" s="9" t="s">
        <v>977</v>
      </c>
      <c r="D856" s="9" t="s">
        <v>10</v>
      </c>
      <c r="E856" s="10" t="str">
        <f>"474.40"</f>
        <v>474.40</v>
      </c>
      <c r="F856" s="11"/>
      <c r="G856" s="11">
        <v>2017</v>
      </c>
      <c r="H856" s="12" t="str">
        <f>"622.95"</f>
        <v>622.95</v>
      </c>
      <c r="I856" s="12" t="str">
        <f>"574.60"</f>
        <v>574.60</v>
      </c>
      <c r="J856" s="12" t="str">
        <f>"567.80"</f>
        <v>567.80</v>
      </c>
      <c r="K856" s="12"/>
      <c r="L856" s="12"/>
      <c r="M856" s="12"/>
      <c r="N856" s="12"/>
      <c r="O856" s="12"/>
      <c r="P856" s="12"/>
      <c r="Q856" s="12"/>
      <c r="R856" s="12"/>
      <c r="S856" s="12" t="str">
        <f>"380.99"</f>
        <v>380.99</v>
      </c>
      <c r="T856" s="12"/>
      <c r="U856" s="12"/>
      <c r="V856" s="12"/>
      <c r="W856" s="12"/>
      <c r="X856" s="12"/>
      <c r="Y856" s="12"/>
      <c r="Z856" s="12"/>
      <c r="AA856" s="12"/>
    </row>
    <row r="857" spans="1:27">
      <c r="A857" s="9">
        <v>855</v>
      </c>
      <c r="B857" s="9">
        <v>11063</v>
      </c>
      <c r="C857" s="9" t="s">
        <v>936</v>
      </c>
      <c r="D857" s="9" t="s">
        <v>50</v>
      </c>
      <c r="E857" s="10" t="str">
        <f>"474.63"</f>
        <v>474.63</v>
      </c>
      <c r="F857" s="11" t="s">
        <v>9</v>
      </c>
      <c r="G857" s="11">
        <v>2017</v>
      </c>
      <c r="H857" s="12"/>
      <c r="I857" s="12"/>
      <c r="J857" s="12"/>
      <c r="K857" s="12"/>
      <c r="L857" s="12"/>
      <c r="M857" s="12" t="str">
        <f>"446.63"</f>
        <v>446.63</v>
      </c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>
      <c r="A858" s="9">
        <v>856</v>
      </c>
      <c r="B858" s="9">
        <v>11328</v>
      </c>
      <c r="C858" s="9" t="s">
        <v>989</v>
      </c>
      <c r="D858" s="9" t="s">
        <v>50</v>
      </c>
      <c r="E858" s="10" t="str">
        <f>"475.77"</f>
        <v>475.77</v>
      </c>
      <c r="F858" s="11" t="s">
        <v>9</v>
      </c>
      <c r="G858" s="11">
        <v>2017</v>
      </c>
      <c r="H858" s="12"/>
      <c r="I858" s="12"/>
      <c r="J858" s="12"/>
      <c r="K858" s="12"/>
      <c r="L858" s="12"/>
      <c r="M858" s="12" t="str">
        <f>"447.77"</f>
        <v>447.77</v>
      </c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>
      <c r="A859" s="9">
        <v>857</v>
      </c>
      <c r="B859" s="9">
        <v>10445</v>
      </c>
      <c r="C859" s="9" t="s">
        <v>449</v>
      </c>
      <c r="D859" s="9" t="s">
        <v>19</v>
      </c>
      <c r="E859" s="10" t="str">
        <f>"478.63"</f>
        <v>478.63</v>
      </c>
      <c r="F859" s="11"/>
      <c r="G859" s="11">
        <v>2017</v>
      </c>
      <c r="H859" s="12" t="str">
        <f>"459.47"</f>
        <v>459.47</v>
      </c>
      <c r="I859" s="12"/>
      <c r="J859" s="12"/>
      <c r="K859" s="12"/>
      <c r="L859" s="12"/>
      <c r="M859" s="12"/>
      <c r="N859" s="12"/>
      <c r="O859" s="12" t="str">
        <f>"346.99"</f>
        <v>346.99</v>
      </c>
      <c r="P859" s="12"/>
      <c r="Q859" s="12"/>
      <c r="R859" s="12" t="str">
        <f>"610.26"</f>
        <v>610.26</v>
      </c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>
      <c r="A860" s="9">
        <v>858</v>
      </c>
      <c r="B860" s="9">
        <v>11120</v>
      </c>
      <c r="C860" s="9" t="s">
        <v>938</v>
      </c>
      <c r="D860" s="9" t="s">
        <v>80</v>
      </c>
      <c r="E860" s="10" t="str">
        <f>"478.70"</f>
        <v>478.70</v>
      </c>
      <c r="F860" s="11" t="s">
        <v>9</v>
      </c>
      <c r="G860" s="11">
        <v>2017</v>
      </c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 t="str">
        <f>"450.70"</f>
        <v>450.70</v>
      </c>
      <c r="V860" s="12"/>
      <c r="W860" s="12"/>
      <c r="X860" s="12"/>
      <c r="Y860" s="12"/>
      <c r="Z860" s="12"/>
      <c r="AA860" s="12"/>
    </row>
    <row r="861" spans="1:27">
      <c r="A861" s="9">
        <v>859</v>
      </c>
      <c r="B861" s="9">
        <v>11426</v>
      </c>
      <c r="C861" s="9" t="s">
        <v>1002</v>
      </c>
      <c r="D861" s="9" t="s">
        <v>10</v>
      </c>
      <c r="E861" s="10" t="str">
        <f>"479.48"</f>
        <v>479.48</v>
      </c>
      <c r="F861" s="11" t="s">
        <v>9</v>
      </c>
      <c r="G861" s="11">
        <v>2017</v>
      </c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 t="str">
        <f>"451.48"</f>
        <v>451.48</v>
      </c>
      <c r="AA861" s="12"/>
    </row>
    <row r="862" spans="1:27">
      <c r="A862" s="9">
        <v>860</v>
      </c>
      <c r="B862" s="9">
        <v>8354</v>
      </c>
      <c r="C862" s="9" t="s">
        <v>1044</v>
      </c>
      <c r="D862" s="9" t="s">
        <v>130</v>
      </c>
      <c r="E862" s="10" t="str">
        <f>"483.06"</f>
        <v>483.06</v>
      </c>
      <c r="F862" s="11" t="s">
        <v>11</v>
      </c>
      <c r="G862" s="11">
        <v>2017</v>
      </c>
      <c r="H862" s="12" t="str">
        <f>"455.06"</f>
        <v>455.06</v>
      </c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>
      <c r="A863" s="9">
        <v>861</v>
      </c>
      <c r="B863" s="9">
        <v>4892</v>
      </c>
      <c r="C863" s="9" t="s">
        <v>905</v>
      </c>
      <c r="D863" s="9" t="s">
        <v>70</v>
      </c>
      <c r="E863" s="10" t="str">
        <f>"484.24"</f>
        <v>484.24</v>
      </c>
      <c r="F863" s="11" t="s">
        <v>11</v>
      </c>
      <c r="G863" s="11">
        <v>2017</v>
      </c>
      <c r="H863" s="12" t="str">
        <f>"456.24"</f>
        <v>456.24</v>
      </c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>
      <c r="A864" s="9">
        <v>862</v>
      </c>
      <c r="B864" s="9">
        <v>10779</v>
      </c>
      <c r="C864" s="9" t="s">
        <v>985</v>
      </c>
      <c r="D864" s="9" t="s">
        <v>19</v>
      </c>
      <c r="E864" s="10" t="str">
        <f>"484.71"</f>
        <v>484.71</v>
      </c>
      <c r="F864" s="11"/>
      <c r="G864" s="11">
        <v>2017</v>
      </c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 t="str">
        <f>"1215.78"</f>
        <v>1215.78</v>
      </c>
      <c r="S864" s="12"/>
      <c r="T864" s="12"/>
      <c r="U864" s="12"/>
      <c r="V864" s="12"/>
      <c r="W864" s="12"/>
      <c r="X864" s="12"/>
      <c r="Y864" s="12" t="str">
        <f>"446.94"</f>
        <v>446.94</v>
      </c>
      <c r="Z864" s="12" t="str">
        <f>"522.48"</f>
        <v>522.48</v>
      </c>
      <c r="AA864" s="12"/>
    </row>
    <row r="865" spans="1:27">
      <c r="A865" s="9">
        <v>863</v>
      </c>
      <c r="B865" s="9">
        <v>5766</v>
      </c>
      <c r="C865" s="9" t="s">
        <v>1119</v>
      </c>
      <c r="D865" s="9" t="s">
        <v>65</v>
      </c>
      <c r="E865" s="10" t="str">
        <f>"484.89"</f>
        <v>484.89</v>
      </c>
      <c r="F865" s="11" t="s">
        <v>11</v>
      </c>
      <c r="G865" s="11">
        <v>2017</v>
      </c>
      <c r="H865" s="12" t="str">
        <f>"456.89"</f>
        <v>456.89</v>
      </c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>
      <c r="A866" s="9">
        <v>864</v>
      </c>
      <c r="B866" s="9">
        <v>127</v>
      </c>
      <c r="C866" s="9" t="s">
        <v>521</v>
      </c>
      <c r="D866" s="9" t="s">
        <v>252</v>
      </c>
      <c r="E866" s="10" t="str">
        <f>"486.24"</f>
        <v>486.24</v>
      </c>
      <c r="F866" s="11" t="s">
        <v>11</v>
      </c>
      <c r="G866" s="11">
        <v>2017</v>
      </c>
      <c r="H866" s="12" t="str">
        <f>"458.24"</f>
        <v>458.24</v>
      </c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>
      <c r="A867" s="9">
        <v>865</v>
      </c>
      <c r="B867" s="9">
        <v>10441</v>
      </c>
      <c r="C867" s="9" t="s">
        <v>585</v>
      </c>
      <c r="D867" s="9" t="s">
        <v>19</v>
      </c>
      <c r="E867" s="10" t="str">
        <f>"487.13"</f>
        <v>487.13</v>
      </c>
      <c r="F867" s="11"/>
      <c r="G867" s="11">
        <v>2017</v>
      </c>
      <c r="H867" s="12" t="str">
        <f>"335.62"</f>
        <v>335.62</v>
      </c>
      <c r="I867" s="12"/>
      <c r="J867" s="12"/>
      <c r="K867" s="12"/>
      <c r="L867" s="12"/>
      <c r="M867" s="12"/>
      <c r="N867" s="12"/>
      <c r="O867" s="12"/>
      <c r="P867" s="12"/>
      <c r="Q867" s="12"/>
      <c r="R867" s="12" t="str">
        <f>"641.18"</f>
        <v>641.18</v>
      </c>
      <c r="S867" s="12"/>
      <c r="T867" s="12"/>
      <c r="U867" s="12"/>
      <c r="V867" s="12"/>
      <c r="W867" s="12"/>
      <c r="X867" s="12"/>
      <c r="Y867" s="12"/>
      <c r="Z867" s="12" t="str">
        <f>"333.08"</f>
        <v>333.08</v>
      </c>
      <c r="AA867" s="12"/>
    </row>
    <row r="868" spans="1:27">
      <c r="A868" s="9">
        <v>866</v>
      </c>
      <c r="B868" s="9">
        <v>11291</v>
      </c>
      <c r="C868" s="9" t="s">
        <v>954</v>
      </c>
      <c r="D868" s="9" t="s">
        <v>10</v>
      </c>
      <c r="E868" s="10" t="str">
        <f>"489.69"</f>
        <v>489.69</v>
      </c>
      <c r="F868" s="11"/>
      <c r="G868" s="11">
        <v>2017</v>
      </c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 t="str">
        <f>"519.84"</f>
        <v>519.84</v>
      </c>
      <c r="T868" s="12"/>
      <c r="U868" s="12"/>
      <c r="V868" s="12"/>
      <c r="W868" s="12"/>
      <c r="X868" s="12"/>
      <c r="Y868" s="12"/>
      <c r="Z868" s="12" t="str">
        <f>"459.53"</f>
        <v>459.53</v>
      </c>
      <c r="AA868" s="12"/>
    </row>
    <row r="869" spans="1:27">
      <c r="A869" s="9">
        <v>867</v>
      </c>
      <c r="B869" s="9">
        <v>11242</v>
      </c>
      <c r="C869" s="9" t="s">
        <v>939</v>
      </c>
      <c r="D869" s="9" t="s">
        <v>10</v>
      </c>
      <c r="E869" s="10" t="str">
        <f>"489.73"</f>
        <v>489.73</v>
      </c>
      <c r="F869" s="11"/>
      <c r="G869" s="11">
        <v>2017</v>
      </c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 t="str">
        <f>"589.92"</f>
        <v>589.92</v>
      </c>
      <c r="T869" s="12"/>
      <c r="U869" s="12"/>
      <c r="V869" s="12"/>
      <c r="W869" s="12"/>
      <c r="X869" s="12"/>
      <c r="Y869" s="12"/>
      <c r="Z869" s="12" t="str">
        <f>"389.54"</f>
        <v>389.54</v>
      </c>
      <c r="AA869" s="12"/>
    </row>
    <row r="870" spans="1:27">
      <c r="A870" s="9">
        <v>868</v>
      </c>
      <c r="B870" s="9">
        <v>10845</v>
      </c>
      <c r="C870" s="9" t="s">
        <v>1058</v>
      </c>
      <c r="D870" s="9" t="s">
        <v>10</v>
      </c>
      <c r="E870" s="10" t="str">
        <f>"489.88"</f>
        <v>489.88</v>
      </c>
      <c r="F870" s="11" t="s">
        <v>11</v>
      </c>
      <c r="G870" s="11">
        <v>2017</v>
      </c>
      <c r="H870" s="12" t="str">
        <f>"461.88"</f>
        <v>461.88</v>
      </c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>
      <c r="A871" s="9">
        <v>869</v>
      </c>
      <c r="B871" s="9">
        <v>10389</v>
      </c>
      <c r="C871" s="9" t="s">
        <v>744</v>
      </c>
      <c r="D871" s="9" t="s">
        <v>19</v>
      </c>
      <c r="E871" s="10" t="str">
        <f>"490.54"</f>
        <v>490.54</v>
      </c>
      <c r="F871" s="11"/>
      <c r="G871" s="11">
        <v>2017</v>
      </c>
      <c r="H871" s="12" t="str">
        <f>"780.68"</f>
        <v>780.68</v>
      </c>
      <c r="I871" s="12"/>
      <c r="J871" s="12"/>
      <c r="K871" s="12"/>
      <c r="L871" s="12"/>
      <c r="M871" s="12"/>
      <c r="N871" s="12"/>
      <c r="O871" s="12"/>
      <c r="P871" s="12"/>
      <c r="Q871" s="12"/>
      <c r="R871" s="12" t="str">
        <f>"737.48"</f>
        <v>737.48</v>
      </c>
      <c r="S871" s="12"/>
      <c r="T871" s="12"/>
      <c r="U871" s="12"/>
      <c r="V871" s="12"/>
      <c r="W871" s="12"/>
      <c r="X871" s="12"/>
      <c r="Y871" s="12" t="str">
        <f>"243.59"</f>
        <v>243.59</v>
      </c>
      <c r="Z871" s="12"/>
      <c r="AA871" s="12"/>
    </row>
    <row r="872" spans="1:27">
      <c r="A872" s="9">
        <v>870</v>
      </c>
      <c r="B872" s="9">
        <v>11106</v>
      </c>
      <c r="C872" s="9" t="s">
        <v>1164</v>
      </c>
      <c r="D872" s="9" t="s">
        <v>10</v>
      </c>
      <c r="E872" s="10" t="str">
        <f>"490.95"</f>
        <v>490.95</v>
      </c>
      <c r="F872" s="11"/>
      <c r="G872" s="11">
        <v>2017</v>
      </c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 t="str">
        <f>"490.52"</f>
        <v>490.52</v>
      </c>
      <c r="T872" s="12"/>
      <c r="U872" s="12"/>
      <c r="V872" s="12"/>
      <c r="W872" s="12"/>
      <c r="X872" s="12"/>
      <c r="Y872" s="12"/>
      <c r="Z872" s="12" t="str">
        <f>"491.37"</f>
        <v>491.37</v>
      </c>
      <c r="AA872" s="12"/>
    </row>
    <row r="873" spans="1:27">
      <c r="A873" s="9">
        <v>871</v>
      </c>
      <c r="B873" s="9">
        <v>11062</v>
      </c>
      <c r="C873" s="9" t="s">
        <v>900</v>
      </c>
      <c r="D873" s="9" t="s">
        <v>50</v>
      </c>
      <c r="E873" s="10" t="str">
        <f>"493.10"</f>
        <v>493.10</v>
      </c>
      <c r="F873" s="11" t="s">
        <v>9</v>
      </c>
      <c r="G873" s="11">
        <v>2017</v>
      </c>
      <c r="H873" s="12" t="str">
        <f>"542.96"</f>
        <v>542.96</v>
      </c>
      <c r="I873" s="12"/>
      <c r="J873" s="12"/>
      <c r="K873" s="12"/>
      <c r="L873" s="12"/>
      <c r="M873" s="12" t="str">
        <f>"465.10"</f>
        <v>465.10</v>
      </c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>
      <c r="A874" s="9">
        <v>872</v>
      </c>
      <c r="B874" s="9">
        <v>10193</v>
      </c>
      <c r="C874" s="9" t="s">
        <v>916</v>
      </c>
      <c r="D874" s="9" t="s">
        <v>10</v>
      </c>
      <c r="E874" s="10" t="str">
        <f>"494.14"</f>
        <v>494.14</v>
      </c>
      <c r="F874" s="11" t="s">
        <v>9</v>
      </c>
      <c r="G874" s="11">
        <v>2017</v>
      </c>
      <c r="H874" s="12" t="str">
        <f>"489.09"</f>
        <v>489.09</v>
      </c>
      <c r="I874" s="12" t="str">
        <f>"466.14"</f>
        <v>466.14</v>
      </c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>
      <c r="A875" s="9">
        <v>873</v>
      </c>
      <c r="B875" s="9">
        <v>11297</v>
      </c>
      <c r="C875" s="9" t="s">
        <v>1075</v>
      </c>
      <c r="D875" s="9" t="s">
        <v>10</v>
      </c>
      <c r="E875" s="10" t="str">
        <f>"494.49"</f>
        <v>494.49</v>
      </c>
      <c r="F875" s="11" t="s">
        <v>9</v>
      </c>
      <c r="G875" s="11">
        <v>2017</v>
      </c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 t="str">
        <f>"466.49"</f>
        <v>466.49</v>
      </c>
      <c r="AA875" s="12"/>
    </row>
    <row r="876" spans="1:27">
      <c r="A876" s="9">
        <v>874</v>
      </c>
      <c r="B876" s="9">
        <v>11237</v>
      </c>
      <c r="C876" s="9" t="s">
        <v>907</v>
      </c>
      <c r="D876" s="9" t="s">
        <v>10</v>
      </c>
      <c r="E876" s="10" t="str">
        <f>"497.24"</f>
        <v>497.24</v>
      </c>
      <c r="F876" s="11"/>
      <c r="G876" s="11">
        <v>2017</v>
      </c>
      <c r="H876" s="12"/>
      <c r="I876" s="12" t="str">
        <f>"653.58"</f>
        <v>653.58</v>
      </c>
      <c r="J876" s="12"/>
      <c r="K876" s="12"/>
      <c r="L876" s="12"/>
      <c r="M876" s="12"/>
      <c r="N876" s="12"/>
      <c r="O876" s="12"/>
      <c r="P876" s="12"/>
      <c r="Q876" s="12"/>
      <c r="R876" s="12"/>
      <c r="S876" s="12" t="str">
        <f>"425.33"</f>
        <v>425.33</v>
      </c>
      <c r="T876" s="12"/>
      <c r="U876" s="12"/>
      <c r="V876" s="12"/>
      <c r="W876" s="12"/>
      <c r="X876" s="12"/>
      <c r="Y876" s="12"/>
      <c r="Z876" s="12" t="str">
        <f>"569.15"</f>
        <v>569.15</v>
      </c>
      <c r="AA876" s="12"/>
    </row>
    <row r="877" spans="1:27">
      <c r="A877" s="9">
        <v>875</v>
      </c>
      <c r="B877" s="9">
        <v>2168</v>
      </c>
      <c r="C877" s="9" t="s">
        <v>1057</v>
      </c>
      <c r="D877" s="9" t="s">
        <v>10</v>
      </c>
      <c r="E877" s="10" t="str">
        <f>"497.50"</f>
        <v>497.50</v>
      </c>
      <c r="F877" s="11" t="s">
        <v>11</v>
      </c>
      <c r="G877" s="11">
        <v>2017</v>
      </c>
      <c r="H877" s="12" t="str">
        <f>"469.50"</f>
        <v>469.50</v>
      </c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>
      <c r="A878" s="9">
        <v>876</v>
      </c>
      <c r="B878" s="9">
        <v>11422</v>
      </c>
      <c r="C878" s="9" t="s">
        <v>1081</v>
      </c>
      <c r="D878" s="9" t="s">
        <v>19</v>
      </c>
      <c r="E878" s="10" t="str">
        <f>"497.68"</f>
        <v>497.68</v>
      </c>
      <c r="F878" s="11" t="s">
        <v>9</v>
      </c>
      <c r="G878" s="11">
        <v>2017</v>
      </c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 t="str">
        <f>"469.68"</f>
        <v>469.68</v>
      </c>
      <c r="Z878" s="12"/>
      <c r="AA878" s="12"/>
    </row>
    <row r="879" spans="1:27">
      <c r="A879" s="9">
        <v>877</v>
      </c>
      <c r="B879" s="9">
        <v>10843</v>
      </c>
      <c r="C879" s="9" t="s">
        <v>934</v>
      </c>
      <c r="D879" s="9" t="s">
        <v>10</v>
      </c>
      <c r="E879" s="10" t="str">
        <f>"499.30"</f>
        <v>499.30</v>
      </c>
      <c r="F879" s="11" t="s">
        <v>11</v>
      </c>
      <c r="G879" s="11">
        <v>2017</v>
      </c>
      <c r="H879" s="12" t="str">
        <f>"471.30"</f>
        <v>471.30</v>
      </c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>
      <c r="A880" s="9">
        <v>878</v>
      </c>
      <c r="B880" s="9">
        <v>11316</v>
      </c>
      <c r="C880" s="9" t="s">
        <v>1144</v>
      </c>
      <c r="D880" s="9" t="s">
        <v>10</v>
      </c>
      <c r="E880" s="10" t="str">
        <f>"499.33"</f>
        <v>499.33</v>
      </c>
      <c r="F880" s="11"/>
      <c r="G880" s="11">
        <v>2017</v>
      </c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 t="str">
        <f>"531.71"</f>
        <v>531.71</v>
      </c>
      <c r="T880" s="12"/>
      <c r="U880" s="12"/>
      <c r="V880" s="12"/>
      <c r="W880" s="12"/>
      <c r="X880" s="12"/>
      <c r="Y880" s="12"/>
      <c r="Z880" s="12" t="str">
        <f>"466.94"</f>
        <v>466.94</v>
      </c>
      <c r="AA880" s="12"/>
    </row>
    <row r="881" spans="1:27">
      <c r="A881" s="9">
        <v>879</v>
      </c>
      <c r="B881" s="9">
        <v>10728</v>
      </c>
      <c r="C881" s="9" t="s">
        <v>944</v>
      </c>
      <c r="D881" s="9" t="s">
        <v>19</v>
      </c>
      <c r="E881" s="10" t="str">
        <f>"499.90"</f>
        <v>499.90</v>
      </c>
      <c r="F881" s="11"/>
      <c r="G881" s="11">
        <v>2017</v>
      </c>
      <c r="H881" s="12" t="str">
        <f>"846.09"</f>
        <v>846.09</v>
      </c>
      <c r="I881" s="12"/>
      <c r="J881" s="12"/>
      <c r="K881" s="12"/>
      <c r="L881" s="12"/>
      <c r="M881" s="12"/>
      <c r="N881" s="12"/>
      <c r="O881" s="12"/>
      <c r="P881" s="12"/>
      <c r="Q881" s="12"/>
      <c r="R881" s="12" t="str">
        <f>"725.68"</f>
        <v>725.68</v>
      </c>
      <c r="S881" s="12"/>
      <c r="T881" s="12"/>
      <c r="U881" s="12"/>
      <c r="V881" s="12"/>
      <c r="W881" s="12"/>
      <c r="X881" s="12"/>
      <c r="Y881" s="12" t="str">
        <f>"274.11"</f>
        <v>274.11</v>
      </c>
      <c r="Z881" s="12"/>
      <c r="AA881" s="12"/>
    </row>
    <row r="882" spans="1:27">
      <c r="A882" s="9">
        <v>880</v>
      </c>
      <c r="B882" s="9">
        <v>10114</v>
      </c>
      <c r="C882" s="9" t="s">
        <v>955</v>
      </c>
      <c r="D882" s="9" t="s">
        <v>10</v>
      </c>
      <c r="E882" s="10" t="str">
        <f>"500.13"</f>
        <v>500.13</v>
      </c>
      <c r="F882" s="11"/>
      <c r="G882" s="11">
        <v>2017</v>
      </c>
      <c r="H882" s="12" t="str">
        <f>"800.74"</f>
        <v>800.74</v>
      </c>
      <c r="I882" s="12" t="str">
        <f>"535.98"</f>
        <v>535.98</v>
      </c>
      <c r="J882" s="12" t="str">
        <f>"464.28"</f>
        <v>464.28</v>
      </c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>
      <c r="A883" s="9">
        <v>881</v>
      </c>
      <c r="B883" s="9">
        <v>10201</v>
      </c>
      <c r="C883" s="9" t="s">
        <v>928</v>
      </c>
      <c r="D883" s="9" t="s">
        <v>10</v>
      </c>
      <c r="E883" s="10" t="str">
        <f>"501.62"</f>
        <v>501.62</v>
      </c>
      <c r="F883" s="11"/>
      <c r="G883" s="11">
        <v>2017</v>
      </c>
      <c r="H883" s="12" t="str">
        <f>"794.76"</f>
        <v>794.76</v>
      </c>
      <c r="I883" s="12" t="str">
        <f>"447.77"</f>
        <v>447.77</v>
      </c>
      <c r="J883" s="12" t="str">
        <f>"555.46"</f>
        <v>555.46</v>
      </c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>
      <c r="A884" s="9">
        <v>882</v>
      </c>
      <c r="B884" s="9">
        <v>10787</v>
      </c>
      <c r="C884" s="9" t="s">
        <v>793</v>
      </c>
      <c r="D884" s="9" t="s">
        <v>19</v>
      </c>
      <c r="E884" s="10" t="str">
        <f>"502.47"</f>
        <v>502.47</v>
      </c>
      <c r="F884" s="11"/>
      <c r="G884" s="11">
        <v>2017</v>
      </c>
      <c r="H884" s="12" t="str">
        <f>"584.92"</f>
        <v>584.92</v>
      </c>
      <c r="I884" s="12"/>
      <c r="J884" s="12"/>
      <c r="K884" s="12"/>
      <c r="L884" s="12"/>
      <c r="M884" s="12"/>
      <c r="N884" s="12"/>
      <c r="O884" s="12" t="str">
        <f>"444.42"</f>
        <v>444.42</v>
      </c>
      <c r="P884" s="12"/>
      <c r="Q884" s="12"/>
      <c r="R884" s="12" t="str">
        <f>"560.52"</f>
        <v>560.52</v>
      </c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>
      <c r="A885" s="9">
        <v>883</v>
      </c>
      <c r="B885" s="9">
        <v>10229</v>
      </c>
      <c r="C885" s="9" t="s">
        <v>902</v>
      </c>
      <c r="D885" s="9" t="s">
        <v>50</v>
      </c>
      <c r="E885" s="10" t="str">
        <f>"503.29"</f>
        <v>503.29</v>
      </c>
      <c r="F885" s="11" t="s">
        <v>11</v>
      </c>
      <c r="G885" s="11">
        <v>2017</v>
      </c>
      <c r="H885" s="12" t="str">
        <f>"475.29"</f>
        <v>475.29</v>
      </c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>
      <c r="A886" s="9">
        <v>884</v>
      </c>
      <c r="B886" s="9">
        <v>10495</v>
      </c>
      <c r="C886" s="9" t="s">
        <v>845</v>
      </c>
      <c r="D886" s="9" t="s">
        <v>19</v>
      </c>
      <c r="E886" s="10" t="str">
        <f>"504.96"</f>
        <v>504.96</v>
      </c>
      <c r="F886" s="11" t="s">
        <v>11</v>
      </c>
      <c r="G886" s="11">
        <v>2017</v>
      </c>
      <c r="H886" s="12" t="str">
        <f>"476.96"</f>
        <v>476.96</v>
      </c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>
      <c r="A887" s="9">
        <v>885</v>
      </c>
      <c r="B887" s="9">
        <v>9975</v>
      </c>
      <c r="C887" s="9" t="s">
        <v>1217</v>
      </c>
      <c r="D887" s="9" t="s">
        <v>86</v>
      </c>
      <c r="E887" s="10" t="str">
        <f>"506.07"</f>
        <v>506.07</v>
      </c>
      <c r="F887" s="11" t="s">
        <v>11</v>
      </c>
      <c r="G887" s="11">
        <v>2017</v>
      </c>
      <c r="H887" s="12" t="str">
        <f>"478.07"</f>
        <v>478.07</v>
      </c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>
      <c r="A888" s="9">
        <v>886</v>
      </c>
      <c r="B888" s="9">
        <v>6582</v>
      </c>
      <c r="C888" s="9" t="s">
        <v>1089</v>
      </c>
      <c r="D888" s="9" t="s">
        <v>52</v>
      </c>
      <c r="E888" s="10" t="str">
        <f>"506.33"</f>
        <v>506.33</v>
      </c>
      <c r="F888" s="11" t="s">
        <v>11</v>
      </c>
      <c r="G888" s="11">
        <v>2017</v>
      </c>
      <c r="H888" s="12" t="str">
        <f>"478.33"</f>
        <v>478.33</v>
      </c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>
      <c r="A889" s="9">
        <v>887</v>
      </c>
      <c r="B889" s="9">
        <v>10894</v>
      </c>
      <c r="C889" s="9" t="s">
        <v>1088</v>
      </c>
      <c r="D889" s="9" t="s">
        <v>10</v>
      </c>
      <c r="E889" s="10" t="str">
        <f>"507.10"</f>
        <v>507.10</v>
      </c>
      <c r="F889" s="11"/>
      <c r="G889" s="11">
        <v>2017</v>
      </c>
      <c r="H889" s="12" t="str">
        <f>"516.76"</f>
        <v>516.76</v>
      </c>
      <c r="I889" s="12" t="str">
        <f>"541.67"</f>
        <v>541.67</v>
      </c>
      <c r="J889" s="12" t="str">
        <f>"472.53"</f>
        <v>472.53</v>
      </c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>
      <c r="A890" s="9">
        <v>888</v>
      </c>
      <c r="B890" s="9">
        <v>11406</v>
      </c>
      <c r="C890" s="9" t="s">
        <v>1004</v>
      </c>
      <c r="D890" s="9" t="s">
        <v>50</v>
      </c>
      <c r="E890" s="10" t="str">
        <f>"507.84"</f>
        <v>507.84</v>
      </c>
      <c r="F890" s="11" t="s">
        <v>9</v>
      </c>
      <c r="G890" s="11">
        <v>2017</v>
      </c>
      <c r="H890" s="12"/>
      <c r="I890" s="12"/>
      <c r="J890" s="12"/>
      <c r="K890" s="12"/>
      <c r="L890" s="12"/>
      <c r="M890" s="12" t="str">
        <f>"479.84"</f>
        <v>479.84</v>
      </c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>
      <c r="A891" s="9">
        <v>889</v>
      </c>
      <c r="B891" s="9">
        <v>10360</v>
      </c>
      <c r="C891" s="9" t="s">
        <v>1093</v>
      </c>
      <c r="D891" s="9" t="s">
        <v>12</v>
      </c>
      <c r="E891" s="10" t="str">
        <f>"508.43"</f>
        <v>508.43</v>
      </c>
      <c r="F891" s="11" t="s">
        <v>11</v>
      </c>
      <c r="G891" s="11">
        <v>2017</v>
      </c>
      <c r="H891" s="12" t="str">
        <f>"480.43"</f>
        <v>480.43</v>
      </c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>
      <c r="A892" s="9">
        <v>890</v>
      </c>
      <c r="B892" s="9">
        <v>11312</v>
      </c>
      <c r="C892" s="9" t="s">
        <v>1150</v>
      </c>
      <c r="D892" s="9" t="s">
        <v>10</v>
      </c>
      <c r="E892" s="10" t="str">
        <f>"509.75"</f>
        <v>509.75</v>
      </c>
      <c r="F892" s="11"/>
      <c r="G892" s="11">
        <v>2017</v>
      </c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 t="str">
        <f>"545.50"</f>
        <v>545.50</v>
      </c>
      <c r="T892" s="12"/>
      <c r="U892" s="12"/>
      <c r="V892" s="12"/>
      <c r="W892" s="12"/>
      <c r="X892" s="12"/>
      <c r="Y892" s="12"/>
      <c r="Z892" s="12" t="str">
        <f>"473.99"</f>
        <v>473.99</v>
      </c>
      <c r="AA892" s="12"/>
    </row>
    <row r="893" spans="1:27">
      <c r="A893" s="9">
        <v>891</v>
      </c>
      <c r="B893" s="9">
        <v>10935</v>
      </c>
      <c r="C893" s="9" t="s">
        <v>1146</v>
      </c>
      <c r="D893" s="9" t="s">
        <v>10</v>
      </c>
      <c r="E893" s="10" t="str">
        <f>"510.81"</f>
        <v>510.81</v>
      </c>
      <c r="F893" s="11"/>
      <c r="G893" s="11">
        <v>2017</v>
      </c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 t="str">
        <f>"550.82"</f>
        <v>550.82</v>
      </c>
      <c r="T893" s="12"/>
      <c r="U893" s="12"/>
      <c r="V893" s="12"/>
      <c r="W893" s="12"/>
      <c r="X893" s="12"/>
      <c r="Y893" s="12"/>
      <c r="Z893" s="12" t="str">
        <f>"470.79"</f>
        <v>470.79</v>
      </c>
      <c r="AA893" s="12"/>
    </row>
    <row r="894" spans="1:27">
      <c r="A894" s="9">
        <v>892</v>
      </c>
      <c r="B894" s="9">
        <v>11290</v>
      </c>
      <c r="C894" s="9" t="s">
        <v>968</v>
      </c>
      <c r="D894" s="9" t="s">
        <v>10</v>
      </c>
      <c r="E894" s="10" t="str">
        <f>"512.87"</f>
        <v>512.87</v>
      </c>
      <c r="F894" s="11"/>
      <c r="G894" s="11">
        <v>2017</v>
      </c>
      <c r="H894" s="12"/>
      <c r="I894" s="12" t="str">
        <f>"628.34"</f>
        <v>628.34</v>
      </c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 t="str">
        <f>"397.40"</f>
        <v>397.40</v>
      </c>
      <c r="AA894" s="12"/>
    </row>
    <row r="895" spans="1:27">
      <c r="A895" s="9">
        <v>893</v>
      </c>
      <c r="B895" s="9">
        <v>10856</v>
      </c>
      <c r="C895" s="9" t="s">
        <v>1009</v>
      </c>
      <c r="D895" s="9" t="s">
        <v>10</v>
      </c>
      <c r="E895" s="10" t="str">
        <f>"514.08"</f>
        <v>514.08</v>
      </c>
      <c r="F895" s="11"/>
      <c r="G895" s="11">
        <v>2017</v>
      </c>
      <c r="H895" s="12" t="str">
        <f>"524.51"</f>
        <v>524.51</v>
      </c>
      <c r="I895" s="12" t="str">
        <f>"494.72"</f>
        <v>494.72</v>
      </c>
      <c r="J895" s="12" t="str">
        <f>"533.44"</f>
        <v>533.44</v>
      </c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>
      <c r="A896" s="9">
        <v>894</v>
      </c>
      <c r="B896" s="9">
        <v>10934</v>
      </c>
      <c r="C896" s="9" t="s">
        <v>994</v>
      </c>
      <c r="D896" s="9" t="s">
        <v>10</v>
      </c>
      <c r="E896" s="10" t="str">
        <f>"514.54"</f>
        <v>514.54</v>
      </c>
      <c r="F896" s="11"/>
      <c r="G896" s="11">
        <v>2017</v>
      </c>
      <c r="H896" s="12"/>
      <c r="I896" s="12" t="str">
        <f>"555.79"</f>
        <v>555.79</v>
      </c>
      <c r="J896" s="12" t="str">
        <f>"577.84"</f>
        <v>577.84</v>
      </c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 t="str">
        <f>"473.28"</f>
        <v>473.28</v>
      </c>
      <c r="W896" s="12"/>
      <c r="X896" s="12"/>
      <c r="Y896" s="12"/>
      <c r="Z896" s="12"/>
      <c r="AA896" s="12"/>
    </row>
    <row r="897" spans="1:27">
      <c r="A897" s="9">
        <v>895</v>
      </c>
      <c r="B897" s="9">
        <v>4413</v>
      </c>
      <c r="C897" s="9" t="s">
        <v>427</v>
      </c>
      <c r="D897" s="9" t="s">
        <v>14</v>
      </c>
      <c r="E897" s="10" t="str">
        <f>"515.48"</f>
        <v>515.48</v>
      </c>
      <c r="F897" s="11" t="s">
        <v>11</v>
      </c>
      <c r="G897" s="11">
        <v>2017</v>
      </c>
      <c r="H897" s="12" t="str">
        <f>"487.48"</f>
        <v>487.48</v>
      </c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>
      <c r="A898" s="9">
        <v>896</v>
      </c>
      <c r="B898" s="9">
        <v>10646</v>
      </c>
      <c r="C898" s="9" t="s">
        <v>1034</v>
      </c>
      <c r="D898" s="9" t="s">
        <v>10</v>
      </c>
      <c r="E898" s="10" t="str">
        <f>"515.92"</f>
        <v>515.92</v>
      </c>
      <c r="F898" s="11" t="s">
        <v>11</v>
      </c>
      <c r="G898" s="11">
        <v>2017</v>
      </c>
      <c r="H898" s="12" t="str">
        <f>"487.92"</f>
        <v>487.92</v>
      </c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>
      <c r="A899" s="9">
        <v>897</v>
      </c>
      <c r="B899" s="9">
        <v>3975</v>
      </c>
      <c r="C899" s="9" t="s">
        <v>1115</v>
      </c>
      <c r="D899" s="9" t="s">
        <v>1116</v>
      </c>
      <c r="E899" s="10" t="str">
        <f>"518.84"</f>
        <v>518.84</v>
      </c>
      <c r="F899" s="11" t="s">
        <v>11</v>
      </c>
      <c r="G899" s="11">
        <v>2017</v>
      </c>
      <c r="H899" s="12" t="str">
        <f>"490.84"</f>
        <v>490.84</v>
      </c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>
      <c r="A900" s="9">
        <v>898</v>
      </c>
      <c r="B900" s="9">
        <v>11285</v>
      </c>
      <c r="C900" s="9" t="s">
        <v>1022</v>
      </c>
      <c r="D900" s="9" t="s">
        <v>10</v>
      </c>
      <c r="E900" s="10" t="str">
        <f>"520.26"</f>
        <v>520.26</v>
      </c>
      <c r="F900" s="11"/>
      <c r="G900" s="11">
        <v>2017</v>
      </c>
      <c r="H900" s="12"/>
      <c r="I900" s="12" t="str">
        <f>"643.81"</f>
        <v>643.81</v>
      </c>
      <c r="J900" s="12"/>
      <c r="K900" s="12"/>
      <c r="L900" s="12"/>
      <c r="M900" s="12"/>
      <c r="N900" s="12"/>
      <c r="O900" s="12"/>
      <c r="P900" s="12"/>
      <c r="Q900" s="12"/>
      <c r="R900" s="12"/>
      <c r="S900" s="12" t="str">
        <f>"496.80"</f>
        <v>496.80</v>
      </c>
      <c r="T900" s="12"/>
      <c r="U900" s="12"/>
      <c r="V900" s="12"/>
      <c r="W900" s="12"/>
      <c r="X900" s="12"/>
      <c r="Y900" s="12"/>
      <c r="Z900" s="12" t="str">
        <f>"543.71"</f>
        <v>543.71</v>
      </c>
      <c r="AA900" s="12"/>
    </row>
    <row r="901" spans="1:27">
      <c r="A901" s="9">
        <v>899</v>
      </c>
      <c r="B901" s="9">
        <v>11378</v>
      </c>
      <c r="C901" s="9" t="s">
        <v>922</v>
      </c>
      <c r="D901" s="9" t="s">
        <v>19</v>
      </c>
      <c r="E901" s="10" t="str">
        <f>"521.06"</f>
        <v>521.06</v>
      </c>
      <c r="F901" s="11" t="s">
        <v>9</v>
      </c>
      <c r="G901" s="11">
        <v>2017</v>
      </c>
      <c r="H901" s="12"/>
      <c r="I901" s="12"/>
      <c r="J901" s="12"/>
      <c r="K901" s="12"/>
      <c r="L901" s="12"/>
      <c r="M901" s="12"/>
      <c r="N901" s="12"/>
      <c r="O901" s="12" t="str">
        <f>"493.06"</f>
        <v>493.06</v>
      </c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>
      <c r="A902" s="9">
        <v>900</v>
      </c>
      <c r="B902" s="9">
        <v>10183</v>
      </c>
      <c r="C902" s="9" t="s">
        <v>970</v>
      </c>
      <c r="D902" s="9" t="s">
        <v>10</v>
      </c>
      <c r="E902" s="10" t="str">
        <f>"521.14"</f>
        <v>521.14</v>
      </c>
      <c r="F902" s="11"/>
      <c r="G902" s="11">
        <v>2017</v>
      </c>
      <c r="H902" s="12" t="str">
        <f>"777.63"</f>
        <v>777.63</v>
      </c>
      <c r="I902" s="12" t="str">
        <f>"619.56"</f>
        <v>619.56</v>
      </c>
      <c r="J902" s="12" t="str">
        <f>"585.30"</f>
        <v>585.30</v>
      </c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 t="str">
        <f>"456.97"</f>
        <v>456.97</v>
      </c>
      <c r="AA902" s="12"/>
    </row>
    <row r="903" spans="1:27">
      <c r="A903" s="9">
        <v>901</v>
      </c>
      <c r="B903" s="9">
        <v>10791</v>
      </c>
      <c r="C903" s="9" t="s">
        <v>969</v>
      </c>
      <c r="D903" s="9" t="s">
        <v>10</v>
      </c>
      <c r="E903" s="10" t="str">
        <f>"523.88"</f>
        <v>523.88</v>
      </c>
      <c r="F903" s="11"/>
      <c r="G903" s="11">
        <v>2017</v>
      </c>
      <c r="H903" s="12"/>
      <c r="I903" s="12" t="str">
        <f>"615.86"</f>
        <v>615.86</v>
      </c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 t="str">
        <f>"431.90"</f>
        <v>431.90</v>
      </c>
      <c r="AA903" s="12"/>
    </row>
    <row r="904" spans="1:27">
      <c r="A904" s="9">
        <v>902</v>
      </c>
      <c r="B904" s="9">
        <v>10906</v>
      </c>
      <c r="C904" s="9" t="s">
        <v>1100</v>
      </c>
      <c r="D904" s="9" t="s">
        <v>10</v>
      </c>
      <c r="E904" s="10" t="str">
        <f>"524.91"</f>
        <v>524.91</v>
      </c>
      <c r="F904" s="11" t="s">
        <v>11</v>
      </c>
      <c r="G904" s="11">
        <v>2017</v>
      </c>
      <c r="H904" s="12" t="str">
        <f>"496.91"</f>
        <v>496.91</v>
      </c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>
      <c r="A905" s="9">
        <v>903</v>
      </c>
      <c r="B905" s="9">
        <v>10368</v>
      </c>
      <c r="C905" s="9" t="s">
        <v>960</v>
      </c>
      <c r="D905" s="9" t="s">
        <v>214</v>
      </c>
      <c r="E905" s="10" t="str">
        <f>"525.25"</f>
        <v>525.25</v>
      </c>
      <c r="F905" s="11" t="s">
        <v>9</v>
      </c>
      <c r="G905" s="11">
        <v>2017</v>
      </c>
      <c r="H905" s="12" t="str">
        <f>"293.51"</f>
        <v>293.51</v>
      </c>
      <c r="I905" s="12"/>
      <c r="J905" s="12"/>
      <c r="K905" s="12"/>
      <c r="L905" s="12"/>
      <c r="M905" s="12"/>
      <c r="N905" s="12"/>
      <c r="O905" s="12"/>
      <c r="P905" s="12"/>
      <c r="Q905" s="12" t="str">
        <f>"497.25"</f>
        <v>497.25</v>
      </c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>
      <c r="A906" s="9">
        <v>904</v>
      </c>
      <c r="B906" s="9">
        <v>11314</v>
      </c>
      <c r="C906" s="9" t="s">
        <v>1154</v>
      </c>
      <c r="D906" s="9" t="s">
        <v>10</v>
      </c>
      <c r="E906" s="10" t="str">
        <f>"525.27"</f>
        <v>525.27</v>
      </c>
      <c r="F906" s="11"/>
      <c r="G906" s="11">
        <v>2017</v>
      </c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 t="str">
        <f>"584.42"</f>
        <v>584.42</v>
      </c>
      <c r="T906" s="12"/>
      <c r="U906" s="12"/>
      <c r="V906" s="12"/>
      <c r="W906" s="12"/>
      <c r="X906" s="12"/>
      <c r="Y906" s="12"/>
      <c r="Z906" s="12" t="str">
        <f>"466.12"</f>
        <v>466.12</v>
      </c>
      <c r="AA906" s="12"/>
    </row>
    <row r="907" spans="1:27">
      <c r="A907" s="9">
        <v>905</v>
      </c>
      <c r="B907" s="9">
        <v>10816</v>
      </c>
      <c r="C907" s="9" t="s">
        <v>1158</v>
      </c>
      <c r="D907" s="9" t="s">
        <v>10</v>
      </c>
      <c r="E907" s="10" t="str">
        <f>"528.73"</f>
        <v>528.73</v>
      </c>
      <c r="F907" s="11" t="s">
        <v>9</v>
      </c>
      <c r="G907" s="11">
        <v>2017</v>
      </c>
      <c r="H907" s="12" t="str">
        <f>"916.38"</f>
        <v>916.38</v>
      </c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 t="str">
        <f>"500.73"</f>
        <v>500.73</v>
      </c>
      <c r="T907" s="12"/>
      <c r="U907" s="12"/>
      <c r="V907" s="12"/>
      <c r="W907" s="12"/>
      <c r="X907" s="12"/>
      <c r="Y907" s="12"/>
      <c r="Z907" s="12"/>
      <c r="AA907" s="12"/>
    </row>
    <row r="908" spans="1:27">
      <c r="A908" s="9">
        <v>906</v>
      </c>
      <c r="B908" s="9">
        <v>11288</v>
      </c>
      <c r="C908" s="9" t="s">
        <v>1014</v>
      </c>
      <c r="D908" s="9" t="s">
        <v>10</v>
      </c>
      <c r="E908" s="10" t="str">
        <f>"528.98"</f>
        <v>528.98</v>
      </c>
      <c r="F908" s="11"/>
      <c r="G908" s="11">
        <v>2017</v>
      </c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 t="str">
        <f>"563.65"</f>
        <v>563.65</v>
      </c>
      <c r="T908" s="12"/>
      <c r="U908" s="12"/>
      <c r="V908" s="12"/>
      <c r="W908" s="12"/>
      <c r="X908" s="12"/>
      <c r="Y908" s="12"/>
      <c r="Z908" s="12" t="str">
        <f>"494.30"</f>
        <v>494.30</v>
      </c>
      <c r="AA908" s="12"/>
    </row>
    <row r="909" spans="1:27">
      <c r="A909" s="9">
        <v>907</v>
      </c>
      <c r="B909" s="9">
        <v>10477</v>
      </c>
      <c r="C909" s="9" t="s">
        <v>952</v>
      </c>
      <c r="D909" s="9" t="s">
        <v>19</v>
      </c>
      <c r="E909" s="10" t="str">
        <f>"529.44"</f>
        <v>529.44</v>
      </c>
      <c r="F909" s="11" t="s">
        <v>9</v>
      </c>
      <c r="G909" s="11">
        <v>2017</v>
      </c>
      <c r="H909" s="12" t="str">
        <f>"1332.70"</f>
        <v>1332.70</v>
      </c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 t="str">
        <f>"501.44"</f>
        <v>501.44</v>
      </c>
      <c r="AA909" s="12"/>
    </row>
    <row r="910" spans="1:27">
      <c r="A910" s="9">
        <v>908</v>
      </c>
      <c r="B910" s="9">
        <v>10876</v>
      </c>
      <c r="C910" s="9" t="s">
        <v>1163</v>
      </c>
      <c r="D910" s="9" t="s">
        <v>10</v>
      </c>
      <c r="E910" s="10" t="str">
        <f>"533.61"</f>
        <v>533.61</v>
      </c>
      <c r="F910" s="11" t="s">
        <v>11</v>
      </c>
      <c r="G910" s="11">
        <v>2017</v>
      </c>
      <c r="H910" s="12" t="str">
        <f>"505.61"</f>
        <v>505.61</v>
      </c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>
      <c r="A911" s="9">
        <v>909</v>
      </c>
      <c r="B911" s="9">
        <v>11305</v>
      </c>
      <c r="C911" s="9" t="s">
        <v>986</v>
      </c>
      <c r="D911" s="9" t="s">
        <v>10</v>
      </c>
      <c r="E911" s="10" t="str">
        <f>"535.02"</f>
        <v>535.02</v>
      </c>
      <c r="F911" s="11" t="s">
        <v>9</v>
      </c>
      <c r="G911" s="11">
        <v>2017</v>
      </c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 t="str">
        <f>"507.02"</f>
        <v>507.02</v>
      </c>
      <c r="AA911" s="12"/>
    </row>
    <row r="912" spans="1:27">
      <c r="A912" s="9">
        <v>910</v>
      </c>
      <c r="B912" s="9">
        <v>10267</v>
      </c>
      <c r="C912" s="9" t="s">
        <v>605</v>
      </c>
      <c r="D912" s="9" t="s">
        <v>19</v>
      </c>
      <c r="E912" s="10" t="str">
        <f>"536.68"</f>
        <v>536.68</v>
      </c>
      <c r="F912" s="11"/>
      <c r="G912" s="11">
        <v>2017</v>
      </c>
      <c r="H912" s="12" t="str">
        <f>"582.34"</f>
        <v>582.34</v>
      </c>
      <c r="I912" s="12"/>
      <c r="J912" s="12"/>
      <c r="K912" s="12"/>
      <c r="L912" s="12"/>
      <c r="M912" s="12"/>
      <c r="N912" s="12"/>
      <c r="O912" s="12" t="str">
        <f>"405.71"</f>
        <v>405.71</v>
      </c>
      <c r="P912" s="12"/>
      <c r="Q912" s="12"/>
      <c r="R912" s="12" t="str">
        <f>"667.64"</f>
        <v>667.64</v>
      </c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>
      <c r="A913" s="9">
        <v>911</v>
      </c>
      <c r="B913" s="9">
        <v>11235</v>
      </c>
      <c r="C913" s="9" t="s">
        <v>1068</v>
      </c>
      <c r="D913" s="9" t="s">
        <v>10</v>
      </c>
      <c r="E913" s="10" t="str">
        <f>"538.74"</f>
        <v>538.74</v>
      </c>
      <c r="F913" s="11"/>
      <c r="G913" s="11">
        <v>2017</v>
      </c>
      <c r="H913" s="12"/>
      <c r="I913" s="12" t="str">
        <f>"659.10"</f>
        <v>659.10</v>
      </c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 t="str">
        <f>"578.79"</f>
        <v>578.79</v>
      </c>
      <c r="Y913" s="12"/>
      <c r="Z913" s="12" t="str">
        <f>"498.69"</f>
        <v>498.69</v>
      </c>
      <c r="AA913" s="12"/>
    </row>
    <row r="914" spans="1:27">
      <c r="A914" s="9">
        <v>912</v>
      </c>
      <c r="B914" s="9">
        <v>10710</v>
      </c>
      <c r="C914" s="9" t="s">
        <v>992</v>
      </c>
      <c r="D914" s="9" t="s">
        <v>10</v>
      </c>
      <c r="E914" s="10" t="str">
        <f>"541.91"</f>
        <v>541.91</v>
      </c>
      <c r="F914" s="11" t="s">
        <v>9</v>
      </c>
      <c r="G914" s="11">
        <v>2017</v>
      </c>
      <c r="H914" s="12" t="str">
        <f>"662.52"</f>
        <v>662.52</v>
      </c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 t="str">
        <f>"513.91"</f>
        <v>513.91</v>
      </c>
      <c r="T914" s="12"/>
      <c r="U914" s="12"/>
      <c r="V914" s="12"/>
      <c r="W914" s="12"/>
      <c r="X914" s="12"/>
      <c r="Y914" s="12"/>
      <c r="Z914" s="12"/>
      <c r="AA914" s="12"/>
    </row>
    <row r="915" spans="1:27">
      <c r="A915" s="9">
        <v>913</v>
      </c>
      <c r="B915" s="9">
        <v>10235</v>
      </c>
      <c r="C915" s="9" t="s">
        <v>957</v>
      </c>
      <c r="D915" s="9" t="s">
        <v>10</v>
      </c>
      <c r="E915" s="10" t="str">
        <f>"541.94"</f>
        <v>541.94</v>
      </c>
      <c r="F915" s="11"/>
      <c r="G915" s="11">
        <v>2017</v>
      </c>
      <c r="H915" s="12" t="str">
        <f>"769.89"</f>
        <v>769.89</v>
      </c>
      <c r="I915" s="12" t="str">
        <f>"567.55"</f>
        <v>567.55</v>
      </c>
      <c r="J915" s="12" t="str">
        <f>"557.83"</f>
        <v>557.83</v>
      </c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 t="str">
        <f>"526.05"</f>
        <v>526.05</v>
      </c>
      <c r="AA915" s="12"/>
    </row>
    <row r="916" spans="1:27">
      <c r="A916" s="9">
        <v>914</v>
      </c>
      <c r="B916" s="9">
        <v>11030</v>
      </c>
      <c r="C916" s="9" t="s">
        <v>1028</v>
      </c>
      <c r="D916" s="9" t="s">
        <v>10</v>
      </c>
      <c r="E916" s="10" t="str">
        <f>"546.27"</f>
        <v>546.27</v>
      </c>
      <c r="F916" s="11" t="s">
        <v>9</v>
      </c>
      <c r="G916" s="11">
        <v>2017</v>
      </c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 t="str">
        <f>"518.27"</f>
        <v>518.27</v>
      </c>
      <c r="T916" s="12"/>
      <c r="U916" s="12"/>
      <c r="V916" s="12"/>
      <c r="W916" s="12"/>
      <c r="X916" s="12"/>
      <c r="Y916" s="12"/>
      <c r="Z916" s="12"/>
      <c r="AA916" s="12"/>
    </row>
    <row r="917" spans="1:27">
      <c r="A917" s="9">
        <v>915</v>
      </c>
      <c r="B917" s="9">
        <v>11300</v>
      </c>
      <c r="C917" s="9" t="s">
        <v>1072</v>
      </c>
      <c r="D917" s="9" t="s">
        <v>10</v>
      </c>
      <c r="E917" s="10" t="str">
        <f>"546.37"</f>
        <v>546.37</v>
      </c>
      <c r="F917" s="11" t="s">
        <v>9</v>
      </c>
      <c r="G917" s="11">
        <v>2017</v>
      </c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 t="str">
        <f>"518.37"</f>
        <v>518.37</v>
      </c>
      <c r="AA917" s="12"/>
    </row>
    <row r="918" spans="1:27">
      <c r="A918" s="9">
        <v>916</v>
      </c>
      <c r="B918" s="9">
        <v>10120</v>
      </c>
      <c r="C918" s="9" t="s">
        <v>1052</v>
      </c>
      <c r="D918" s="9" t="s">
        <v>10</v>
      </c>
      <c r="E918" s="10" t="str">
        <f>"547.05"</f>
        <v>547.05</v>
      </c>
      <c r="F918" s="11"/>
      <c r="G918" s="11">
        <v>2017</v>
      </c>
      <c r="H918" s="12" t="str">
        <f>"1030.38"</f>
        <v>1030.38</v>
      </c>
      <c r="I918" s="12" t="str">
        <f>"616.85"</f>
        <v>616.85</v>
      </c>
      <c r="J918" s="12"/>
      <c r="K918" s="12"/>
      <c r="L918" s="12"/>
      <c r="M918" s="12"/>
      <c r="N918" s="12"/>
      <c r="O918" s="12"/>
      <c r="P918" s="12"/>
      <c r="Q918" s="12"/>
      <c r="R918" s="12"/>
      <c r="S918" s="12" t="str">
        <f>"477.25"</f>
        <v>477.25</v>
      </c>
      <c r="T918" s="12"/>
      <c r="U918" s="12"/>
      <c r="V918" s="12"/>
      <c r="W918" s="12"/>
      <c r="X918" s="12"/>
      <c r="Y918" s="12"/>
      <c r="Z918" s="12"/>
      <c r="AA918" s="12"/>
    </row>
    <row r="919" spans="1:27">
      <c r="A919" s="9">
        <v>917</v>
      </c>
      <c r="B919" s="9">
        <v>11428</v>
      </c>
      <c r="C919" s="9" t="s">
        <v>910</v>
      </c>
      <c r="D919" s="9" t="s">
        <v>10</v>
      </c>
      <c r="E919" s="10" t="str">
        <f>"548.84"</f>
        <v>548.84</v>
      </c>
      <c r="F919" s="11" t="s">
        <v>9</v>
      </c>
      <c r="G919" s="11">
        <v>2017</v>
      </c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 t="str">
        <f>"520.84"</f>
        <v>520.84</v>
      </c>
      <c r="AA919" s="12"/>
    </row>
    <row r="920" spans="1:27">
      <c r="A920" s="9">
        <v>918</v>
      </c>
      <c r="B920" s="9">
        <v>10857</v>
      </c>
      <c r="C920" s="9" t="s">
        <v>1037</v>
      </c>
      <c r="D920" s="9" t="s">
        <v>10</v>
      </c>
      <c r="E920" s="10" t="str">
        <f>"549.93"</f>
        <v>549.93</v>
      </c>
      <c r="F920" s="11" t="s">
        <v>11</v>
      </c>
      <c r="G920" s="11">
        <v>2017</v>
      </c>
      <c r="H920" s="12" t="str">
        <f>"521.93"</f>
        <v>521.93</v>
      </c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>
      <c r="A921" s="9">
        <v>919</v>
      </c>
      <c r="B921" s="9">
        <v>11239</v>
      </c>
      <c r="C921" s="9" t="s">
        <v>1011</v>
      </c>
      <c r="D921" s="9" t="s">
        <v>10</v>
      </c>
      <c r="E921" s="10" t="str">
        <f>"550.20"</f>
        <v>550.20</v>
      </c>
      <c r="F921" s="11"/>
      <c r="G921" s="11">
        <v>2017</v>
      </c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 t="str">
        <f>"524.29"</f>
        <v>524.29</v>
      </c>
      <c r="T921" s="12"/>
      <c r="U921" s="12"/>
      <c r="V921" s="12"/>
      <c r="W921" s="12"/>
      <c r="X921" s="12"/>
      <c r="Y921" s="12"/>
      <c r="Z921" s="12" t="str">
        <f>"576.10"</f>
        <v>576.10</v>
      </c>
      <c r="AA921" s="12"/>
    </row>
    <row r="922" spans="1:27">
      <c r="A922" s="9">
        <v>920</v>
      </c>
      <c r="B922" s="9">
        <v>11386</v>
      </c>
      <c r="C922" s="9" t="s">
        <v>996</v>
      </c>
      <c r="D922" s="9" t="s">
        <v>12</v>
      </c>
      <c r="E922" s="10" t="str">
        <f>"550.31"</f>
        <v>550.31</v>
      </c>
      <c r="F922" s="11" t="s">
        <v>9</v>
      </c>
      <c r="G922" s="11">
        <v>2017</v>
      </c>
      <c r="H922" s="12"/>
      <c r="I922" s="12"/>
      <c r="J922" s="12"/>
      <c r="K922" s="12"/>
      <c r="L922" s="12"/>
      <c r="M922" s="12" t="str">
        <f>"522.31"</f>
        <v>522.31</v>
      </c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>
      <c r="A923" s="9">
        <v>921</v>
      </c>
      <c r="B923" s="9">
        <v>6274</v>
      </c>
      <c r="C923" s="9" t="s">
        <v>756</v>
      </c>
      <c r="D923" s="9" t="s">
        <v>12</v>
      </c>
      <c r="E923" s="10" t="str">
        <f>"551.20"</f>
        <v>551.20</v>
      </c>
      <c r="F923" s="11" t="s">
        <v>11</v>
      </c>
      <c r="G923" s="11">
        <v>2017</v>
      </c>
      <c r="H923" s="12" t="str">
        <f>"523.20"</f>
        <v>523.20</v>
      </c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>
      <c r="A924" s="9">
        <v>922</v>
      </c>
      <c r="B924" s="9">
        <v>11056</v>
      </c>
      <c r="C924" s="9" t="s">
        <v>933</v>
      </c>
      <c r="D924" s="9" t="s">
        <v>50</v>
      </c>
      <c r="E924" s="10" t="str">
        <f>"551.53"</f>
        <v>551.53</v>
      </c>
      <c r="F924" s="11" t="s">
        <v>9</v>
      </c>
      <c r="G924" s="11">
        <v>2017</v>
      </c>
      <c r="H924" s="12"/>
      <c r="I924" s="12"/>
      <c r="J924" s="12"/>
      <c r="K924" s="12"/>
      <c r="L924" s="12"/>
      <c r="M924" s="12" t="str">
        <f>"523.53"</f>
        <v>523.53</v>
      </c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>
      <c r="A925" s="9">
        <v>923</v>
      </c>
      <c r="B925" s="9">
        <v>10896</v>
      </c>
      <c r="C925" s="9" t="s">
        <v>1156</v>
      </c>
      <c r="D925" s="9" t="s">
        <v>10</v>
      </c>
      <c r="E925" s="10" t="str">
        <f>"552.91"</f>
        <v>552.91</v>
      </c>
      <c r="F925" s="11"/>
      <c r="G925" s="11">
        <v>2017</v>
      </c>
      <c r="H925" s="12" t="str">
        <f>"546.12"</f>
        <v>546.12</v>
      </c>
      <c r="I925" s="12" t="str">
        <f>"644.80"</f>
        <v>644.80</v>
      </c>
      <c r="J925" s="12"/>
      <c r="K925" s="12"/>
      <c r="L925" s="12"/>
      <c r="M925" s="12"/>
      <c r="N925" s="12"/>
      <c r="O925" s="12"/>
      <c r="P925" s="12"/>
      <c r="Q925" s="12"/>
      <c r="R925" s="12"/>
      <c r="S925" s="12" t="str">
        <f>"461.02"</f>
        <v>461.02</v>
      </c>
      <c r="T925" s="12"/>
      <c r="U925" s="12"/>
      <c r="V925" s="12"/>
      <c r="W925" s="12"/>
      <c r="X925" s="12"/>
      <c r="Y925" s="12"/>
      <c r="Z925" s="12"/>
      <c r="AA925" s="12"/>
    </row>
    <row r="926" spans="1:27">
      <c r="A926" s="9">
        <v>924</v>
      </c>
      <c r="B926" s="9">
        <v>10184</v>
      </c>
      <c r="C926" s="9" t="s">
        <v>1021</v>
      </c>
      <c r="D926" s="9" t="s">
        <v>10</v>
      </c>
      <c r="E926" s="10" t="str">
        <f>"553.23"</f>
        <v>553.23</v>
      </c>
      <c r="F926" s="11" t="s">
        <v>9</v>
      </c>
      <c r="G926" s="11">
        <v>2017</v>
      </c>
      <c r="H926" s="12" t="str">
        <f>"817.79"</f>
        <v>817.79</v>
      </c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 t="str">
        <f>"525.23"</f>
        <v>525.23</v>
      </c>
      <c r="AA926" s="12"/>
    </row>
    <row r="927" spans="1:27">
      <c r="A927" s="9">
        <v>925</v>
      </c>
      <c r="B927" s="9">
        <v>10765</v>
      </c>
      <c r="C927" s="9" t="s">
        <v>841</v>
      </c>
      <c r="D927" s="9" t="s">
        <v>19</v>
      </c>
      <c r="E927" s="10" t="str">
        <f>"557.02"</f>
        <v>557.02</v>
      </c>
      <c r="F927" s="11"/>
      <c r="G927" s="11">
        <v>2017</v>
      </c>
      <c r="H927" s="12" t="str">
        <f>"786.88"</f>
        <v>786.88</v>
      </c>
      <c r="I927" s="12"/>
      <c r="J927" s="12"/>
      <c r="K927" s="12"/>
      <c r="L927" s="12"/>
      <c r="M927" s="12"/>
      <c r="N927" s="12"/>
      <c r="O927" s="12"/>
      <c r="P927" s="12"/>
      <c r="Q927" s="12"/>
      <c r="R927" s="12" t="str">
        <f>"575.50"</f>
        <v>575.50</v>
      </c>
      <c r="S927" s="12"/>
      <c r="T927" s="12"/>
      <c r="U927" s="12"/>
      <c r="V927" s="12"/>
      <c r="W927" s="12"/>
      <c r="X927" s="12"/>
      <c r="Y927" s="12" t="str">
        <f>"538.53"</f>
        <v>538.53</v>
      </c>
      <c r="Z927" s="12"/>
      <c r="AA927" s="12"/>
    </row>
    <row r="928" spans="1:27">
      <c r="A928" s="9">
        <v>926</v>
      </c>
      <c r="B928" s="9">
        <v>10452</v>
      </c>
      <c r="C928" s="9" t="s">
        <v>974</v>
      </c>
      <c r="D928" s="9" t="s">
        <v>19</v>
      </c>
      <c r="E928" s="10" t="str">
        <f>"559.15"</f>
        <v>559.15</v>
      </c>
      <c r="F928" s="11" t="s">
        <v>11</v>
      </c>
      <c r="G928" s="11">
        <v>2017</v>
      </c>
      <c r="H928" s="12" t="str">
        <f>"531.15"</f>
        <v>531.15</v>
      </c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>
      <c r="A929" s="9">
        <v>927</v>
      </c>
      <c r="B929" s="9">
        <v>10941</v>
      </c>
      <c r="C929" s="9" t="s">
        <v>1006</v>
      </c>
      <c r="D929" s="9" t="s">
        <v>10</v>
      </c>
      <c r="E929" s="10" t="str">
        <f>"559.27"</f>
        <v>559.27</v>
      </c>
      <c r="F929" s="11" t="s">
        <v>9</v>
      </c>
      <c r="G929" s="11">
        <v>2017</v>
      </c>
      <c r="H929" s="12" t="str">
        <f>"525.60"</f>
        <v>525.60</v>
      </c>
      <c r="I929" s="12" t="str">
        <f>"531.27"</f>
        <v>531.27</v>
      </c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>
      <c r="A930" s="9">
        <v>928</v>
      </c>
      <c r="B930" s="9">
        <v>10840</v>
      </c>
      <c r="C930" s="9" t="s">
        <v>1074</v>
      </c>
      <c r="D930" s="9" t="s">
        <v>10</v>
      </c>
      <c r="E930" s="10" t="str">
        <f>"562.16"</f>
        <v>562.16</v>
      </c>
      <c r="F930" s="11" t="s">
        <v>9</v>
      </c>
      <c r="G930" s="11">
        <v>2017</v>
      </c>
      <c r="H930" s="12" t="str">
        <f>"673.30"</f>
        <v>673.30</v>
      </c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 t="str">
        <f>"534.16"</f>
        <v>534.16</v>
      </c>
      <c r="T930" s="12"/>
      <c r="U930" s="12"/>
      <c r="V930" s="12"/>
      <c r="W930" s="12"/>
      <c r="X930" s="12"/>
      <c r="Y930" s="12"/>
      <c r="Z930" s="12"/>
      <c r="AA930" s="12"/>
    </row>
    <row r="931" spans="1:27">
      <c r="A931" s="9">
        <v>929</v>
      </c>
      <c r="B931" s="9">
        <v>7055</v>
      </c>
      <c r="C931" s="9" t="s">
        <v>653</v>
      </c>
      <c r="D931" s="9" t="s">
        <v>400</v>
      </c>
      <c r="E931" s="10" t="str">
        <f>"565.15"</f>
        <v>565.15</v>
      </c>
      <c r="F931" s="11" t="s">
        <v>11</v>
      </c>
      <c r="G931" s="11">
        <v>2017</v>
      </c>
      <c r="H931" s="12" t="str">
        <f>"537.15"</f>
        <v>537.15</v>
      </c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>
      <c r="A932" s="9">
        <v>930</v>
      </c>
      <c r="B932" s="9">
        <v>11018</v>
      </c>
      <c r="C932" s="9" t="s">
        <v>1216</v>
      </c>
      <c r="D932" s="9" t="s">
        <v>14</v>
      </c>
      <c r="E932" s="10" t="str">
        <f>"570.23"</f>
        <v>570.23</v>
      </c>
      <c r="F932" s="11" t="s">
        <v>11</v>
      </c>
      <c r="G932" s="11">
        <v>2017</v>
      </c>
      <c r="H932" s="12" t="str">
        <f>"542.23"</f>
        <v>542.23</v>
      </c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>
      <c r="A933" s="9">
        <v>931</v>
      </c>
      <c r="B933" s="9">
        <v>10387</v>
      </c>
      <c r="C933" s="9" t="s">
        <v>849</v>
      </c>
      <c r="D933" s="9" t="s">
        <v>19</v>
      </c>
      <c r="E933" s="10" t="str">
        <f>"570.51"</f>
        <v>570.51</v>
      </c>
      <c r="F933" s="11"/>
      <c r="G933" s="11">
        <v>2017</v>
      </c>
      <c r="H933" s="12" t="str">
        <f>"1013.86"</f>
        <v>1013.86</v>
      </c>
      <c r="I933" s="12"/>
      <c r="J933" s="12"/>
      <c r="K933" s="12"/>
      <c r="L933" s="12"/>
      <c r="M933" s="12"/>
      <c r="N933" s="12"/>
      <c r="O933" s="12"/>
      <c r="P933" s="12"/>
      <c r="Q933" s="12"/>
      <c r="R933" s="12" t="str">
        <f>"817.52"</f>
        <v>817.52</v>
      </c>
      <c r="S933" s="12"/>
      <c r="T933" s="12"/>
      <c r="U933" s="12"/>
      <c r="V933" s="12"/>
      <c r="W933" s="12"/>
      <c r="X933" s="12"/>
      <c r="Y933" s="12" t="str">
        <f>"323.50"</f>
        <v>323.50</v>
      </c>
      <c r="Z933" s="12"/>
      <c r="AA933" s="12"/>
    </row>
    <row r="934" spans="1:27">
      <c r="A934" s="9">
        <v>932</v>
      </c>
      <c r="B934" s="9">
        <v>10482</v>
      </c>
      <c r="C934" s="9" t="s">
        <v>627</v>
      </c>
      <c r="D934" s="9" t="s">
        <v>19</v>
      </c>
      <c r="E934" s="10" t="str">
        <f>"572.88"</f>
        <v>572.88</v>
      </c>
      <c r="F934" s="11" t="s">
        <v>9</v>
      </c>
      <c r="G934" s="11">
        <v>2017</v>
      </c>
      <c r="H934" s="12" t="str">
        <f>"668.04"</f>
        <v>668.04</v>
      </c>
      <c r="I934" s="12"/>
      <c r="J934" s="12"/>
      <c r="K934" s="12"/>
      <c r="L934" s="12"/>
      <c r="M934" s="12"/>
      <c r="N934" s="12"/>
      <c r="O934" s="12"/>
      <c r="P934" s="12"/>
      <c r="Q934" s="12"/>
      <c r="R934" s="12" t="str">
        <f>"544.88"</f>
        <v>544.88</v>
      </c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>
      <c r="A935" s="9">
        <v>933</v>
      </c>
      <c r="B935" s="9">
        <v>11430</v>
      </c>
      <c r="C935" s="9" t="s">
        <v>784</v>
      </c>
      <c r="D935" s="9" t="s">
        <v>10</v>
      </c>
      <c r="E935" s="10" t="str">
        <f>"574.00"</f>
        <v>574.00</v>
      </c>
      <c r="F935" s="11" t="s">
        <v>9</v>
      </c>
      <c r="G935" s="11">
        <v>2017</v>
      </c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 t="str">
        <f>"546.00"</f>
        <v>546.00</v>
      </c>
      <c r="AA935" s="12"/>
    </row>
    <row r="936" spans="1:27">
      <c r="A936" s="9">
        <v>934</v>
      </c>
      <c r="B936" s="9">
        <v>11236</v>
      </c>
      <c r="C936" s="9" t="s">
        <v>993</v>
      </c>
      <c r="D936" s="9" t="s">
        <v>10</v>
      </c>
      <c r="E936" s="10" t="str">
        <f>"577.29"</f>
        <v>577.29</v>
      </c>
      <c r="F936" s="11" t="s">
        <v>9</v>
      </c>
      <c r="G936" s="11">
        <v>2017</v>
      </c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 t="str">
        <f>"549.29"</f>
        <v>549.29</v>
      </c>
      <c r="AA936" s="12"/>
    </row>
    <row r="937" spans="1:27">
      <c r="A937" s="9">
        <v>935</v>
      </c>
      <c r="B937" s="9">
        <v>10947</v>
      </c>
      <c r="C937" s="9" t="s">
        <v>1012</v>
      </c>
      <c r="D937" s="9" t="s">
        <v>19</v>
      </c>
      <c r="E937" s="10" t="str">
        <f>"580.17"</f>
        <v>580.17</v>
      </c>
      <c r="F937" s="11" t="s">
        <v>9</v>
      </c>
      <c r="G937" s="11">
        <v>2017</v>
      </c>
      <c r="H937" s="12"/>
      <c r="I937" s="12"/>
      <c r="J937" s="12"/>
      <c r="K937" s="12"/>
      <c r="L937" s="12"/>
      <c r="M937" s="12"/>
      <c r="N937" s="12"/>
      <c r="O937" s="12" t="str">
        <f>"552.17"</f>
        <v>552.17</v>
      </c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>
      <c r="A938" s="9">
        <v>936</v>
      </c>
      <c r="B938" s="9">
        <v>10836</v>
      </c>
      <c r="C938" s="9" t="s">
        <v>1013</v>
      </c>
      <c r="D938" s="9" t="s">
        <v>10</v>
      </c>
      <c r="E938" s="10" t="str">
        <f>"584.83"</f>
        <v>584.83</v>
      </c>
      <c r="F938" s="11"/>
      <c r="G938" s="11">
        <v>2017</v>
      </c>
      <c r="H938" s="12"/>
      <c r="I938" s="12" t="str">
        <f>"645.89"</f>
        <v>645.89</v>
      </c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 t="str">
        <f>"523.76"</f>
        <v>523.76</v>
      </c>
      <c r="AA938" s="12"/>
    </row>
    <row r="939" spans="1:27">
      <c r="A939" s="9">
        <v>937</v>
      </c>
      <c r="B939" s="9">
        <v>11243</v>
      </c>
      <c r="C939" s="9" t="s">
        <v>1095</v>
      </c>
      <c r="D939" s="9" t="s">
        <v>10</v>
      </c>
      <c r="E939" s="10" t="str">
        <f>"586.17"</f>
        <v>586.17</v>
      </c>
      <c r="F939" s="11"/>
      <c r="G939" s="11">
        <v>2017</v>
      </c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 t="str">
        <f>"595.60"</f>
        <v>595.60</v>
      </c>
      <c r="T939" s="12"/>
      <c r="U939" s="12"/>
      <c r="V939" s="12"/>
      <c r="W939" s="12"/>
      <c r="X939" s="12"/>
      <c r="Y939" s="12"/>
      <c r="Z939" s="12" t="str">
        <f>"576.74"</f>
        <v>576.74</v>
      </c>
      <c r="AA939" s="12"/>
    </row>
    <row r="940" spans="1:27">
      <c r="A940" s="9">
        <v>938</v>
      </c>
      <c r="B940" s="9">
        <v>11250</v>
      </c>
      <c r="C940" s="9" t="s">
        <v>927</v>
      </c>
      <c r="D940" s="9" t="s">
        <v>10</v>
      </c>
      <c r="E940" s="10" t="str">
        <f>"586.59"</f>
        <v>586.59</v>
      </c>
      <c r="F940" s="11" t="s">
        <v>9</v>
      </c>
      <c r="G940" s="11">
        <v>2017</v>
      </c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 t="str">
        <f>"558.59"</f>
        <v>558.59</v>
      </c>
      <c r="T940" s="12"/>
      <c r="U940" s="12"/>
      <c r="V940" s="12"/>
      <c r="W940" s="12"/>
      <c r="X940" s="12"/>
      <c r="Y940" s="12"/>
      <c r="Z940" s="12"/>
      <c r="AA940" s="12"/>
    </row>
    <row r="941" spans="1:27">
      <c r="A941" s="9">
        <v>939</v>
      </c>
      <c r="B941" s="9">
        <v>10764</v>
      </c>
      <c r="C941" s="9" t="s">
        <v>748</v>
      </c>
      <c r="D941" s="9" t="s">
        <v>19</v>
      </c>
      <c r="E941" s="10" t="str">
        <f>"588.10"</f>
        <v>588.10</v>
      </c>
      <c r="F941" s="11" t="s">
        <v>11</v>
      </c>
      <c r="G941" s="11">
        <v>2017</v>
      </c>
      <c r="H941" s="12" t="str">
        <f>"560.10"</f>
        <v>560.10</v>
      </c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>
      <c r="A942" s="9">
        <v>940</v>
      </c>
      <c r="B942" s="9">
        <v>11298</v>
      </c>
      <c r="C942" s="9" t="s">
        <v>921</v>
      </c>
      <c r="D942" s="9" t="s">
        <v>10</v>
      </c>
      <c r="E942" s="10" t="str">
        <f>"589.73"</f>
        <v>589.73</v>
      </c>
      <c r="F942" s="11" t="s">
        <v>9</v>
      </c>
      <c r="G942" s="11">
        <v>2017</v>
      </c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 t="str">
        <f>"561.73"</f>
        <v>561.73</v>
      </c>
      <c r="T942" s="12"/>
      <c r="U942" s="12"/>
      <c r="V942" s="12"/>
      <c r="W942" s="12"/>
      <c r="X942" s="12"/>
      <c r="Y942" s="12"/>
      <c r="Z942" s="12"/>
      <c r="AA942" s="12"/>
    </row>
    <row r="943" spans="1:27">
      <c r="A943" s="9">
        <v>941</v>
      </c>
      <c r="B943" s="9">
        <v>11310</v>
      </c>
      <c r="C943" s="9" t="s">
        <v>1148</v>
      </c>
      <c r="D943" s="9" t="s">
        <v>10</v>
      </c>
      <c r="E943" s="10" t="str">
        <f>"591.65"</f>
        <v>591.65</v>
      </c>
      <c r="F943" s="11"/>
      <c r="G943" s="11">
        <v>2017</v>
      </c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 t="str">
        <f>"662.18"</f>
        <v>662.18</v>
      </c>
      <c r="T943" s="12"/>
      <c r="U943" s="12"/>
      <c r="V943" s="12"/>
      <c r="W943" s="12"/>
      <c r="X943" s="12"/>
      <c r="Y943" s="12"/>
      <c r="Z943" s="12" t="str">
        <f>"521.11"</f>
        <v>521.11</v>
      </c>
      <c r="AA943" s="12"/>
    </row>
    <row r="944" spans="1:27">
      <c r="A944" s="9">
        <v>942</v>
      </c>
      <c r="B944" s="9">
        <v>10185</v>
      </c>
      <c r="C944" s="9" t="s">
        <v>1054</v>
      </c>
      <c r="D944" s="9" t="s">
        <v>10</v>
      </c>
      <c r="E944" s="10" t="str">
        <f>"594.80"</f>
        <v>594.80</v>
      </c>
      <c r="F944" s="11"/>
      <c r="G944" s="11">
        <v>2017</v>
      </c>
      <c r="H944" s="12" t="str">
        <f>"740.14"</f>
        <v>740.14</v>
      </c>
      <c r="I944" s="12" t="str">
        <f>"612.69"</f>
        <v>612.69</v>
      </c>
      <c r="J944" s="12" t="str">
        <f>"576.91"</f>
        <v>576.91</v>
      </c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>
      <c r="A945" s="9">
        <v>943</v>
      </c>
      <c r="B945" s="9">
        <v>10831</v>
      </c>
      <c r="C945" s="9" t="s">
        <v>711</v>
      </c>
      <c r="D945" s="9" t="s">
        <v>19</v>
      </c>
      <c r="E945" s="10" t="str">
        <f>"599.68"</f>
        <v>599.68</v>
      </c>
      <c r="F945" s="11" t="s">
        <v>9</v>
      </c>
      <c r="G945" s="11">
        <v>2017</v>
      </c>
      <c r="H945" s="12" t="str">
        <f>"1244.58"</f>
        <v>1244.58</v>
      </c>
      <c r="I945" s="12"/>
      <c r="J945" s="12"/>
      <c r="K945" s="12"/>
      <c r="L945" s="12"/>
      <c r="M945" s="12"/>
      <c r="N945" s="12"/>
      <c r="O945" s="12"/>
      <c r="P945" s="12"/>
      <c r="Q945" s="12"/>
      <c r="R945" s="12" t="str">
        <f>"571.68"</f>
        <v>571.68</v>
      </c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>
      <c r="A946" s="9">
        <v>944</v>
      </c>
      <c r="B946" s="9">
        <v>10730</v>
      </c>
      <c r="C946" s="9" t="s">
        <v>929</v>
      </c>
      <c r="D946" s="9" t="s">
        <v>19</v>
      </c>
      <c r="E946" s="10" t="str">
        <f>"602.86"</f>
        <v>602.86</v>
      </c>
      <c r="F946" s="11"/>
      <c r="G946" s="11">
        <v>2017</v>
      </c>
      <c r="H946" s="12" t="str">
        <f>"1088.23"</f>
        <v>1088.23</v>
      </c>
      <c r="I946" s="12"/>
      <c r="J946" s="12"/>
      <c r="K946" s="12"/>
      <c r="L946" s="12"/>
      <c r="M946" s="12"/>
      <c r="N946" s="12"/>
      <c r="O946" s="12"/>
      <c r="P946" s="12"/>
      <c r="Q946" s="12"/>
      <c r="R946" s="12" t="str">
        <f>"891.18"</f>
        <v>891.18</v>
      </c>
      <c r="S946" s="12"/>
      <c r="T946" s="12"/>
      <c r="U946" s="12"/>
      <c r="V946" s="12"/>
      <c r="W946" s="12"/>
      <c r="X946" s="12"/>
      <c r="Y946" s="12" t="str">
        <f>"314.53"</f>
        <v>314.53</v>
      </c>
      <c r="Z946" s="12"/>
      <c r="AA946" s="12"/>
    </row>
    <row r="947" spans="1:27">
      <c r="A947" s="9">
        <v>945</v>
      </c>
      <c r="B947" s="9">
        <v>10470</v>
      </c>
      <c r="C947" s="9" t="s">
        <v>865</v>
      </c>
      <c r="D947" s="9" t="s">
        <v>19</v>
      </c>
      <c r="E947" s="10" t="str">
        <f>"608.72"</f>
        <v>608.72</v>
      </c>
      <c r="F947" s="11"/>
      <c r="G947" s="11">
        <v>2017</v>
      </c>
      <c r="H947" s="12" t="str">
        <f>"1179.60"</f>
        <v>1179.60</v>
      </c>
      <c r="I947" s="12"/>
      <c r="J947" s="12"/>
      <c r="K947" s="12"/>
      <c r="L947" s="12"/>
      <c r="M947" s="12"/>
      <c r="N947" s="12"/>
      <c r="O947" s="12"/>
      <c r="P947" s="12"/>
      <c r="Q947" s="12"/>
      <c r="R947" s="12" t="str">
        <f>"787.54"</f>
        <v>787.54</v>
      </c>
      <c r="S947" s="12"/>
      <c r="T947" s="12"/>
      <c r="U947" s="12"/>
      <c r="V947" s="12"/>
      <c r="W947" s="12"/>
      <c r="X947" s="12"/>
      <c r="Y947" s="12"/>
      <c r="Z947" s="12" t="str">
        <f>"429.89"</f>
        <v>429.89</v>
      </c>
      <c r="AA947" s="12"/>
    </row>
    <row r="948" spans="1:27">
      <c r="A948" s="9">
        <v>946</v>
      </c>
      <c r="B948" s="9">
        <v>10587</v>
      </c>
      <c r="C948" s="9" t="s">
        <v>1053</v>
      </c>
      <c r="D948" s="9" t="s">
        <v>10</v>
      </c>
      <c r="E948" s="10" t="str">
        <f>"609.12"</f>
        <v>609.12</v>
      </c>
      <c r="F948" s="11" t="s">
        <v>9</v>
      </c>
      <c r="G948" s="11">
        <v>2017</v>
      </c>
      <c r="H948" s="12" t="str">
        <f>"514.98"</f>
        <v>514.98</v>
      </c>
      <c r="I948" s="12" t="str">
        <f>"581.12"</f>
        <v>581.12</v>
      </c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>
      <c r="A949" s="9">
        <v>947</v>
      </c>
      <c r="B949" s="9">
        <v>10566</v>
      </c>
      <c r="C949" s="9" t="s">
        <v>1159</v>
      </c>
      <c r="D949" s="9" t="s">
        <v>10</v>
      </c>
      <c r="E949" s="10" t="str">
        <f>"610.19"</f>
        <v>610.19</v>
      </c>
      <c r="F949" s="11" t="s">
        <v>11</v>
      </c>
      <c r="G949" s="11">
        <v>2017</v>
      </c>
      <c r="H949" s="12" t="str">
        <f>"582.19"</f>
        <v>582.19</v>
      </c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>
      <c r="A950" s="9">
        <v>948</v>
      </c>
      <c r="B950" s="9">
        <v>10404</v>
      </c>
      <c r="C950" s="9" t="s">
        <v>473</v>
      </c>
      <c r="D950" s="9" t="s">
        <v>19</v>
      </c>
      <c r="E950" s="10" t="str">
        <f>"612.62"</f>
        <v>612.62</v>
      </c>
      <c r="F950" s="11"/>
      <c r="G950" s="11">
        <v>2017</v>
      </c>
      <c r="H950" s="12" t="str">
        <f>"703.82"</f>
        <v>703.82</v>
      </c>
      <c r="I950" s="12"/>
      <c r="J950" s="12"/>
      <c r="K950" s="12"/>
      <c r="L950" s="12"/>
      <c r="M950" s="12"/>
      <c r="N950" s="12"/>
      <c r="O950" s="12"/>
      <c r="P950" s="12"/>
      <c r="Q950" s="12"/>
      <c r="R950" s="12" t="str">
        <f>"822.62"</f>
        <v>822.62</v>
      </c>
      <c r="S950" s="12"/>
      <c r="T950" s="12"/>
      <c r="U950" s="12"/>
      <c r="V950" s="12"/>
      <c r="W950" s="12"/>
      <c r="X950" s="12"/>
      <c r="Y950" s="12"/>
      <c r="Z950" s="12" t="str">
        <f>"402.62"</f>
        <v>402.62</v>
      </c>
      <c r="AA950" s="12"/>
    </row>
    <row r="951" spans="1:27">
      <c r="A951" s="9">
        <v>949</v>
      </c>
      <c r="B951" s="9">
        <v>11299</v>
      </c>
      <c r="C951" s="9" t="s">
        <v>1048</v>
      </c>
      <c r="D951" s="9" t="s">
        <v>10</v>
      </c>
      <c r="E951" s="10" t="str">
        <f>"613.16"</f>
        <v>613.16</v>
      </c>
      <c r="F951" s="11" t="s">
        <v>9</v>
      </c>
      <c r="G951" s="11">
        <v>2017</v>
      </c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 t="str">
        <f>"585.16"</f>
        <v>585.16</v>
      </c>
      <c r="AA951" s="12"/>
    </row>
    <row r="952" spans="1:27">
      <c r="A952" s="9">
        <v>950</v>
      </c>
      <c r="B952" s="9">
        <v>10770</v>
      </c>
      <c r="C952" s="9" t="s">
        <v>947</v>
      </c>
      <c r="D952" s="9" t="s">
        <v>19</v>
      </c>
      <c r="E952" s="10" t="str">
        <f>"613.70"</f>
        <v>613.70</v>
      </c>
      <c r="F952" s="11" t="s">
        <v>9</v>
      </c>
      <c r="G952" s="11">
        <v>2017</v>
      </c>
      <c r="H952" s="12" t="str">
        <f>"738.08"</f>
        <v>738.08</v>
      </c>
      <c r="I952" s="12"/>
      <c r="J952" s="12"/>
      <c r="K952" s="12"/>
      <c r="L952" s="12"/>
      <c r="M952" s="12"/>
      <c r="N952" s="12"/>
      <c r="O952" s="12"/>
      <c r="P952" s="12"/>
      <c r="Q952" s="12"/>
      <c r="R952" s="12" t="str">
        <f>"585.70"</f>
        <v>585.70</v>
      </c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>
      <c r="A953" s="9">
        <v>951</v>
      </c>
      <c r="B953" s="9">
        <v>10718</v>
      </c>
      <c r="C953" s="9" t="s">
        <v>883</v>
      </c>
      <c r="D953" s="9" t="s">
        <v>19</v>
      </c>
      <c r="E953" s="10" t="str">
        <f>"614.17"</f>
        <v>614.17</v>
      </c>
      <c r="F953" s="11"/>
      <c r="G953" s="11">
        <v>2017</v>
      </c>
      <c r="H953" s="12" t="str">
        <f>"1154.82"</f>
        <v>1154.82</v>
      </c>
      <c r="I953" s="12"/>
      <c r="J953" s="12"/>
      <c r="K953" s="12"/>
      <c r="L953" s="12"/>
      <c r="M953" s="12"/>
      <c r="N953" s="12"/>
      <c r="O953" s="12"/>
      <c r="P953" s="12"/>
      <c r="Q953" s="12"/>
      <c r="R953" s="12" t="str">
        <f>"775.42"</f>
        <v>775.42</v>
      </c>
      <c r="S953" s="12"/>
      <c r="T953" s="12"/>
      <c r="U953" s="12" t="str">
        <f>"452.91"</f>
        <v>452.91</v>
      </c>
      <c r="V953" s="12"/>
      <c r="W953" s="12"/>
      <c r="X953" s="12"/>
      <c r="Y953" s="12"/>
      <c r="Z953" s="12"/>
      <c r="AA953" s="12"/>
    </row>
    <row r="954" spans="1:27">
      <c r="A954" s="9">
        <v>952</v>
      </c>
      <c r="B954" s="9">
        <v>10773</v>
      </c>
      <c r="C954" s="9" t="s">
        <v>736</v>
      </c>
      <c r="D954" s="9" t="s">
        <v>19</v>
      </c>
      <c r="E954" s="10" t="str">
        <f>"615.94"</f>
        <v>615.94</v>
      </c>
      <c r="F954" s="11" t="s">
        <v>9</v>
      </c>
      <c r="G954" s="11">
        <v>2017</v>
      </c>
      <c r="H954" s="12" t="str">
        <f>"849.76"</f>
        <v>849.76</v>
      </c>
      <c r="I954" s="12"/>
      <c r="J954" s="12"/>
      <c r="K954" s="12"/>
      <c r="L954" s="12"/>
      <c r="M954" s="12"/>
      <c r="N954" s="12"/>
      <c r="O954" s="12"/>
      <c r="P954" s="12"/>
      <c r="Q954" s="12"/>
      <c r="R954" s="12" t="str">
        <f>"587.94"</f>
        <v>587.94</v>
      </c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>
      <c r="A955" s="9">
        <v>953</v>
      </c>
      <c r="B955" s="9">
        <v>10908</v>
      </c>
      <c r="C955" s="9" t="s">
        <v>1082</v>
      </c>
      <c r="D955" s="9" t="s">
        <v>10</v>
      </c>
      <c r="E955" s="10" t="str">
        <f>"618.91"</f>
        <v>618.91</v>
      </c>
      <c r="F955" s="11" t="s">
        <v>11</v>
      </c>
      <c r="G955" s="11">
        <v>2017</v>
      </c>
      <c r="H955" s="12" t="str">
        <f>"590.91"</f>
        <v>590.91</v>
      </c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>
      <c r="A956" s="9">
        <v>954</v>
      </c>
      <c r="B956" s="9">
        <v>10732</v>
      </c>
      <c r="C956" s="9" t="s">
        <v>1045</v>
      </c>
      <c r="D956" s="9" t="s">
        <v>10</v>
      </c>
      <c r="E956" s="10" t="str">
        <f>"618.96"</f>
        <v>618.96</v>
      </c>
      <c r="F956" s="11"/>
      <c r="G956" s="11">
        <v>2017</v>
      </c>
      <c r="H956" s="12" t="str">
        <f>"1090.09"</f>
        <v>1090.09</v>
      </c>
      <c r="I956" s="12" t="str">
        <f>"604.82"</f>
        <v>604.82</v>
      </c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 t="str">
        <f>"633.10"</f>
        <v>633.10</v>
      </c>
      <c r="AA956" s="12"/>
    </row>
    <row r="957" spans="1:27">
      <c r="A957" s="9">
        <v>955</v>
      </c>
      <c r="B957" s="9">
        <v>10895</v>
      </c>
      <c r="C957" s="9" t="s">
        <v>1066</v>
      </c>
      <c r="D957" s="9" t="s">
        <v>10</v>
      </c>
      <c r="E957" s="10" t="str">
        <f>"620.80"</f>
        <v>620.80</v>
      </c>
      <c r="F957" s="11" t="s">
        <v>9</v>
      </c>
      <c r="G957" s="11">
        <v>2017</v>
      </c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 t="str">
        <f>"592.80"</f>
        <v>592.80</v>
      </c>
      <c r="T957" s="12"/>
      <c r="U957" s="12"/>
      <c r="V957" s="12"/>
      <c r="W957" s="12"/>
      <c r="X957" s="12"/>
      <c r="Y957" s="12"/>
      <c r="Z957" s="12"/>
      <c r="AA957" s="12"/>
    </row>
    <row r="958" spans="1:27">
      <c r="A958" s="9">
        <v>956</v>
      </c>
      <c r="B958" s="9">
        <v>11112</v>
      </c>
      <c r="C958" s="9" t="s">
        <v>943</v>
      </c>
      <c r="D958" s="9" t="s">
        <v>14</v>
      </c>
      <c r="E958" s="10" t="str">
        <f>"622.87"</f>
        <v>622.87</v>
      </c>
      <c r="F958" s="11" t="s">
        <v>9</v>
      </c>
      <c r="G958" s="11">
        <v>2017</v>
      </c>
      <c r="H958" s="12"/>
      <c r="I958" s="12"/>
      <c r="J958" s="12"/>
      <c r="K958" s="12"/>
      <c r="L958" s="12"/>
      <c r="M958" s="12" t="str">
        <f>"594.87"</f>
        <v>594.87</v>
      </c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>
      <c r="A959" s="9">
        <v>957</v>
      </c>
      <c r="B959" s="9">
        <v>10454</v>
      </c>
      <c r="C959" s="9" t="s">
        <v>506</v>
      </c>
      <c r="D959" s="9" t="s">
        <v>19</v>
      </c>
      <c r="E959" s="10" t="str">
        <f>"626.09"</f>
        <v>626.09</v>
      </c>
      <c r="F959" s="11"/>
      <c r="G959" s="11">
        <v>2017</v>
      </c>
      <c r="H959" s="12" t="str">
        <f>"764.40"</f>
        <v>764.40</v>
      </c>
      <c r="I959" s="12"/>
      <c r="J959" s="12"/>
      <c r="K959" s="12"/>
      <c r="L959" s="12"/>
      <c r="M959" s="12"/>
      <c r="N959" s="12"/>
      <c r="O959" s="12" t="str">
        <f>"694.20"</f>
        <v>694.20</v>
      </c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 t="str">
        <f>"557.98"</f>
        <v>557.98</v>
      </c>
      <c r="AA959" s="12"/>
    </row>
    <row r="960" spans="1:27">
      <c r="A960" s="9">
        <v>958</v>
      </c>
      <c r="B960" s="9">
        <v>11251</v>
      </c>
      <c r="C960" s="9" t="s">
        <v>1103</v>
      </c>
      <c r="D960" s="9" t="s">
        <v>10</v>
      </c>
      <c r="E960" s="10" t="str">
        <f>"627.56"</f>
        <v>627.56</v>
      </c>
      <c r="F960" s="11"/>
      <c r="G960" s="11">
        <v>2017</v>
      </c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 t="str">
        <f>"681.30"</f>
        <v>681.30</v>
      </c>
      <c r="T960" s="12"/>
      <c r="U960" s="12"/>
      <c r="V960" s="12"/>
      <c r="W960" s="12"/>
      <c r="X960" s="12"/>
      <c r="Y960" s="12"/>
      <c r="Z960" s="12" t="str">
        <f>"573.81"</f>
        <v>573.81</v>
      </c>
      <c r="AA960" s="12"/>
    </row>
    <row r="961" spans="1:27">
      <c r="A961" s="9">
        <v>959</v>
      </c>
      <c r="B961" s="9">
        <v>10736</v>
      </c>
      <c r="C961" s="9" t="s">
        <v>859</v>
      </c>
      <c r="D961" s="9" t="s">
        <v>19</v>
      </c>
      <c r="E961" s="10" t="str">
        <f>"629.50"</f>
        <v>629.50</v>
      </c>
      <c r="F961" s="11" t="s">
        <v>9</v>
      </c>
      <c r="G961" s="11">
        <v>2017</v>
      </c>
      <c r="H961" s="12" t="str">
        <f>"1407.58"</f>
        <v>1407.58</v>
      </c>
      <c r="I961" s="12"/>
      <c r="J961" s="12"/>
      <c r="K961" s="12"/>
      <c r="L961" s="12"/>
      <c r="M961" s="12"/>
      <c r="N961" s="12"/>
      <c r="O961" s="12" t="str">
        <f>"601.50"</f>
        <v>601.50</v>
      </c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>
      <c r="A962" s="9">
        <v>960</v>
      </c>
      <c r="B962" s="9">
        <v>10648</v>
      </c>
      <c r="C962" s="9" t="s">
        <v>1165</v>
      </c>
      <c r="D962" s="9" t="s">
        <v>10</v>
      </c>
      <c r="E962" s="10" t="str">
        <f>"631.26"</f>
        <v>631.26</v>
      </c>
      <c r="F962" s="11" t="s">
        <v>11</v>
      </c>
      <c r="G962" s="11">
        <v>2017</v>
      </c>
      <c r="H962" s="12" t="str">
        <f>"603.26"</f>
        <v>603.26</v>
      </c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>
      <c r="A963" s="9">
        <v>961</v>
      </c>
      <c r="B963" s="9">
        <v>10418</v>
      </c>
      <c r="C963" s="9" t="s">
        <v>876</v>
      </c>
      <c r="D963" s="9" t="s">
        <v>19</v>
      </c>
      <c r="E963" s="10" t="str">
        <f>"637.62"</f>
        <v>637.62</v>
      </c>
      <c r="F963" s="11" t="s">
        <v>9</v>
      </c>
      <c r="G963" s="11">
        <v>2017</v>
      </c>
      <c r="H963" s="12" t="str">
        <f>"952.18"</f>
        <v>952.18</v>
      </c>
      <c r="I963" s="12"/>
      <c r="J963" s="12"/>
      <c r="K963" s="12"/>
      <c r="L963" s="12"/>
      <c r="M963" s="12"/>
      <c r="N963" s="12"/>
      <c r="O963" s="12"/>
      <c r="P963" s="12"/>
      <c r="Q963" s="12"/>
      <c r="R963" s="12" t="str">
        <f>"609.62"</f>
        <v>609.62</v>
      </c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>
      <c r="A964" s="9">
        <v>962</v>
      </c>
      <c r="B964" s="9">
        <v>10859</v>
      </c>
      <c r="C964" s="9" t="s">
        <v>1065</v>
      </c>
      <c r="D964" s="9" t="s">
        <v>10</v>
      </c>
      <c r="E964" s="10" t="str">
        <f>"640.52"</f>
        <v>640.52</v>
      </c>
      <c r="F964" s="11" t="s">
        <v>11</v>
      </c>
      <c r="G964" s="11">
        <v>2017</v>
      </c>
      <c r="H964" s="12" t="str">
        <f>"612.52"</f>
        <v>612.52</v>
      </c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>
      <c r="A965" s="9">
        <v>963</v>
      </c>
      <c r="B965" s="9">
        <v>10855</v>
      </c>
      <c r="C965" s="9" t="s">
        <v>1151</v>
      </c>
      <c r="D965" s="9" t="s">
        <v>10</v>
      </c>
      <c r="E965" s="10" t="str">
        <f>"640.96"</f>
        <v>640.96</v>
      </c>
      <c r="F965" s="11" t="s">
        <v>9</v>
      </c>
      <c r="G965" s="11">
        <v>2017</v>
      </c>
      <c r="H965" s="12" t="str">
        <f>"692.17"</f>
        <v>692.17</v>
      </c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 t="str">
        <f>"612.96"</f>
        <v>612.96</v>
      </c>
      <c r="T965" s="12"/>
      <c r="U965" s="12"/>
      <c r="V965" s="12"/>
      <c r="W965" s="12"/>
      <c r="X965" s="12"/>
      <c r="Y965" s="12"/>
      <c r="Z965" s="12"/>
      <c r="AA965" s="12"/>
    </row>
    <row r="966" spans="1:27">
      <c r="A966" s="9">
        <v>964</v>
      </c>
      <c r="B966" s="9">
        <v>10635</v>
      </c>
      <c r="C966" s="9" t="s">
        <v>1055</v>
      </c>
      <c r="D966" s="9" t="s">
        <v>10</v>
      </c>
      <c r="E966" s="10" t="str">
        <f>"646.39"</f>
        <v>646.39</v>
      </c>
      <c r="F966" s="11" t="s">
        <v>11</v>
      </c>
      <c r="G966" s="11">
        <v>2017</v>
      </c>
      <c r="H966" s="12" t="str">
        <f>"618.39"</f>
        <v>618.39</v>
      </c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>
      <c r="A967" s="9">
        <v>965</v>
      </c>
      <c r="B967" s="9">
        <v>10417</v>
      </c>
      <c r="C967" s="9" t="s">
        <v>1029</v>
      </c>
      <c r="D967" s="9" t="s">
        <v>19</v>
      </c>
      <c r="E967" s="10" t="str">
        <f>"655.65"</f>
        <v>655.65</v>
      </c>
      <c r="F967" s="11"/>
      <c r="G967" s="11">
        <v>2017</v>
      </c>
      <c r="H967" s="12" t="str">
        <f>"1148.76"</f>
        <v>1148.76</v>
      </c>
      <c r="I967" s="12"/>
      <c r="J967" s="12"/>
      <c r="K967" s="12"/>
      <c r="L967" s="12"/>
      <c r="M967" s="12"/>
      <c r="N967" s="12"/>
      <c r="O967" s="12"/>
      <c r="P967" s="12"/>
      <c r="Q967" s="12"/>
      <c r="R967" s="12" t="str">
        <f>"808.58"</f>
        <v>808.58</v>
      </c>
      <c r="S967" s="12"/>
      <c r="T967" s="12"/>
      <c r="U967" s="12"/>
      <c r="V967" s="12"/>
      <c r="W967" s="12"/>
      <c r="X967" s="12"/>
      <c r="Y967" s="12"/>
      <c r="Z967" s="12" t="str">
        <f>"502.72"</f>
        <v>502.72</v>
      </c>
      <c r="AA967" s="12"/>
    </row>
    <row r="968" spans="1:27">
      <c r="A968" s="9">
        <v>966</v>
      </c>
      <c r="B968" s="9">
        <v>10155</v>
      </c>
      <c r="C968" s="9" t="s">
        <v>1106</v>
      </c>
      <c r="D968" s="9" t="s">
        <v>10</v>
      </c>
      <c r="E968" s="10" t="str">
        <f>"658.27"</f>
        <v>658.27</v>
      </c>
      <c r="F968" s="11" t="s">
        <v>11</v>
      </c>
      <c r="G968" s="11">
        <v>2017</v>
      </c>
      <c r="H968" s="12" t="str">
        <f>"630.27"</f>
        <v>630.27</v>
      </c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>
      <c r="A969" s="9">
        <v>967</v>
      </c>
      <c r="B969" s="9">
        <v>10472</v>
      </c>
      <c r="C969" s="9" t="s">
        <v>912</v>
      </c>
      <c r="D969" s="9" t="s">
        <v>19</v>
      </c>
      <c r="E969" s="10" t="str">
        <f>"658.58"</f>
        <v>658.58</v>
      </c>
      <c r="F969" s="11"/>
      <c r="G969" s="11">
        <v>2017</v>
      </c>
      <c r="H969" s="12" t="str">
        <f>"1229.16"</f>
        <v>1229.16</v>
      </c>
      <c r="I969" s="12"/>
      <c r="J969" s="12"/>
      <c r="K969" s="12"/>
      <c r="L969" s="12"/>
      <c r="M969" s="12"/>
      <c r="N969" s="12"/>
      <c r="O969" s="12"/>
      <c r="P969" s="12"/>
      <c r="Q969" s="12"/>
      <c r="R969" s="12" t="str">
        <f>"871.08"</f>
        <v>871.08</v>
      </c>
      <c r="S969" s="12"/>
      <c r="T969" s="12"/>
      <c r="U969" s="12"/>
      <c r="V969" s="12"/>
      <c r="W969" s="12"/>
      <c r="X969" s="12"/>
      <c r="Y969" s="12"/>
      <c r="Z969" s="12" t="str">
        <f>"446.08"</f>
        <v>446.08</v>
      </c>
      <c r="AA969" s="12"/>
    </row>
    <row r="970" spans="1:27">
      <c r="A970" s="9">
        <v>968</v>
      </c>
      <c r="B970" s="9">
        <v>11304</v>
      </c>
      <c r="C970" s="9" t="s">
        <v>1110</v>
      </c>
      <c r="D970" s="9" t="s">
        <v>10</v>
      </c>
      <c r="E970" s="10" t="str">
        <f>"663.88"</f>
        <v>663.88</v>
      </c>
      <c r="F970" s="11"/>
      <c r="G970" s="11">
        <v>2017</v>
      </c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 t="str">
        <f>"683.39"</f>
        <v>683.39</v>
      </c>
      <c r="T970" s="12"/>
      <c r="U970" s="12"/>
      <c r="V970" s="12"/>
      <c r="W970" s="12"/>
      <c r="X970" s="12"/>
      <c r="Y970" s="12"/>
      <c r="Z970" s="12" t="str">
        <f>"644.36"</f>
        <v>644.36</v>
      </c>
      <c r="AA970" s="12"/>
    </row>
    <row r="971" spans="1:27">
      <c r="A971" s="9">
        <v>969</v>
      </c>
      <c r="B971" s="9">
        <v>10949</v>
      </c>
      <c r="C971" s="9" t="s">
        <v>1017</v>
      </c>
      <c r="D971" s="9" t="s">
        <v>19</v>
      </c>
      <c r="E971" s="10" t="str">
        <f>"666.92"</f>
        <v>666.92</v>
      </c>
      <c r="F971" s="11"/>
      <c r="G971" s="11">
        <v>2017</v>
      </c>
      <c r="H971" s="12" t="str">
        <f>"753.00"</f>
        <v>753.00</v>
      </c>
      <c r="I971" s="12"/>
      <c r="J971" s="12"/>
      <c r="K971" s="12"/>
      <c r="L971" s="12"/>
      <c r="M971" s="12"/>
      <c r="N971" s="12"/>
      <c r="O971" s="12" t="str">
        <f>"506.43"</f>
        <v>506.43</v>
      </c>
      <c r="P971" s="12"/>
      <c r="Q971" s="12"/>
      <c r="R971" s="12" t="str">
        <f>"827.40"</f>
        <v>827.40</v>
      </c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>
      <c r="A972" s="9">
        <v>970</v>
      </c>
      <c r="B972" s="9">
        <v>10780</v>
      </c>
      <c r="C972" s="9" t="s">
        <v>984</v>
      </c>
      <c r="D972" s="9" t="s">
        <v>19</v>
      </c>
      <c r="E972" s="10" t="str">
        <f>"667.17"</f>
        <v>667.17</v>
      </c>
      <c r="F972" s="11"/>
      <c r="G972" s="11">
        <v>2017</v>
      </c>
      <c r="H972" s="12" t="str">
        <f>"1876.76"</f>
        <v>1876.76</v>
      </c>
      <c r="I972" s="12"/>
      <c r="J972" s="12"/>
      <c r="K972" s="12"/>
      <c r="L972" s="12"/>
      <c r="M972" s="12"/>
      <c r="N972" s="12"/>
      <c r="O972" s="12"/>
      <c r="P972" s="12"/>
      <c r="Q972" s="12"/>
      <c r="R972" s="12" t="str">
        <f>"939.00"</f>
        <v>939.00</v>
      </c>
      <c r="S972" s="12"/>
      <c r="T972" s="12"/>
      <c r="U972" s="12"/>
      <c r="V972" s="12"/>
      <c r="W972" s="12"/>
      <c r="X972" s="12"/>
      <c r="Y972" s="12" t="str">
        <f>"395.33"</f>
        <v>395.33</v>
      </c>
      <c r="Z972" s="12"/>
      <c r="AA972" s="12"/>
    </row>
    <row r="973" spans="1:27">
      <c r="A973" s="9">
        <v>971</v>
      </c>
      <c r="B973" s="9">
        <v>11317</v>
      </c>
      <c r="C973" s="9" t="s">
        <v>1145</v>
      </c>
      <c r="D973" s="9" t="s">
        <v>10</v>
      </c>
      <c r="E973" s="10" t="str">
        <f>"667.22"</f>
        <v>667.22</v>
      </c>
      <c r="F973" s="11"/>
      <c r="G973" s="11">
        <v>2017</v>
      </c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 t="str">
        <f>"715.51"</f>
        <v>715.51</v>
      </c>
      <c r="T973" s="12"/>
      <c r="U973" s="12"/>
      <c r="V973" s="12"/>
      <c r="W973" s="12"/>
      <c r="X973" s="12"/>
      <c r="Y973" s="12"/>
      <c r="Z973" s="12" t="str">
        <f>"618.92"</f>
        <v>618.92</v>
      </c>
      <c r="AA973" s="12"/>
    </row>
    <row r="974" spans="1:27">
      <c r="A974" s="9">
        <v>972</v>
      </c>
      <c r="B974" s="9">
        <v>10956</v>
      </c>
      <c r="C974" s="9" t="s">
        <v>1046</v>
      </c>
      <c r="D974" s="9" t="s">
        <v>19</v>
      </c>
      <c r="E974" s="10" t="str">
        <f>"670.24"</f>
        <v>670.24</v>
      </c>
      <c r="F974" s="11" t="s">
        <v>11</v>
      </c>
      <c r="G974" s="11">
        <v>2017</v>
      </c>
      <c r="H974" s="12" t="str">
        <f>"642.24"</f>
        <v>642.24</v>
      </c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>
      <c r="A975" s="9">
        <v>973</v>
      </c>
      <c r="B975" s="9">
        <v>11069</v>
      </c>
      <c r="C975" s="9" t="s">
        <v>908</v>
      </c>
      <c r="D975" s="9" t="s">
        <v>59</v>
      </c>
      <c r="E975" s="10" t="str">
        <f>"670.44"</f>
        <v>670.44</v>
      </c>
      <c r="F975" s="11" t="s">
        <v>9</v>
      </c>
      <c r="G975" s="11">
        <v>2017</v>
      </c>
      <c r="H975" s="12" t="str">
        <f>"417.41"</f>
        <v>417.41</v>
      </c>
      <c r="I975" s="12"/>
      <c r="J975" s="12"/>
      <c r="K975" s="12"/>
      <c r="L975" s="12"/>
      <c r="M975" s="12" t="str">
        <f>"642.44"</f>
        <v>642.44</v>
      </c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>
      <c r="A976" s="9">
        <v>974</v>
      </c>
      <c r="B976" s="9">
        <v>2289</v>
      </c>
      <c r="C976" s="9" t="s">
        <v>1059</v>
      </c>
      <c r="D976" s="9" t="s">
        <v>10</v>
      </c>
      <c r="E976" s="10" t="str">
        <f>"675.98"</f>
        <v>675.98</v>
      </c>
      <c r="F976" s="11" t="s">
        <v>11</v>
      </c>
      <c r="G976" s="11">
        <v>2017</v>
      </c>
      <c r="H976" s="12" t="str">
        <f>"647.98"</f>
        <v>647.98</v>
      </c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>
      <c r="A977" s="9">
        <v>975</v>
      </c>
      <c r="B977" s="9">
        <v>11410</v>
      </c>
      <c r="C977" s="9" t="s">
        <v>1043</v>
      </c>
      <c r="D977" s="9" t="s">
        <v>91</v>
      </c>
      <c r="E977" s="10" t="str">
        <f>"676.52"</f>
        <v>676.52</v>
      </c>
      <c r="F977" s="11" t="s">
        <v>9</v>
      </c>
      <c r="G977" s="11">
        <v>2017</v>
      </c>
      <c r="H977" s="12"/>
      <c r="I977" s="12"/>
      <c r="J977" s="12"/>
      <c r="K977" s="12"/>
      <c r="L977" s="12"/>
      <c r="M977" s="12" t="str">
        <f>"648.52"</f>
        <v>648.52</v>
      </c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>
      <c r="A978" s="9">
        <v>976</v>
      </c>
      <c r="B978" s="9">
        <v>11209</v>
      </c>
      <c r="C978" s="9" t="s">
        <v>1056</v>
      </c>
      <c r="D978" s="9" t="s">
        <v>19</v>
      </c>
      <c r="E978" s="10" t="str">
        <f>"678.12"</f>
        <v>678.12</v>
      </c>
      <c r="F978" s="11"/>
      <c r="G978" s="11">
        <v>2017</v>
      </c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 t="str">
        <f>"1036.58"</f>
        <v>1036.58</v>
      </c>
      <c r="S978" s="12"/>
      <c r="T978" s="12"/>
      <c r="U978" s="12"/>
      <c r="V978" s="12" t="str">
        <f>"319.65"</f>
        <v>319.65</v>
      </c>
      <c r="W978" s="12"/>
      <c r="X978" s="12"/>
      <c r="Y978" s="12"/>
      <c r="Z978" s="12"/>
      <c r="AA978" s="12"/>
    </row>
    <row r="979" spans="1:27">
      <c r="A979" s="9">
        <v>977</v>
      </c>
      <c r="B979" s="9">
        <v>10460</v>
      </c>
      <c r="C979" s="9" t="s">
        <v>848</v>
      </c>
      <c r="D979" s="9" t="s">
        <v>19</v>
      </c>
      <c r="E979" s="10" t="str">
        <f>"685.62"</f>
        <v>685.62</v>
      </c>
      <c r="F979" s="11"/>
      <c r="G979" s="11">
        <v>2017</v>
      </c>
      <c r="H979" s="12" t="str">
        <f>"1594.80"</f>
        <v>1594.80</v>
      </c>
      <c r="I979" s="12"/>
      <c r="J979" s="12"/>
      <c r="K979" s="12"/>
      <c r="L979" s="12"/>
      <c r="M979" s="12"/>
      <c r="N979" s="12"/>
      <c r="O979" s="12"/>
      <c r="P979" s="12"/>
      <c r="Q979" s="12"/>
      <c r="R979" s="12" t="str">
        <f>"841.44"</f>
        <v>841.44</v>
      </c>
      <c r="S979" s="12"/>
      <c r="T979" s="12"/>
      <c r="U979" s="12"/>
      <c r="V979" s="12"/>
      <c r="W979" s="12"/>
      <c r="X979" s="12"/>
      <c r="Y979" s="12"/>
      <c r="Z979" s="12" t="str">
        <f>"529.80"</f>
        <v>529.80</v>
      </c>
      <c r="AA979" s="12"/>
    </row>
    <row r="980" spans="1:27">
      <c r="A980" s="9">
        <v>978</v>
      </c>
      <c r="B980" s="9">
        <v>10453</v>
      </c>
      <c r="C980" s="9" t="s">
        <v>799</v>
      </c>
      <c r="D980" s="9" t="s">
        <v>19</v>
      </c>
      <c r="E980" s="10" t="str">
        <f>"686.68"</f>
        <v>686.68</v>
      </c>
      <c r="F980" s="11" t="s">
        <v>11</v>
      </c>
      <c r="G980" s="11">
        <v>2017</v>
      </c>
      <c r="H980" s="12" t="str">
        <f>"658.68"</f>
        <v>658.68</v>
      </c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>
      <c r="A981" s="9">
        <v>979</v>
      </c>
      <c r="B981" s="9">
        <v>10694</v>
      </c>
      <c r="C981" s="9" t="s">
        <v>866</v>
      </c>
      <c r="D981" s="9" t="s">
        <v>19</v>
      </c>
      <c r="E981" s="10" t="str">
        <f>"688.64"</f>
        <v>688.64</v>
      </c>
      <c r="F981" s="11" t="s">
        <v>9</v>
      </c>
      <c r="G981" s="11">
        <v>2017</v>
      </c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 t="str">
        <f>"660.64"</f>
        <v>660.64</v>
      </c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>
      <c r="A982" s="9">
        <v>980</v>
      </c>
      <c r="B982" s="9">
        <v>10373</v>
      </c>
      <c r="C982" s="9" t="s">
        <v>1185</v>
      </c>
      <c r="D982" s="9" t="s">
        <v>475</v>
      </c>
      <c r="E982" s="10" t="str">
        <f>"693.66"</f>
        <v>693.66</v>
      </c>
      <c r="F982" s="11" t="s">
        <v>11</v>
      </c>
      <c r="G982" s="11">
        <v>2017</v>
      </c>
      <c r="H982" s="12" t="str">
        <f>"665.66"</f>
        <v>665.66</v>
      </c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>
      <c r="A983" s="9">
        <v>981</v>
      </c>
      <c r="B983" s="9">
        <v>10916</v>
      </c>
      <c r="C983" s="9" t="s">
        <v>1161</v>
      </c>
      <c r="D983" s="9" t="s">
        <v>10</v>
      </c>
      <c r="E983" s="10" t="str">
        <f>"694.62"</f>
        <v>694.62</v>
      </c>
      <c r="F983" s="11" t="s">
        <v>11</v>
      </c>
      <c r="G983" s="11">
        <v>2017</v>
      </c>
      <c r="H983" s="12" t="str">
        <f>"666.62"</f>
        <v>666.62</v>
      </c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>
      <c r="A984" s="9">
        <v>982</v>
      </c>
      <c r="B984" s="9">
        <v>11146</v>
      </c>
      <c r="C984" s="9" t="s">
        <v>850</v>
      </c>
      <c r="D984" s="9" t="s">
        <v>19</v>
      </c>
      <c r="E984" s="10" t="str">
        <f>"701.97"</f>
        <v>701.97</v>
      </c>
      <c r="F984" s="11"/>
      <c r="G984" s="11">
        <v>2017</v>
      </c>
      <c r="H984" s="12"/>
      <c r="I984" s="12"/>
      <c r="J984" s="12"/>
      <c r="K984" s="12"/>
      <c r="L984" s="12"/>
      <c r="M984" s="12"/>
      <c r="N984" s="12"/>
      <c r="O984" s="12" t="str">
        <f>"434.95"</f>
        <v>434.95</v>
      </c>
      <c r="P984" s="12"/>
      <c r="Q984" s="12"/>
      <c r="R984" s="12" t="str">
        <f>"968.98"</f>
        <v>968.98</v>
      </c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>
      <c r="A985" s="9">
        <v>983</v>
      </c>
      <c r="B985" s="9">
        <v>11399</v>
      </c>
      <c r="C985" s="9" t="s">
        <v>1099</v>
      </c>
      <c r="D985" s="9" t="s">
        <v>10</v>
      </c>
      <c r="E985" s="10" t="str">
        <f>"705.46"</f>
        <v>705.46</v>
      </c>
      <c r="F985" s="11" t="s">
        <v>9</v>
      </c>
      <c r="G985" s="11">
        <v>2017</v>
      </c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 t="str">
        <f>"677.46"</f>
        <v>677.46</v>
      </c>
      <c r="T985" s="12"/>
      <c r="U985" s="12"/>
      <c r="V985" s="12"/>
      <c r="W985" s="12"/>
      <c r="X985" s="12"/>
      <c r="Y985" s="12"/>
      <c r="Z985" s="12"/>
      <c r="AA985" s="12"/>
    </row>
    <row r="986" spans="1:27">
      <c r="A986" s="9">
        <v>984</v>
      </c>
      <c r="B986" s="9">
        <v>11244</v>
      </c>
      <c r="C986" s="9" t="s">
        <v>1107</v>
      </c>
      <c r="D986" s="9" t="s">
        <v>10</v>
      </c>
      <c r="E986" s="10" t="str">
        <f>"712.43"</f>
        <v>712.43</v>
      </c>
      <c r="F986" s="11" t="s">
        <v>9</v>
      </c>
      <c r="G986" s="11">
        <v>2017</v>
      </c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 t="str">
        <f>"684.43"</f>
        <v>684.43</v>
      </c>
      <c r="AA986" s="12"/>
    </row>
    <row r="987" spans="1:27">
      <c r="A987" s="9">
        <v>985</v>
      </c>
      <c r="B987" s="9">
        <v>10647</v>
      </c>
      <c r="C987" s="9" t="s">
        <v>1162</v>
      </c>
      <c r="D987" s="9" t="s">
        <v>10</v>
      </c>
      <c r="E987" s="10" t="str">
        <f>"712.87"</f>
        <v>712.87</v>
      </c>
      <c r="F987" s="11" t="s">
        <v>11</v>
      </c>
      <c r="G987" s="11">
        <v>2017</v>
      </c>
      <c r="H987" s="12" t="str">
        <f>"684.87"</f>
        <v>684.87</v>
      </c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>
      <c r="A988" s="9">
        <v>986</v>
      </c>
      <c r="B988" s="9">
        <v>10471</v>
      </c>
      <c r="C988" s="9" t="s">
        <v>976</v>
      </c>
      <c r="D988" s="9" t="s">
        <v>19</v>
      </c>
      <c r="E988" s="10" t="str">
        <f>"714.33"</f>
        <v>714.33</v>
      </c>
      <c r="F988" s="11"/>
      <c r="G988" s="11">
        <v>2017</v>
      </c>
      <c r="H988" s="12" t="str">
        <f>"2555.18"</f>
        <v>2555.18</v>
      </c>
      <c r="I988" s="12"/>
      <c r="J988" s="12"/>
      <c r="K988" s="12"/>
      <c r="L988" s="12"/>
      <c r="M988" s="12"/>
      <c r="N988" s="12"/>
      <c r="O988" s="12"/>
      <c r="P988" s="12"/>
      <c r="Q988" s="12"/>
      <c r="R988" s="12" t="str">
        <f>"969.30"</f>
        <v>969.30</v>
      </c>
      <c r="S988" s="12"/>
      <c r="T988" s="12"/>
      <c r="U988" s="12"/>
      <c r="V988" s="12"/>
      <c r="W988" s="12"/>
      <c r="X988" s="12"/>
      <c r="Y988" s="12"/>
      <c r="Z988" s="12" t="str">
        <f>"459.35"</f>
        <v>459.35</v>
      </c>
      <c r="AA988" s="12"/>
    </row>
    <row r="989" spans="1:27">
      <c r="A989" s="9">
        <v>987</v>
      </c>
      <c r="B989" s="9">
        <v>10942</v>
      </c>
      <c r="C989" s="9" t="s">
        <v>1147</v>
      </c>
      <c r="D989" s="9" t="s">
        <v>10</v>
      </c>
      <c r="E989" s="10" t="str">
        <f>"715.91"</f>
        <v>715.91</v>
      </c>
      <c r="F989" s="11" t="s">
        <v>11</v>
      </c>
      <c r="G989" s="11">
        <v>2017</v>
      </c>
      <c r="H989" s="12" t="str">
        <f>"687.91"</f>
        <v>687.91</v>
      </c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>
      <c r="A990" s="9">
        <v>988</v>
      </c>
      <c r="B990" s="9">
        <v>11140</v>
      </c>
      <c r="C990" s="9" t="s">
        <v>997</v>
      </c>
      <c r="D990" s="9" t="s">
        <v>19</v>
      </c>
      <c r="E990" s="10" t="str">
        <f>"719.48"</f>
        <v>719.48</v>
      </c>
      <c r="F990" s="11"/>
      <c r="G990" s="11">
        <v>2017</v>
      </c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 t="str">
        <f>"1001.50"</f>
        <v>1001.50</v>
      </c>
      <c r="S990" s="12"/>
      <c r="T990" s="12"/>
      <c r="U990" s="12"/>
      <c r="V990" s="12"/>
      <c r="W990" s="12"/>
      <c r="X990" s="12"/>
      <c r="Y990" s="12" t="str">
        <f>"437.46"</f>
        <v>437.46</v>
      </c>
      <c r="Z990" s="12"/>
      <c r="AA990" s="12"/>
    </row>
    <row r="991" spans="1:27">
      <c r="A991" s="9">
        <v>989</v>
      </c>
      <c r="B991" s="9">
        <v>10391</v>
      </c>
      <c r="C991" s="9" t="s">
        <v>988</v>
      </c>
      <c r="D991" s="9" t="s">
        <v>19</v>
      </c>
      <c r="E991" s="10" t="str">
        <f>"720.16"</f>
        <v>720.16</v>
      </c>
      <c r="F991" s="11"/>
      <c r="G991" s="11">
        <v>2017</v>
      </c>
      <c r="H991" s="12" t="str">
        <f>"846.51"</f>
        <v>846.51</v>
      </c>
      <c r="I991" s="12"/>
      <c r="J991" s="12"/>
      <c r="K991" s="12"/>
      <c r="L991" s="12"/>
      <c r="M991" s="12"/>
      <c r="N991" s="12"/>
      <c r="O991" s="12"/>
      <c r="P991" s="12"/>
      <c r="Q991" s="12"/>
      <c r="R991" s="12" t="str">
        <f>"1011.70"</f>
        <v>1011.70</v>
      </c>
      <c r="S991" s="12"/>
      <c r="T991" s="12"/>
      <c r="U991" s="12"/>
      <c r="V991" s="12"/>
      <c r="W991" s="12"/>
      <c r="X991" s="12"/>
      <c r="Y991" s="12" t="str">
        <f>"428.62"</f>
        <v>428.62</v>
      </c>
      <c r="Z991" s="12"/>
      <c r="AA991" s="12"/>
    </row>
    <row r="992" spans="1:27">
      <c r="A992" s="9">
        <v>990</v>
      </c>
      <c r="B992" s="9">
        <v>10842</v>
      </c>
      <c r="C992" s="9" t="s">
        <v>1101</v>
      </c>
      <c r="D992" s="9" t="s">
        <v>10</v>
      </c>
      <c r="E992" s="10" t="str">
        <f>"730.74"</f>
        <v>730.74</v>
      </c>
      <c r="F992" s="11" t="s">
        <v>11</v>
      </c>
      <c r="G992" s="11">
        <v>2017</v>
      </c>
      <c r="H992" s="12" t="str">
        <f>"702.74"</f>
        <v>702.74</v>
      </c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>
      <c r="A993" s="9">
        <v>991</v>
      </c>
      <c r="B993" s="9">
        <v>10398</v>
      </c>
      <c r="C993" s="9" t="s">
        <v>981</v>
      </c>
      <c r="D993" s="9" t="s">
        <v>19</v>
      </c>
      <c r="E993" s="10" t="str">
        <f>"736.57"</f>
        <v>736.57</v>
      </c>
      <c r="F993" s="11"/>
      <c r="G993" s="11">
        <v>2017</v>
      </c>
      <c r="H993" s="12" t="str">
        <f>"1469.26"</f>
        <v>1469.26</v>
      </c>
      <c r="I993" s="12"/>
      <c r="J993" s="12"/>
      <c r="K993" s="12"/>
      <c r="L993" s="12"/>
      <c r="M993" s="12"/>
      <c r="N993" s="12"/>
      <c r="O993" s="12"/>
      <c r="P993" s="12"/>
      <c r="Q993" s="12"/>
      <c r="R993" s="12" t="str">
        <f>"1047.42"</f>
        <v>1047.42</v>
      </c>
      <c r="S993" s="12"/>
      <c r="T993" s="12"/>
      <c r="U993" s="12"/>
      <c r="V993" s="12"/>
      <c r="W993" s="12"/>
      <c r="X993" s="12"/>
      <c r="Y993" s="12" t="str">
        <f>"425.71"</f>
        <v>425.71</v>
      </c>
      <c r="Z993" s="12"/>
      <c r="AA993" s="12"/>
    </row>
    <row r="994" spans="1:27">
      <c r="A994" s="9">
        <v>992</v>
      </c>
      <c r="B994" s="9">
        <v>10733</v>
      </c>
      <c r="C994" s="9" t="s">
        <v>1015</v>
      </c>
      <c r="D994" s="9" t="s">
        <v>19</v>
      </c>
      <c r="E994" s="10" t="str">
        <f>"738.79"</f>
        <v>738.79</v>
      </c>
      <c r="F994" s="11"/>
      <c r="G994" s="11">
        <v>2017</v>
      </c>
      <c r="H994" s="12" t="str">
        <f>"1397.68"</f>
        <v>1397.68</v>
      </c>
      <c r="I994" s="12"/>
      <c r="J994" s="12"/>
      <c r="K994" s="12"/>
      <c r="L994" s="12"/>
      <c r="M994" s="12"/>
      <c r="N994" s="12"/>
      <c r="O994" s="12" t="str">
        <f>"576.83"</f>
        <v>576.83</v>
      </c>
      <c r="P994" s="12"/>
      <c r="Q994" s="12"/>
      <c r="R994" s="12" t="str">
        <f>"900.74"</f>
        <v>900.74</v>
      </c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>
      <c r="A995" s="9">
        <v>993</v>
      </c>
      <c r="B995" s="9">
        <v>10395</v>
      </c>
      <c r="C995" s="9" t="s">
        <v>1069</v>
      </c>
      <c r="D995" s="9" t="s">
        <v>19</v>
      </c>
      <c r="E995" s="10" t="str">
        <f>"742.02"</f>
        <v>742.02</v>
      </c>
      <c r="F995" s="11"/>
      <c r="G995" s="11">
        <v>2017</v>
      </c>
      <c r="H995" s="12" t="str">
        <f>"971.98"</f>
        <v>971.98</v>
      </c>
      <c r="I995" s="12"/>
      <c r="J995" s="12"/>
      <c r="K995" s="12"/>
      <c r="L995" s="12"/>
      <c r="M995" s="12"/>
      <c r="N995" s="12"/>
      <c r="O995" s="12"/>
      <c r="P995" s="12"/>
      <c r="Q995" s="12"/>
      <c r="R995" s="12" t="str">
        <f>"1037.54"</f>
        <v>1037.54</v>
      </c>
      <c r="S995" s="12"/>
      <c r="T995" s="12"/>
      <c r="U995" s="12"/>
      <c r="V995" s="12"/>
      <c r="W995" s="12"/>
      <c r="X995" s="12"/>
      <c r="Y995" s="12" t="str">
        <f>"446.49"</f>
        <v>446.49</v>
      </c>
      <c r="Z995" s="12"/>
      <c r="AA995" s="12"/>
    </row>
    <row r="996" spans="1:27">
      <c r="A996" s="9">
        <v>994</v>
      </c>
      <c r="B996" s="9">
        <v>10761</v>
      </c>
      <c r="C996" s="9" t="s">
        <v>874</v>
      </c>
      <c r="D996" s="9" t="s">
        <v>19</v>
      </c>
      <c r="E996" s="10" t="str">
        <f>"743.48"</f>
        <v>743.48</v>
      </c>
      <c r="F996" s="11" t="s">
        <v>9</v>
      </c>
      <c r="G996" s="11">
        <v>2017</v>
      </c>
      <c r="H996" s="12" t="str">
        <f>"1024.32"</f>
        <v>1024.32</v>
      </c>
      <c r="I996" s="12"/>
      <c r="J996" s="12"/>
      <c r="K996" s="12"/>
      <c r="L996" s="12"/>
      <c r="M996" s="12"/>
      <c r="N996" s="12"/>
      <c r="O996" s="12"/>
      <c r="P996" s="12"/>
      <c r="Q996" s="12"/>
      <c r="R996" s="12" t="str">
        <f>"715.48"</f>
        <v>715.48</v>
      </c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>
      <c r="A997" s="9">
        <v>995</v>
      </c>
      <c r="B997" s="9">
        <v>10737</v>
      </c>
      <c r="C997" s="9" t="s">
        <v>948</v>
      </c>
      <c r="D997" s="9" t="s">
        <v>19</v>
      </c>
      <c r="E997" s="10" t="str">
        <f>"754.56"</f>
        <v>754.56</v>
      </c>
      <c r="F997" s="11"/>
      <c r="G997" s="11">
        <v>2017</v>
      </c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 t="str">
        <f>"1012.98"</f>
        <v>1012.98</v>
      </c>
      <c r="S997" s="12"/>
      <c r="T997" s="12"/>
      <c r="U997" s="12"/>
      <c r="V997" s="12"/>
      <c r="W997" s="12"/>
      <c r="X997" s="12"/>
      <c r="Y997" s="12"/>
      <c r="Z997" s="12" t="str">
        <f>"496.13"</f>
        <v>496.13</v>
      </c>
      <c r="AA997" s="12"/>
    </row>
    <row r="998" spans="1:27">
      <c r="A998" s="9">
        <v>996</v>
      </c>
      <c r="B998" s="9">
        <v>10399</v>
      </c>
      <c r="C998" s="9" t="s">
        <v>1001</v>
      </c>
      <c r="D998" s="9" t="s">
        <v>80</v>
      </c>
      <c r="E998" s="10" t="str">
        <f>"755.44"</f>
        <v>755.44</v>
      </c>
      <c r="F998" s="11" t="s">
        <v>11</v>
      </c>
      <c r="G998" s="11">
        <v>2017</v>
      </c>
      <c r="H998" s="12" t="str">
        <f>"727.44"</f>
        <v>727.44</v>
      </c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>
      <c r="A999" s="9">
        <v>997</v>
      </c>
      <c r="B999" s="9">
        <v>10803</v>
      </c>
      <c r="C999" s="9" t="s">
        <v>858</v>
      </c>
      <c r="D999" s="9" t="s">
        <v>19</v>
      </c>
      <c r="E999" s="10" t="str">
        <f>"768.98"</f>
        <v>768.98</v>
      </c>
      <c r="F999" s="11" t="s">
        <v>9</v>
      </c>
      <c r="G999" s="11">
        <v>2017</v>
      </c>
      <c r="H999" s="12" t="str">
        <f>"601.40"</f>
        <v>601.40</v>
      </c>
      <c r="I999" s="12"/>
      <c r="J999" s="12"/>
      <c r="K999" s="12"/>
      <c r="L999" s="12"/>
      <c r="M999" s="12"/>
      <c r="N999" s="12"/>
      <c r="O999" s="12"/>
      <c r="P999" s="12"/>
      <c r="Q999" s="12"/>
      <c r="R999" s="12" t="str">
        <f>"740.98"</f>
        <v>740.98</v>
      </c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>
      <c r="A1000" s="9">
        <v>998</v>
      </c>
      <c r="B1000" s="9">
        <v>10827</v>
      </c>
      <c r="C1000" s="9" t="s">
        <v>853</v>
      </c>
      <c r="D1000" s="9" t="s">
        <v>19</v>
      </c>
      <c r="E1000" s="10" t="str">
        <f>"770.58"</f>
        <v>770.58</v>
      </c>
      <c r="F1000" s="11" t="s">
        <v>9</v>
      </c>
      <c r="G1000" s="11">
        <v>2017</v>
      </c>
      <c r="H1000" s="12" t="str">
        <f>"349.32"</f>
        <v>349.32</v>
      </c>
      <c r="I1000" s="12"/>
      <c r="J1000" s="12"/>
      <c r="K1000" s="12"/>
      <c r="L1000" s="12"/>
      <c r="M1000" s="12"/>
      <c r="N1000" s="12"/>
      <c r="O1000" s="12"/>
      <c r="P1000" s="12"/>
      <c r="Q1000" s="12"/>
      <c r="R1000" s="12" t="str">
        <f>"742.58"</f>
        <v>742.58</v>
      </c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>
      <c r="A1001" s="9">
        <v>999</v>
      </c>
      <c r="B1001" s="9">
        <v>10455</v>
      </c>
      <c r="C1001" s="9" t="s">
        <v>930</v>
      </c>
      <c r="D1001" s="9" t="s">
        <v>19</v>
      </c>
      <c r="E1001" s="10" t="str">
        <f>"774.22"</f>
        <v>774.22</v>
      </c>
      <c r="F1001" s="11" t="s">
        <v>11</v>
      </c>
      <c r="G1001" s="11">
        <v>2017</v>
      </c>
      <c r="H1001" s="12" t="str">
        <f>"746.22"</f>
        <v>746.22</v>
      </c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>
      <c r="A1002" s="9">
        <v>1000</v>
      </c>
      <c r="B1002" s="9">
        <v>10397</v>
      </c>
      <c r="C1002" s="9" t="s">
        <v>1019</v>
      </c>
      <c r="D1002" s="9" t="s">
        <v>19</v>
      </c>
      <c r="E1002" s="10" t="str">
        <f>"781.40"</f>
        <v>781.40</v>
      </c>
      <c r="F1002" s="11"/>
      <c r="G1002" s="11">
        <v>2017</v>
      </c>
      <c r="H1002" s="12" t="str">
        <f>"956.10"</f>
        <v>956.10</v>
      </c>
      <c r="I1002" s="12"/>
      <c r="J1002" s="12"/>
      <c r="K1002" s="12"/>
      <c r="L1002" s="12"/>
      <c r="M1002" s="12"/>
      <c r="N1002" s="12"/>
      <c r="O1002" s="12"/>
      <c r="P1002" s="12"/>
      <c r="Q1002" s="12"/>
      <c r="R1002" s="12" t="str">
        <f>"978.22"</f>
        <v>978.22</v>
      </c>
      <c r="S1002" s="12"/>
      <c r="T1002" s="12"/>
      <c r="U1002" s="12"/>
      <c r="V1002" s="12"/>
      <c r="W1002" s="12"/>
      <c r="X1002" s="12"/>
      <c r="Y1002" s="12" t="str">
        <f>"584.58"</f>
        <v>584.58</v>
      </c>
      <c r="Z1002" s="12"/>
      <c r="AA1002" s="12"/>
    </row>
    <row r="1003" spans="1:27">
      <c r="A1003" s="9">
        <v>1001</v>
      </c>
      <c r="B1003" s="9">
        <v>11078</v>
      </c>
      <c r="C1003" s="9" t="s">
        <v>1123</v>
      </c>
      <c r="D1003" s="9" t="s">
        <v>19</v>
      </c>
      <c r="E1003" s="10" t="str">
        <f>"788.40"</f>
        <v>788.40</v>
      </c>
      <c r="F1003" s="11" t="s">
        <v>9</v>
      </c>
      <c r="G1003" s="11">
        <v>2017</v>
      </c>
      <c r="H1003" s="12"/>
      <c r="I1003" s="12"/>
      <c r="J1003" s="12"/>
      <c r="K1003" s="12"/>
      <c r="L1003" s="12"/>
      <c r="M1003" s="12"/>
      <c r="N1003" s="12"/>
      <c r="O1003" s="12" t="str">
        <f>"760.40"</f>
        <v>760.40</v>
      </c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>
      <c r="A1004" s="9">
        <v>1002</v>
      </c>
      <c r="B1004" s="9">
        <v>10124</v>
      </c>
      <c r="C1004" s="9" t="s">
        <v>1109</v>
      </c>
      <c r="D1004" s="9" t="s">
        <v>10</v>
      </c>
      <c r="E1004" s="10" t="str">
        <f>"794.59"</f>
        <v>794.59</v>
      </c>
      <c r="F1004" s="11" t="s">
        <v>11</v>
      </c>
      <c r="G1004" s="11">
        <v>2017</v>
      </c>
      <c r="H1004" s="12" t="str">
        <f>"766.59"</f>
        <v>766.59</v>
      </c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>
      <c r="A1005" s="9">
        <v>1003</v>
      </c>
      <c r="B1005" s="9">
        <v>10476</v>
      </c>
      <c r="C1005" s="9" t="s">
        <v>1039</v>
      </c>
      <c r="D1005" s="9" t="s">
        <v>19</v>
      </c>
      <c r="E1005" s="10" t="str">
        <f>"812.58"</f>
        <v>812.58</v>
      </c>
      <c r="F1005" s="11"/>
      <c r="G1005" s="11">
        <v>2017</v>
      </c>
      <c r="H1005" s="12" t="str">
        <f>"1359.68"</f>
        <v>1359.68</v>
      </c>
      <c r="I1005" s="12"/>
      <c r="J1005" s="12"/>
      <c r="K1005" s="12"/>
      <c r="L1005" s="12"/>
      <c r="M1005" s="12"/>
      <c r="N1005" s="12"/>
      <c r="O1005" s="12"/>
      <c r="P1005" s="12"/>
      <c r="Q1005" s="12"/>
      <c r="R1005" s="12" t="str">
        <f>"1102.58"</f>
        <v>1102.58</v>
      </c>
      <c r="S1005" s="12"/>
      <c r="T1005" s="12"/>
      <c r="U1005" s="12"/>
      <c r="V1005" s="12"/>
      <c r="W1005" s="12"/>
      <c r="X1005" s="12"/>
      <c r="Y1005" s="12"/>
      <c r="Z1005" s="12" t="str">
        <f>"522.57"</f>
        <v>522.57</v>
      </c>
      <c r="AA1005" s="12"/>
    </row>
    <row r="1006" spans="1:27">
      <c r="A1006" s="9">
        <v>1004</v>
      </c>
      <c r="B1006" s="9">
        <v>10725</v>
      </c>
      <c r="C1006" s="9" t="s">
        <v>1041</v>
      </c>
      <c r="D1006" s="9" t="s">
        <v>19</v>
      </c>
      <c r="E1006" s="10" t="str">
        <f>"814.17"</f>
        <v>814.17</v>
      </c>
      <c r="F1006" s="11"/>
      <c r="G1006" s="11">
        <v>2017</v>
      </c>
      <c r="H1006" s="12" t="str">
        <f>"1718.16"</f>
        <v>1718.16</v>
      </c>
      <c r="I1006" s="12"/>
      <c r="J1006" s="12"/>
      <c r="K1006" s="12"/>
      <c r="L1006" s="12"/>
      <c r="M1006" s="12"/>
      <c r="N1006" s="12"/>
      <c r="O1006" s="12"/>
      <c r="P1006" s="12"/>
      <c r="Q1006" s="12"/>
      <c r="R1006" s="12" t="str">
        <f>"1181.34"</f>
        <v>1181.34</v>
      </c>
      <c r="S1006" s="12"/>
      <c r="T1006" s="12"/>
      <c r="U1006" s="12"/>
      <c r="V1006" s="12"/>
      <c r="W1006" s="12"/>
      <c r="X1006" s="12"/>
      <c r="Y1006" s="12" t="str">
        <f>"447.00"</f>
        <v>447.00</v>
      </c>
      <c r="Z1006" s="12"/>
      <c r="AA1006" s="12"/>
    </row>
    <row r="1007" spans="1:27">
      <c r="A1007" s="9">
        <v>1005</v>
      </c>
      <c r="B1007" s="9">
        <v>10948</v>
      </c>
      <c r="C1007" s="9" t="s">
        <v>1083</v>
      </c>
      <c r="D1007" s="9" t="s">
        <v>19</v>
      </c>
      <c r="E1007" s="10" t="str">
        <f>"828.38"</f>
        <v>828.38</v>
      </c>
      <c r="F1007" s="11"/>
      <c r="G1007" s="11">
        <v>2017</v>
      </c>
      <c r="H1007" s="12"/>
      <c r="I1007" s="12"/>
      <c r="J1007" s="12"/>
      <c r="K1007" s="12"/>
      <c r="L1007" s="12"/>
      <c r="M1007" s="12"/>
      <c r="N1007" s="12"/>
      <c r="O1007" s="12" t="str">
        <f>"652.05"</f>
        <v>652.05</v>
      </c>
      <c r="P1007" s="12"/>
      <c r="Q1007" s="12"/>
      <c r="R1007" s="12" t="str">
        <f>"1004.70"</f>
        <v>1004.70</v>
      </c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>
      <c r="A1008" s="9">
        <v>1006</v>
      </c>
      <c r="B1008" s="9">
        <v>10486</v>
      </c>
      <c r="C1008" s="9" t="s">
        <v>966</v>
      </c>
      <c r="D1008" s="9" t="s">
        <v>19</v>
      </c>
      <c r="E1008" s="10" t="str">
        <f>"835.00"</f>
        <v>835.00</v>
      </c>
      <c r="F1008" s="11" t="s">
        <v>9</v>
      </c>
      <c r="G1008" s="11">
        <v>2017</v>
      </c>
      <c r="H1008" s="12" t="str">
        <f>"807.90"</f>
        <v>807.90</v>
      </c>
      <c r="I1008" s="12"/>
      <c r="J1008" s="12"/>
      <c r="K1008" s="12"/>
      <c r="L1008" s="12"/>
      <c r="M1008" s="12"/>
      <c r="N1008" s="12"/>
      <c r="O1008" s="12"/>
      <c r="P1008" s="12"/>
      <c r="Q1008" s="12"/>
      <c r="R1008" s="12" t="str">
        <f>"807.00"</f>
        <v>807.00</v>
      </c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>
      <c r="A1009" s="9">
        <v>1007</v>
      </c>
      <c r="B1009" s="9">
        <v>11091</v>
      </c>
      <c r="C1009" s="9" t="s">
        <v>1047</v>
      </c>
      <c r="D1009" s="9" t="s">
        <v>12</v>
      </c>
      <c r="E1009" s="10" t="str">
        <f>"840.79"</f>
        <v>840.79</v>
      </c>
      <c r="F1009" s="11" t="s">
        <v>9</v>
      </c>
      <c r="G1009" s="11">
        <v>2017</v>
      </c>
      <c r="H1009" s="12" t="str">
        <f>"463.71"</f>
        <v>463.71</v>
      </c>
      <c r="I1009" s="12"/>
      <c r="J1009" s="12"/>
      <c r="K1009" s="12"/>
      <c r="L1009" s="12"/>
      <c r="M1009" s="12" t="str">
        <f>"812.79"</f>
        <v>812.79</v>
      </c>
      <c r="N1009" s="12"/>
      <c r="O1009" s="12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>
      <c r="A1010" s="9">
        <v>1008</v>
      </c>
      <c r="B1010" s="9">
        <v>10481</v>
      </c>
      <c r="C1010" s="9" t="s">
        <v>893</v>
      </c>
      <c r="D1010" s="9" t="s">
        <v>19</v>
      </c>
      <c r="E1010" s="10" t="str">
        <f>"847.42"</f>
        <v>847.42</v>
      </c>
      <c r="F1010" s="11" t="s">
        <v>9</v>
      </c>
      <c r="G1010" s="11">
        <v>2017</v>
      </c>
      <c r="H1010" s="12" t="str">
        <f>"1077.74"</f>
        <v>1077.74</v>
      </c>
      <c r="I1010" s="12"/>
      <c r="J1010" s="12"/>
      <c r="K1010" s="12"/>
      <c r="L1010" s="12"/>
      <c r="M1010" s="12"/>
      <c r="N1010" s="12"/>
      <c r="O1010" s="12"/>
      <c r="P1010" s="12"/>
      <c r="Q1010" s="12"/>
      <c r="R1010" s="12" t="str">
        <f>"819.42"</f>
        <v>819.42</v>
      </c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>
      <c r="A1011" s="9">
        <v>1009</v>
      </c>
      <c r="B1011" s="9">
        <v>10475</v>
      </c>
      <c r="C1011" s="9" t="s">
        <v>949</v>
      </c>
      <c r="D1011" s="9" t="s">
        <v>19</v>
      </c>
      <c r="E1011" s="10" t="str">
        <f>"848.60"</f>
        <v>848.60</v>
      </c>
      <c r="F1011" s="11"/>
      <c r="G1011" s="11">
        <v>2017</v>
      </c>
      <c r="H1011" s="12"/>
      <c r="I1011" s="12"/>
      <c r="J1011" s="12"/>
      <c r="K1011" s="12"/>
      <c r="L1011" s="12"/>
      <c r="M1011" s="12"/>
      <c r="N1011" s="12"/>
      <c r="O1011" s="12"/>
      <c r="P1011" s="12"/>
      <c r="Q1011" s="12"/>
      <c r="R1011" s="12" t="str">
        <f>"1076.44"</f>
        <v>1076.44</v>
      </c>
      <c r="S1011" s="12"/>
      <c r="T1011" s="12"/>
      <c r="U1011" s="12"/>
      <c r="V1011" s="12"/>
      <c r="W1011" s="12"/>
      <c r="X1011" s="12"/>
      <c r="Y1011" s="12"/>
      <c r="Z1011" s="12" t="str">
        <f>"620.75"</f>
        <v>620.75</v>
      </c>
      <c r="AA1011" s="12"/>
    </row>
    <row r="1012" spans="1:27">
      <c r="A1012" s="9">
        <v>1010</v>
      </c>
      <c r="B1012" s="9">
        <v>10490</v>
      </c>
      <c r="C1012" s="9" t="s">
        <v>1000</v>
      </c>
      <c r="D1012" s="9" t="s">
        <v>19</v>
      </c>
      <c r="E1012" s="10" t="str">
        <f>"857.96"</f>
        <v>857.96</v>
      </c>
      <c r="F1012" s="11" t="s">
        <v>9</v>
      </c>
      <c r="G1012" s="11">
        <v>2017</v>
      </c>
      <c r="H1012" s="12" t="str">
        <f>"520.99"</f>
        <v>520.99</v>
      </c>
      <c r="I1012" s="12"/>
      <c r="J1012" s="12"/>
      <c r="K1012" s="12"/>
      <c r="L1012" s="12"/>
      <c r="M1012" s="12"/>
      <c r="N1012" s="12"/>
      <c r="O1012" s="12"/>
      <c r="P1012" s="12"/>
      <c r="Q1012" s="12"/>
      <c r="R1012" s="12" t="str">
        <f>"829.96"</f>
        <v>829.96</v>
      </c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spans="1:27">
      <c r="A1013" s="9">
        <v>1011</v>
      </c>
      <c r="B1013" s="9">
        <v>10401</v>
      </c>
      <c r="C1013" s="9" t="s">
        <v>1073</v>
      </c>
      <c r="D1013" s="9" t="s">
        <v>19</v>
      </c>
      <c r="E1013" s="10" t="str">
        <f>"871.60"</f>
        <v>871.60</v>
      </c>
      <c r="F1013" s="11" t="s">
        <v>11</v>
      </c>
      <c r="G1013" s="11">
        <v>2017</v>
      </c>
      <c r="H1013" s="12" t="str">
        <f>"843.60"</f>
        <v>843.60</v>
      </c>
      <c r="I1013" s="12"/>
      <c r="J1013" s="12"/>
      <c r="K1013" s="12"/>
      <c r="L1013" s="12"/>
      <c r="M1013" s="12"/>
      <c r="N1013" s="12"/>
      <c r="O1013" s="12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spans="1:27">
      <c r="A1014" s="9">
        <v>1012</v>
      </c>
      <c r="B1014" s="9">
        <v>10396</v>
      </c>
      <c r="C1014" s="9" t="s">
        <v>1094</v>
      </c>
      <c r="D1014" s="9" t="s">
        <v>19</v>
      </c>
      <c r="E1014" s="10" t="str">
        <f>"877.40"</f>
        <v>877.40</v>
      </c>
      <c r="F1014" s="11"/>
      <c r="G1014" s="11">
        <v>2017</v>
      </c>
      <c r="H1014" s="12" t="str">
        <f>"1020.40"</f>
        <v>1020.40</v>
      </c>
      <c r="I1014" s="12"/>
      <c r="J1014" s="12"/>
      <c r="K1014" s="12"/>
      <c r="L1014" s="12"/>
      <c r="M1014" s="12"/>
      <c r="N1014" s="12"/>
      <c r="O1014" s="12"/>
      <c r="P1014" s="12"/>
      <c r="Q1014" s="12"/>
      <c r="R1014" s="12" t="str">
        <f>"1285.62"</f>
        <v>1285.62</v>
      </c>
      <c r="S1014" s="12"/>
      <c r="T1014" s="12"/>
      <c r="U1014" s="12"/>
      <c r="V1014" s="12"/>
      <c r="W1014" s="12"/>
      <c r="X1014" s="12"/>
      <c r="Y1014" s="12" t="str">
        <f>"469.17"</f>
        <v>469.17</v>
      </c>
      <c r="Z1014" s="12"/>
      <c r="AA1014" s="12"/>
    </row>
    <row r="1015" spans="1:27">
      <c r="A1015" s="9">
        <v>1013</v>
      </c>
      <c r="B1015" s="9">
        <v>11212</v>
      </c>
      <c r="C1015" s="9" t="s">
        <v>987</v>
      </c>
      <c r="D1015" s="9" t="s">
        <v>19</v>
      </c>
      <c r="E1015" s="10" t="str">
        <f>"890.80"</f>
        <v>890.80</v>
      </c>
      <c r="F1015" s="11" t="s">
        <v>9</v>
      </c>
      <c r="G1015" s="11">
        <v>2017</v>
      </c>
      <c r="H1015" s="12"/>
      <c r="I1015" s="12"/>
      <c r="J1015" s="12"/>
      <c r="K1015" s="12"/>
      <c r="L1015" s="12"/>
      <c r="M1015" s="12"/>
      <c r="N1015" s="12"/>
      <c r="O1015" s="12"/>
      <c r="P1015" s="12"/>
      <c r="Q1015" s="12"/>
      <c r="R1015" s="12" t="str">
        <f>"862.80"</f>
        <v>862.80</v>
      </c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spans="1:27">
      <c r="A1016" s="9">
        <v>1014</v>
      </c>
      <c r="B1016" s="9">
        <v>1393</v>
      </c>
      <c r="C1016" s="9" t="s">
        <v>1070</v>
      </c>
      <c r="D1016" s="9" t="s">
        <v>1071</v>
      </c>
      <c r="E1016" s="10" t="str">
        <f>"895.52"</f>
        <v>895.52</v>
      </c>
      <c r="F1016" s="11" t="s">
        <v>11</v>
      </c>
      <c r="G1016" s="11">
        <v>2017</v>
      </c>
      <c r="H1016" s="12" t="str">
        <f>"867.52"</f>
        <v>867.52</v>
      </c>
      <c r="I1016" s="12"/>
      <c r="J1016" s="12"/>
      <c r="K1016" s="12"/>
      <c r="L1016" s="12"/>
      <c r="M1016" s="12"/>
      <c r="N1016" s="12"/>
      <c r="O1016" s="12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  <row r="1017" spans="1:27">
      <c r="A1017" s="9">
        <v>1015</v>
      </c>
      <c r="B1017" s="9">
        <v>10832</v>
      </c>
      <c r="C1017" s="9" t="s">
        <v>1212</v>
      </c>
      <c r="D1017" s="9" t="s">
        <v>19</v>
      </c>
      <c r="E1017" s="10" t="str">
        <f>"914.08"</f>
        <v>914.08</v>
      </c>
      <c r="F1017" s="11" t="s">
        <v>9</v>
      </c>
      <c r="G1017" s="11">
        <v>2017</v>
      </c>
      <c r="H1017" s="12"/>
      <c r="I1017" s="12"/>
      <c r="J1017" s="12"/>
      <c r="K1017" s="12"/>
      <c r="L1017" s="12"/>
      <c r="M1017" s="12"/>
      <c r="N1017" s="12"/>
      <c r="O1017" s="12"/>
      <c r="P1017" s="12"/>
      <c r="Q1017" s="12"/>
      <c r="R1017" s="12" t="str">
        <f>"886.08"</f>
        <v>886.08</v>
      </c>
      <c r="S1017" s="12"/>
      <c r="T1017" s="12"/>
      <c r="U1017" s="12"/>
      <c r="V1017" s="12"/>
      <c r="W1017" s="12"/>
      <c r="X1017" s="12"/>
      <c r="Y1017" s="12"/>
      <c r="Z1017" s="12"/>
      <c r="AA1017" s="12"/>
    </row>
    <row r="1018" spans="1:27">
      <c r="A1018" s="9">
        <v>1016</v>
      </c>
      <c r="B1018" s="9">
        <v>10492</v>
      </c>
      <c r="C1018" s="9" t="s">
        <v>918</v>
      </c>
      <c r="D1018" s="9" t="s">
        <v>19</v>
      </c>
      <c r="E1018" s="10" t="str">
        <f>"921.40"</f>
        <v>921.40</v>
      </c>
      <c r="F1018" s="11" t="s">
        <v>9</v>
      </c>
      <c r="G1018" s="11">
        <v>2017</v>
      </c>
      <c r="H1018" s="12" t="str">
        <f>"945.02"</f>
        <v>945.02</v>
      </c>
      <c r="I1018" s="12"/>
      <c r="J1018" s="12"/>
      <c r="K1018" s="12"/>
      <c r="L1018" s="12"/>
      <c r="M1018" s="12"/>
      <c r="N1018" s="12"/>
      <c r="O1018" s="12"/>
      <c r="P1018" s="12"/>
      <c r="Q1018" s="12"/>
      <c r="R1018" s="12" t="str">
        <f>"893.40"</f>
        <v>893.40</v>
      </c>
      <c r="S1018" s="12"/>
      <c r="T1018" s="12"/>
      <c r="U1018" s="12"/>
      <c r="V1018" s="12"/>
      <c r="W1018" s="12"/>
      <c r="X1018" s="12"/>
      <c r="Y1018" s="12"/>
      <c r="Z1018" s="12"/>
      <c r="AA1018" s="12"/>
    </row>
    <row r="1019" spans="1:27">
      <c r="A1019" s="9">
        <v>1017</v>
      </c>
      <c r="B1019" s="9">
        <v>11191</v>
      </c>
      <c r="C1019" s="9" t="s">
        <v>1097</v>
      </c>
      <c r="D1019" s="9" t="s">
        <v>19</v>
      </c>
      <c r="E1019" s="10" t="str">
        <f>"946.51"</f>
        <v>946.51</v>
      </c>
      <c r="F1019" s="11"/>
      <c r="G1019" s="11">
        <v>2017</v>
      </c>
      <c r="H1019" s="12"/>
      <c r="I1019" s="12"/>
      <c r="J1019" s="12"/>
      <c r="K1019" s="12"/>
      <c r="L1019" s="12"/>
      <c r="M1019" s="12"/>
      <c r="N1019" s="12"/>
      <c r="O1019" s="12" t="str">
        <f>"737.49"</f>
        <v>737.49</v>
      </c>
      <c r="P1019" s="12"/>
      <c r="Q1019" s="12"/>
      <c r="R1019" s="12" t="str">
        <f>"1155.52"</f>
        <v>1155.52</v>
      </c>
      <c r="S1019" s="12"/>
      <c r="T1019" s="12"/>
      <c r="U1019" s="12"/>
      <c r="V1019" s="12"/>
      <c r="W1019" s="12"/>
      <c r="X1019" s="12"/>
      <c r="Y1019" s="12"/>
      <c r="Z1019" s="12"/>
      <c r="AA1019" s="12"/>
    </row>
    <row r="1020" spans="1:27">
      <c r="A1020" s="9">
        <v>1018</v>
      </c>
      <c r="B1020" s="9">
        <v>10121</v>
      </c>
      <c r="C1020" s="9" t="s">
        <v>1078</v>
      </c>
      <c r="D1020" s="9" t="s">
        <v>10</v>
      </c>
      <c r="E1020" s="10" t="str">
        <f>"959.26"</f>
        <v>959.26</v>
      </c>
      <c r="F1020" s="11" t="s">
        <v>11</v>
      </c>
      <c r="G1020" s="11">
        <v>2017</v>
      </c>
      <c r="H1020" s="12" t="str">
        <f>"931.26"</f>
        <v>931.26</v>
      </c>
      <c r="I1020" s="12"/>
      <c r="J1020" s="12"/>
      <c r="K1020" s="12"/>
      <c r="L1020" s="12"/>
      <c r="M1020" s="12"/>
      <c r="N1020" s="12"/>
      <c r="O1020" s="12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</row>
    <row r="1021" spans="1:27">
      <c r="A1021" s="9">
        <v>1019</v>
      </c>
      <c r="B1021" s="9">
        <v>10393</v>
      </c>
      <c r="C1021" s="9" t="s">
        <v>1035</v>
      </c>
      <c r="D1021" s="9" t="s">
        <v>19</v>
      </c>
      <c r="E1021" s="10" t="str">
        <f>"967.00"</f>
        <v>967.00</v>
      </c>
      <c r="F1021" s="11" t="s">
        <v>9</v>
      </c>
      <c r="G1021" s="11">
        <v>2017</v>
      </c>
      <c r="H1021" s="12" t="str">
        <f>"504.97"</f>
        <v>504.97</v>
      </c>
      <c r="I1021" s="12"/>
      <c r="J1021" s="12"/>
      <c r="K1021" s="12"/>
      <c r="L1021" s="12"/>
      <c r="M1021" s="12"/>
      <c r="N1021" s="12"/>
      <c r="O1021" s="12"/>
      <c r="P1021" s="12"/>
      <c r="Q1021" s="12"/>
      <c r="R1021" s="12" t="str">
        <f>"939.00"</f>
        <v>939.00</v>
      </c>
      <c r="S1021" s="12"/>
      <c r="T1021" s="12"/>
      <c r="U1021" s="12"/>
      <c r="V1021" s="12"/>
      <c r="W1021" s="12"/>
      <c r="X1021" s="12"/>
      <c r="Y1021" s="12"/>
      <c r="Z1021" s="12"/>
      <c r="AA1021" s="12"/>
    </row>
    <row r="1022" spans="1:27">
      <c r="A1022" s="9">
        <v>1020</v>
      </c>
      <c r="B1022" s="9">
        <v>10388</v>
      </c>
      <c r="C1022" s="9" t="s">
        <v>1104</v>
      </c>
      <c r="D1022" s="9" t="s">
        <v>19</v>
      </c>
      <c r="E1022" s="10" t="str">
        <f>"1005.29"</f>
        <v>1005.29</v>
      </c>
      <c r="F1022" s="11" t="s">
        <v>11</v>
      </c>
      <c r="G1022" s="11">
        <v>2017</v>
      </c>
      <c r="H1022" s="12" t="str">
        <f>"977.29"</f>
        <v>977.29</v>
      </c>
      <c r="I1022" s="12"/>
      <c r="J1022" s="12"/>
      <c r="K1022" s="12"/>
      <c r="L1022" s="12"/>
      <c r="M1022" s="12"/>
      <c r="N1022" s="12"/>
      <c r="O1022" s="12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</row>
    <row r="1023" spans="1:27">
      <c r="A1023" s="9">
        <v>1021</v>
      </c>
      <c r="B1023" s="9">
        <v>10793</v>
      </c>
      <c r="C1023" s="9" t="s">
        <v>1050</v>
      </c>
      <c r="D1023" s="9" t="s">
        <v>19</v>
      </c>
      <c r="E1023" s="10" t="str">
        <f>"1038.74"</f>
        <v>1038.74</v>
      </c>
      <c r="F1023" s="11" t="s">
        <v>9</v>
      </c>
      <c r="G1023" s="11">
        <v>2017</v>
      </c>
      <c r="H1023" s="12" t="str">
        <f>"1553.50"</f>
        <v>1553.50</v>
      </c>
      <c r="I1023" s="12"/>
      <c r="J1023" s="12"/>
      <c r="K1023" s="12"/>
      <c r="L1023" s="12"/>
      <c r="M1023" s="12"/>
      <c r="N1023" s="12"/>
      <c r="O1023" s="12"/>
      <c r="P1023" s="12"/>
      <c r="Q1023" s="12"/>
      <c r="R1023" s="12" t="str">
        <f>"1010.74"</f>
        <v>1010.74</v>
      </c>
      <c r="S1023" s="12"/>
      <c r="T1023" s="12"/>
      <c r="U1023" s="12"/>
      <c r="V1023" s="12"/>
      <c r="W1023" s="12"/>
      <c r="X1023" s="12"/>
      <c r="Y1023" s="12"/>
      <c r="Z1023" s="12"/>
      <c r="AA1023" s="12"/>
    </row>
    <row r="1024" spans="1:27">
      <c r="A1024" s="9">
        <v>1022</v>
      </c>
      <c r="B1024" s="9">
        <v>10735</v>
      </c>
      <c r="C1024" s="9" t="s">
        <v>1086</v>
      </c>
      <c r="D1024" s="9" t="s">
        <v>19</v>
      </c>
      <c r="E1024" s="10" t="str">
        <f>"1052.95"</f>
        <v>1052.95</v>
      </c>
      <c r="F1024" s="11"/>
      <c r="G1024" s="11">
        <v>2017</v>
      </c>
      <c r="H1024" s="12" t="str">
        <f>"1908.14"</f>
        <v>1908.14</v>
      </c>
      <c r="I1024" s="12"/>
      <c r="J1024" s="12"/>
      <c r="K1024" s="12"/>
      <c r="L1024" s="12"/>
      <c r="M1024" s="12"/>
      <c r="N1024" s="12"/>
      <c r="O1024" s="12" t="str">
        <f>"698.47"</f>
        <v>698.47</v>
      </c>
      <c r="P1024" s="12"/>
      <c r="Q1024" s="12"/>
      <c r="R1024" s="12" t="str">
        <f>"1407.42"</f>
        <v>1407.42</v>
      </c>
      <c r="S1024" s="12"/>
      <c r="T1024" s="12"/>
      <c r="U1024" s="12"/>
      <c r="V1024" s="12"/>
      <c r="W1024" s="12"/>
      <c r="X1024" s="12"/>
      <c r="Y1024" s="12"/>
      <c r="Z1024" s="12"/>
      <c r="AA1024" s="12"/>
    </row>
    <row r="1025" spans="1:27">
      <c r="A1025" s="9">
        <v>1023</v>
      </c>
      <c r="B1025" s="9">
        <v>10394</v>
      </c>
      <c r="C1025" s="9" t="s">
        <v>1031</v>
      </c>
      <c r="D1025" s="9" t="s">
        <v>19</v>
      </c>
      <c r="E1025" s="10" t="str">
        <f>"1054.38"</f>
        <v>1054.38</v>
      </c>
      <c r="F1025" s="11" t="s">
        <v>9</v>
      </c>
      <c r="G1025" s="11">
        <v>2017</v>
      </c>
      <c r="H1025" s="12" t="str">
        <f>"841.14"</f>
        <v>841.14</v>
      </c>
      <c r="I1025" s="12"/>
      <c r="J1025" s="12"/>
      <c r="K1025" s="12"/>
      <c r="L1025" s="12"/>
      <c r="M1025" s="12"/>
      <c r="N1025" s="12"/>
      <c r="O1025" s="12"/>
      <c r="P1025" s="12"/>
      <c r="Q1025" s="12"/>
      <c r="R1025" s="12" t="str">
        <f>"1026.38"</f>
        <v>1026.38</v>
      </c>
      <c r="S1025" s="12"/>
      <c r="T1025" s="12"/>
      <c r="U1025" s="12"/>
      <c r="V1025" s="12"/>
      <c r="W1025" s="12"/>
      <c r="X1025" s="12"/>
      <c r="Y1025" s="12"/>
      <c r="Z1025" s="12"/>
      <c r="AA1025" s="12"/>
    </row>
    <row r="1026" spans="1:27">
      <c r="A1026" s="9">
        <v>1024</v>
      </c>
      <c r="B1026" s="9">
        <v>10800</v>
      </c>
      <c r="C1026" s="9" t="s">
        <v>1038</v>
      </c>
      <c r="D1026" s="9" t="s">
        <v>19</v>
      </c>
      <c r="E1026" s="10" t="str">
        <f>"1089.14"</f>
        <v>1089.14</v>
      </c>
      <c r="F1026" s="11" t="s">
        <v>9</v>
      </c>
      <c r="G1026" s="11">
        <v>2017</v>
      </c>
      <c r="H1026" s="12" t="str">
        <f>"1091.50"</f>
        <v>1091.50</v>
      </c>
      <c r="I1026" s="12"/>
      <c r="J1026" s="12"/>
      <c r="K1026" s="12"/>
      <c r="L1026" s="12"/>
      <c r="M1026" s="12"/>
      <c r="N1026" s="12"/>
      <c r="O1026" s="12"/>
      <c r="P1026" s="12"/>
      <c r="Q1026" s="12"/>
      <c r="R1026" s="12" t="str">
        <f>"1061.14"</f>
        <v>1061.14</v>
      </c>
      <c r="S1026" s="12"/>
      <c r="T1026" s="12"/>
      <c r="U1026" s="12"/>
      <c r="V1026" s="12"/>
      <c r="W1026" s="12"/>
      <c r="X1026" s="12"/>
      <c r="Y1026" s="12"/>
      <c r="Z1026" s="12"/>
      <c r="AA1026" s="12"/>
    </row>
    <row r="1027" spans="1:27">
      <c r="A1027" s="9">
        <v>1025</v>
      </c>
      <c r="B1027" s="9">
        <v>10763</v>
      </c>
      <c r="C1027" s="9" t="s">
        <v>1080</v>
      </c>
      <c r="D1027" s="9" t="s">
        <v>19</v>
      </c>
      <c r="E1027" s="10" t="str">
        <f>"1099.02"</f>
        <v>1099.02</v>
      </c>
      <c r="F1027" s="11" t="s">
        <v>9</v>
      </c>
      <c r="G1027" s="11">
        <v>2017</v>
      </c>
      <c r="H1027" s="12" t="str">
        <f>"2233.58"</f>
        <v>2233.58</v>
      </c>
      <c r="I1027" s="12"/>
      <c r="J1027" s="12"/>
      <c r="K1027" s="12"/>
      <c r="L1027" s="12"/>
      <c r="M1027" s="12"/>
      <c r="N1027" s="12"/>
      <c r="O1027" s="12"/>
      <c r="P1027" s="12"/>
      <c r="Q1027" s="12"/>
      <c r="R1027" s="12" t="str">
        <f>"1071.02"</f>
        <v>1071.02</v>
      </c>
      <c r="S1027" s="12"/>
      <c r="T1027" s="12"/>
      <c r="U1027" s="12"/>
      <c r="V1027" s="12"/>
      <c r="W1027" s="12"/>
      <c r="X1027" s="12"/>
      <c r="Y1027" s="12"/>
      <c r="Z1027" s="12"/>
      <c r="AA1027" s="12"/>
    </row>
    <row r="1028" spans="1:27">
      <c r="A1028" s="9">
        <v>1026</v>
      </c>
      <c r="B1028" s="9">
        <v>10721</v>
      </c>
      <c r="C1028" s="9" t="s">
        <v>1098</v>
      </c>
      <c r="D1028" s="9" t="s">
        <v>19</v>
      </c>
      <c r="E1028" s="10" t="str">
        <f>"1099.34"</f>
        <v>1099.34</v>
      </c>
      <c r="F1028" s="11" t="s">
        <v>9</v>
      </c>
      <c r="G1028" s="11">
        <v>2017</v>
      </c>
      <c r="H1028" s="12" t="str">
        <f>"1718.16"</f>
        <v>1718.16</v>
      </c>
      <c r="I1028" s="12"/>
      <c r="J1028" s="12"/>
      <c r="K1028" s="12"/>
      <c r="L1028" s="12"/>
      <c r="M1028" s="12"/>
      <c r="N1028" s="12"/>
      <c r="O1028" s="12"/>
      <c r="P1028" s="12"/>
      <c r="Q1028" s="12"/>
      <c r="R1028" s="12" t="str">
        <f>"1071.34"</f>
        <v>1071.34</v>
      </c>
      <c r="S1028" s="12"/>
      <c r="T1028" s="12"/>
      <c r="U1028" s="12"/>
      <c r="V1028" s="12"/>
      <c r="W1028" s="12"/>
      <c r="X1028" s="12"/>
      <c r="Y1028" s="12"/>
      <c r="Z1028" s="12"/>
      <c r="AA1028" s="12"/>
    </row>
    <row r="1029" spans="1:27">
      <c r="A1029" s="9">
        <v>1027</v>
      </c>
      <c r="B1029" s="9">
        <v>11306</v>
      </c>
      <c r="C1029" s="9" t="s">
        <v>92</v>
      </c>
      <c r="D1029" s="9"/>
      <c r="E1029" s="10" t="str">
        <f>"1108.81"</f>
        <v>1108.81</v>
      </c>
      <c r="F1029" s="11" t="s">
        <v>9</v>
      </c>
      <c r="G1029" s="11"/>
      <c r="H1029" s="12"/>
      <c r="I1029" s="12"/>
      <c r="J1029" s="12"/>
      <c r="K1029" s="12"/>
      <c r="L1029" s="12"/>
      <c r="M1029" s="12"/>
      <c r="N1029" s="12"/>
      <c r="O1029" s="12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 t="str">
        <f>"1080.81"</f>
        <v>1080.81</v>
      </c>
      <c r="AA1029" s="12"/>
    </row>
    <row r="1030" spans="1:27">
      <c r="A1030" s="9">
        <v>1028</v>
      </c>
      <c r="B1030" s="9">
        <v>10772</v>
      </c>
      <c r="C1030" s="9" t="s">
        <v>1076</v>
      </c>
      <c r="D1030" s="9" t="s">
        <v>19</v>
      </c>
      <c r="E1030" s="10" t="str">
        <f>"1120.70"</f>
        <v>1120.70</v>
      </c>
      <c r="F1030" s="11" t="s">
        <v>9</v>
      </c>
      <c r="G1030" s="11">
        <v>2017</v>
      </c>
      <c r="H1030" s="12" t="str">
        <f>"1187.32"</f>
        <v>1187.32</v>
      </c>
      <c r="I1030" s="12"/>
      <c r="J1030" s="12"/>
      <c r="K1030" s="12"/>
      <c r="L1030" s="12"/>
      <c r="M1030" s="12"/>
      <c r="N1030" s="12"/>
      <c r="O1030" s="12"/>
      <c r="P1030" s="12"/>
      <c r="Q1030" s="12"/>
      <c r="R1030" s="12" t="str">
        <f>"1092.70"</f>
        <v>1092.70</v>
      </c>
      <c r="S1030" s="12"/>
      <c r="T1030" s="12"/>
      <c r="U1030" s="12"/>
      <c r="V1030" s="12"/>
      <c r="W1030" s="12"/>
      <c r="X1030" s="12"/>
      <c r="Y1030" s="12"/>
      <c r="Z1030" s="12"/>
      <c r="AA1030" s="12"/>
    </row>
    <row r="1031" spans="1:27">
      <c r="A1031" s="9">
        <v>1029</v>
      </c>
      <c r="B1031" s="9">
        <v>10805</v>
      </c>
      <c r="C1031" s="9" t="s">
        <v>1067</v>
      </c>
      <c r="D1031" s="9" t="s">
        <v>19</v>
      </c>
      <c r="E1031" s="10" t="str">
        <f>"1123.90"</f>
        <v>1123.90</v>
      </c>
      <c r="F1031" s="11" t="s">
        <v>11</v>
      </c>
      <c r="G1031" s="11">
        <v>2017</v>
      </c>
      <c r="H1031" s="12" t="str">
        <f>"1095.90"</f>
        <v>1095.90</v>
      </c>
      <c r="I1031" s="12"/>
      <c r="J1031" s="12"/>
      <c r="K1031" s="12"/>
      <c r="L1031" s="12"/>
      <c r="M1031" s="12"/>
      <c r="N1031" s="12"/>
      <c r="O1031" s="12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</row>
    <row r="1032" spans="1:27">
      <c r="A1032" s="9">
        <v>1030</v>
      </c>
      <c r="B1032" s="9">
        <v>11171</v>
      </c>
      <c r="C1032" s="9" t="s">
        <v>1122</v>
      </c>
      <c r="D1032" s="9" t="s">
        <v>19</v>
      </c>
      <c r="E1032" s="10" t="str">
        <f>"1133.05"</f>
        <v>1133.05</v>
      </c>
      <c r="F1032" s="11"/>
      <c r="G1032" s="11">
        <v>2017</v>
      </c>
      <c r="H1032" s="12"/>
      <c r="I1032" s="12"/>
      <c r="J1032" s="12"/>
      <c r="K1032" s="12"/>
      <c r="L1032" s="12"/>
      <c r="M1032" s="12"/>
      <c r="N1032" s="12"/>
      <c r="O1032" s="12"/>
      <c r="P1032" s="12"/>
      <c r="Q1032" s="12"/>
      <c r="R1032" s="12" t="str">
        <f>"1537.84"</f>
        <v>1537.84</v>
      </c>
      <c r="S1032" s="12"/>
      <c r="T1032" s="12"/>
      <c r="U1032" s="12"/>
      <c r="V1032" s="12" t="str">
        <f>"728.25"</f>
        <v>728.25</v>
      </c>
      <c r="W1032" s="12"/>
      <c r="X1032" s="12"/>
      <c r="Y1032" s="12"/>
      <c r="Z1032" s="12"/>
      <c r="AA1032" s="12"/>
    </row>
    <row r="1033" spans="1:27">
      <c r="A1033" s="9">
        <v>1031</v>
      </c>
      <c r="B1033" s="9">
        <v>10788</v>
      </c>
      <c r="C1033" s="9" t="s">
        <v>1051</v>
      </c>
      <c r="D1033" s="9" t="s">
        <v>19</v>
      </c>
      <c r="E1033" s="10" t="str">
        <f>"1142.38"</f>
        <v>1142.38</v>
      </c>
      <c r="F1033" s="11" t="s">
        <v>9</v>
      </c>
      <c r="G1033" s="11">
        <v>2017</v>
      </c>
      <c r="H1033" s="12" t="str">
        <f>"1214.84"</f>
        <v>1214.84</v>
      </c>
      <c r="I1033" s="12"/>
      <c r="J1033" s="12"/>
      <c r="K1033" s="12"/>
      <c r="L1033" s="12"/>
      <c r="M1033" s="12"/>
      <c r="N1033" s="12"/>
      <c r="O1033" s="12"/>
      <c r="P1033" s="12"/>
      <c r="Q1033" s="12"/>
      <c r="R1033" s="12" t="str">
        <f>"1114.38"</f>
        <v>1114.38</v>
      </c>
      <c r="S1033" s="12"/>
      <c r="T1033" s="12"/>
      <c r="U1033" s="12"/>
      <c r="V1033" s="12"/>
      <c r="W1033" s="12"/>
      <c r="X1033" s="12"/>
      <c r="Y1033" s="12"/>
      <c r="Z1033" s="12"/>
      <c r="AA1033" s="12"/>
    </row>
    <row r="1034" spans="1:27">
      <c r="A1034" s="9">
        <v>1032</v>
      </c>
      <c r="B1034" s="9">
        <v>11183</v>
      </c>
      <c r="C1034" s="9" t="s">
        <v>1121</v>
      </c>
      <c r="D1034" s="9" t="s">
        <v>19</v>
      </c>
      <c r="E1034" s="10" t="str">
        <f>"1149.54"</f>
        <v>1149.54</v>
      </c>
      <c r="F1034" s="11"/>
      <c r="G1034" s="11">
        <v>2017</v>
      </c>
      <c r="H1034" s="12"/>
      <c r="I1034" s="12"/>
      <c r="J1034" s="12"/>
      <c r="K1034" s="12"/>
      <c r="L1034" s="12"/>
      <c r="M1034" s="12"/>
      <c r="N1034" s="12"/>
      <c r="O1034" s="12"/>
      <c r="P1034" s="12"/>
      <c r="Q1034" s="12"/>
      <c r="R1034" s="12" t="str">
        <f>"1875.52"</f>
        <v>1875.52</v>
      </c>
      <c r="S1034" s="12"/>
      <c r="T1034" s="12"/>
      <c r="U1034" s="12"/>
      <c r="V1034" s="12"/>
      <c r="W1034" s="12"/>
      <c r="X1034" s="12"/>
      <c r="Y1034" s="12" t="str">
        <f>"423.56"</f>
        <v>423.56</v>
      </c>
      <c r="Z1034" s="12"/>
      <c r="AA1034" s="12"/>
    </row>
    <row r="1035" spans="1:27">
      <c r="A1035" s="9">
        <v>1033</v>
      </c>
      <c r="B1035" s="9">
        <v>11166</v>
      </c>
      <c r="C1035" s="9" t="s">
        <v>1085</v>
      </c>
      <c r="D1035" s="9" t="s">
        <v>19</v>
      </c>
      <c r="E1035" s="10" t="str">
        <f>"1155.78"</f>
        <v>1155.78</v>
      </c>
      <c r="F1035" s="11" t="s">
        <v>9</v>
      </c>
      <c r="G1035" s="11">
        <v>2017</v>
      </c>
      <c r="H1035" s="12"/>
      <c r="I1035" s="12"/>
      <c r="J1035" s="12"/>
      <c r="K1035" s="12"/>
      <c r="L1035" s="12"/>
      <c r="M1035" s="12"/>
      <c r="N1035" s="12"/>
      <c r="O1035" s="12"/>
      <c r="P1035" s="12"/>
      <c r="Q1035" s="12"/>
      <c r="R1035" s="12" t="str">
        <f>"1127.78"</f>
        <v>1127.78</v>
      </c>
      <c r="S1035" s="12"/>
      <c r="T1035" s="12"/>
      <c r="U1035" s="12"/>
      <c r="V1035" s="12"/>
      <c r="W1035" s="12"/>
      <c r="X1035" s="12"/>
      <c r="Y1035" s="12"/>
      <c r="Z1035" s="12"/>
      <c r="AA1035" s="12"/>
    </row>
    <row r="1036" spans="1:27">
      <c r="A1036" s="9">
        <v>1034</v>
      </c>
      <c r="B1036" s="9">
        <v>10731</v>
      </c>
      <c r="C1036" s="9" t="s">
        <v>1042</v>
      </c>
      <c r="D1036" s="9" t="s">
        <v>19</v>
      </c>
      <c r="E1036" s="10" t="str">
        <f>"1182.88"</f>
        <v>1182.88</v>
      </c>
      <c r="F1036" s="11" t="s">
        <v>9</v>
      </c>
      <c r="G1036" s="11">
        <v>2017</v>
      </c>
      <c r="H1036" s="12" t="str">
        <f>"1403.66"</f>
        <v>1403.66</v>
      </c>
      <c r="I1036" s="12"/>
      <c r="J1036" s="12"/>
      <c r="K1036" s="12"/>
      <c r="L1036" s="12"/>
      <c r="M1036" s="12"/>
      <c r="N1036" s="12"/>
      <c r="O1036" s="12"/>
      <c r="P1036" s="12"/>
      <c r="Q1036" s="12"/>
      <c r="R1036" s="12" t="str">
        <f>"1154.88"</f>
        <v>1154.88</v>
      </c>
      <c r="S1036" s="12"/>
      <c r="T1036" s="12"/>
      <c r="U1036" s="12"/>
      <c r="V1036" s="12"/>
      <c r="W1036" s="12"/>
      <c r="X1036" s="12"/>
      <c r="Y1036" s="12"/>
      <c r="Z1036" s="12"/>
      <c r="AA1036" s="12"/>
    </row>
    <row r="1037" spans="1:27">
      <c r="A1037" s="9">
        <v>1035</v>
      </c>
      <c r="B1037" s="9">
        <v>10789</v>
      </c>
      <c r="C1037" s="9" t="s">
        <v>1111</v>
      </c>
      <c r="D1037" s="9" t="s">
        <v>19</v>
      </c>
      <c r="E1037" s="10" t="str">
        <f>"1192.12"</f>
        <v>1192.12</v>
      </c>
      <c r="F1037" s="11" t="s">
        <v>9</v>
      </c>
      <c r="G1037" s="11">
        <v>2017</v>
      </c>
      <c r="H1037" s="12" t="str">
        <f>"1864.64"</f>
        <v>1864.64</v>
      </c>
      <c r="I1037" s="12"/>
      <c r="J1037" s="12"/>
      <c r="K1037" s="12"/>
      <c r="L1037" s="12"/>
      <c r="M1037" s="12"/>
      <c r="N1037" s="12"/>
      <c r="O1037" s="12"/>
      <c r="P1037" s="12"/>
      <c r="Q1037" s="12"/>
      <c r="R1037" s="12" t="str">
        <f>"1164.12"</f>
        <v>1164.12</v>
      </c>
      <c r="S1037" s="12"/>
      <c r="T1037" s="12"/>
      <c r="U1037" s="12"/>
      <c r="V1037" s="12"/>
      <c r="W1037" s="12"/>
      <c r="X1037" s="12"/>
      <c r="Y1037" s="12"/>
      <c r="Z1037" s="12"/>
      <c r="AA1037" s="12"/>
    </row>
    <row r="1038" spans="1:27">
      <c r="A1038" s="9">
        <v>1036</v>
      </c>
      <c r="B1038" s="9">
        <v>11161</v>
      </c>
      <c r="C1038" s="9" t="s">
        <v>1049</v>
      </c>
      <c r="D1038" s="9" t="s">
        <v>19</v>
      </c>
      <c r="E1038" s="10" t="str">
        <f>"1201.70"</f>
        <v>1201.70</v>
      </c>
      <c r="F1038" s="11" t="s">
        <v>9</v>
      </c>
      <c r="G1038" s="11">
        <v>2017</v>
      </c>
      <c r="H1038" s="12"/>
      <c r="I1038" s="12"/>
      <c r="J1038" s="12"/>
      <c r="K1038" s="12"/>
      <c r="L1038" s="12"/>
      <c r="M1038" s="12"/>
      <c r="N1038" s="12"/>
      <c r="O1038" s="12"/>
      <c r="P1038" s="12"/>
      <c r="Q1038" s="12"/>
      <c r="R1038" s="12" t="str">
        <f>"1173.70"</f>
        <v>1173.70</v>
      </c>
      <c r="S1038" s="12"/>
      <c r="T1038" s="12"/>
      <c r="U1038" s="12"/>
      <c r="V1038" s="12"/>
      <c r="W1038" s="12"/>
      <c r="X1038" s="12"/>
      <c r="Y1038" s="12"/>
      <c r="Z1038" s="12"/>
      <c r="AA1038" s="12"/>
    </row>
    <row r="1039" spans="1:27">
      <c r="A1039" s="9">
        <v>1037</v>
      </c>
      <c r="B1039" s="9">
        <v>10381</v>
      </c>
      <c r="C1039" s="9" t="s">
        <v>1062</v>
      </c>
      <c r="D1039" s="9" t="s">
        <v>10</v>
      </c>
      <c r="E1039" s="10" t="str">
        <f>"1202.64"</f>
        <v>1202.64</v>
      </c>
      <c r="F1039" s="11" t="s">
        <v>11</v>
      </c>
      <c r="G1039" s="11">
        <v>2017</v>
      </c>
      <c r="H1039" s="12" t="str">
        <f>"1174.64"</f>
        <v>1174.64</v>
      </c>
      <c r="I1039" s="12"/>
      <c r="J1039" s="12"/>
      <c r="K1039" s="12"/>
      <c r="L1039" s="12"/>
      <c r="M1039" s="12"/>
      <c r="N1039" s="12"/>
      <c r="O1039" s="12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</row>
    <row r="1040" spans="1:27">
      <c r="A1040" s="9">
        <v>1038</v>
      </c>
      <c r="B1040" s="9">
        <v>3991</v>
      </c>
      <c r="C1040" s="9" t="s">
        <v>1139</v>
      </c>
      <c r="D1040" s="9" t="s">
        <v>63</v>
      </c>
      <c r="E1040" s="10" t="str">
        <f>"1202.65"</f>
        <v>1202.65</v>
      </c>
      <c r="F1040" s="11" t="s">
        <v>11</v>
      </c>
      <c r="G1040" s="11">
        <v>2017</v>
      </c>
      <c r="H1040" s="12" t="str">
        <f>"1174.65"</f>
        <v>1174.65</v>
      </c>
      <c r="I1040" s="12"/>
      <c r="J1040" s="12"/>
      <c r="K1040" s="12"/>
      <c r="L1040" s="12"/>
      <c r="M1040" s="12"/>
      <c r="N1040" s="12"/>
      <c r="O1040" s="12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</row>
    <row r="1041" spans="1:27">
      <c r="A1041" s="9">
        <v>1039</v>
      </c>
      <c r="B1041" s="9">
        <v>11205</v>
      </c>
      <c r="C1041" s="9" t="s">
        <v>923</v>
      </c>
      <c r="D1041" s="9" t="s">
        <v>19</v>
      </c>
      <c r="E1041" s="10" t="str">
        <f>"1209.02"</f>
        <v>1209.02</v>
      </c>
      <c r="F1041" s="11" t="s">
        <v>9</v>
      </c>
      <c r="G1041" s="11">
        <v>2017</v>
      </c>
      <c r="H1041" s="12"/>
      <c r="I1041" s="12"/>
      <c r="J1041" s="12"/>
      <c r="K1041" s="12"/>
      <c r="L1041" s="12"/>
      <c r="M1041" s="12"/>
      <c r="N1041" s="12"/>
      <c r="O1041" s="12"/>
      <c r="P1041" s="12"/>
      <c r="Q1041" s="12"/>
      <c r="R1041" s="12" t="str">
        <f>"1181.02"</f>
        <v>1181.02</v>
      </c>
      <c r="S1041" s="12"/>
      <c r="T1041" s="12"/>
      <c r="U1041" s="12"/>
      <c r="V1041" s="12"/>
      <c r="W1041" s="12"/>
      <c r="X1041" s="12"/>
      <c r="Y1041" s="12"/>
      <c r="Z1041" s="12"/>
      <c r="AA1041" s="12"/>
    </row>
    <row r="1042" spans="1:27">
      <c r="A1042" s="9">
        <v>1040</v>
      </c>
      <c r="B1042" s="9">
        <v>11136</v>
      </c>
      <c r="C1042" s="9" t="s">
        <v>1112</v>
      </c>
      <c r="D1042" s="9" t="s">
        <v>19</v>
      </c>
      <c r="E1042" s="10" t="str">
        <f>"1216.96"</f>
        <v>1216.96</v>
      </c>
      <c r="F1042" s="11"/>
      <c r="G1042" s="11">
        <v>2017</v>
      </c>
      <c r="H1042" s="12"/>
      <c r="I1042" s="12"/>
      <c r="J1042" s="12"/>
      <c r="K1042" s="12"/>
      <c r="L1042" s="12"/>
      <c r="M1042" s="12"/>
      <c r="N1042" s="12"/>
      <c r="O1042" s="12"/>
      <c r="P1042" s="12"/>
      <c r="Q1042" s="12"/>
      <c r="R1042" s="12" t="str">
        <f>"1846.18"</f>
        <v>1846.18</v>
      </c>
      <c r="S1042" s="12"/>
      <c r="T1042" s="12"/>
      <c r="U1042" s="12"/>
      <c r="V1042" s="12"/>
      <c r="W1042" s="12"/>
      <c r="X1042" s="12"/>
      <c r="Y1042" s="12" t="str">
        <f>"587.74"</f>
        <v>587.74</v>
      </c>
      <c r="Z1042" s="12"/>
      <c r="AA1042" s="12"/>
    </row>
    <row r="1043" spans="1:27">
      <c r="A1043" s="9">
        <v>1041</v>
      </c>
      <c r="B1043" s="9">
        <v>10794</v>
      </c>
      <c r="C1043" s="9" t="s">
        <v>1087</v>
      </c>
      <c r="D1043" s="9" t="s">
        <v>19</v>
      </c>
      <c r="E1043" s="10" t="str">
        <f>"1237.40"</f>
        <v>1237.40</v>
      </c>
      <c r="F1043" s="11" t="s">
        <v>9</v>
      </c>
      <c r="G1043" s="11">
        <v>2017</v>
      </c>
      <c r="H1043" s="12" t="str">
        <f>"1427.96"</f>
        <v>1427.96</v>
      </c>
      <c r="I1043" s="12"/>
      <c r="J1043" s="12"/>
      <c r="K1043" s="12"/>
      <c r="L1043" s="12"/>
      <c r="M1043" s="12"/>
      <c r="N1043" s="12"/>
      <c r="O1043" s="12"/>
      <c r="P1043" s="12"/>
      <c r="Q1043" s="12"/>
      <c r="R1043" s="12" t="str">
        <f>"1209.40"</f>
        <v>1209.40</v>
      </c>
      <c r="S1043" s="12"/>
      <c r="T1043" s="12"/>
      <c r="U1043" s="12"/>
      <c r="V1043" s="12"/>
      <c r="W1043" s="12"/>
      <c r="X1043" s="12"/>
      <c r="Y1043" s="12"/>
      <c r="Z1043" s="12"/>
      <c r="AA1043" s="12"/>
    </row>
    <row r="1044" spans="1:27">
      <c r="A1044" s="9">
        <v>1042</v>
      </c>
      <c r="B1044" s="9">
        <v>10485</v>
      </c>
      <c r="C1044" s="9" t="s">
        <v>791</v>
      </c>
      <c r="D1044" s="9" t="s">
        <v>19</v>
      </c>
      <c r="E1044" s="10" t="str">
        <f>"1254.30"</f>
        <v>1254.30</v>
      </c>
      <c r="F1044" s="11" t="s">
        <v>9</v>
      </c>
      <c r="G1044" s="11">
        <v>2017</v>
      </c>
      <c r="H1044" s="12"/>
      <c r="I1044" s="12"/>
      <c r="J1044" s="12"/>
      <c r="K1044" s="12"/>
      <c r="L1044" s="12"/>
      <c r="M1044" s="12"/>
      <c r="N1044" s="12"/>
      <c r="O1044" s="12"/>
      <c r="P1044" s="12"/>
      <c r="Q1044" s="12"/>
      <c r="R1044" s="12" t="str">
        <f>"1226.30"</f>
        <v>1226.30</v>
      </c>
      <c r="S1044" s="12"/>
      <c r="T1044" s="12"/>
      <c r="U1044" s="12"/>
      <c r="V1044" s="12"/>
      <c r="W1044" s="12"/>
      <c r="X1044" s="12"/>
      <c r="Y1044" s="12"/>
      <c r="Z1044" s="12"/>
      <c r="AA1044" s="12"/>
    </row>
    <row r="1045" spans="1:27">
      <c r="A1045" s="9">
        <v>1042</v>
      </c>
      <c r="B1045" s="9">
        <v>10469</v>
      </c>
      <c r="C1045" s="9" t="s">
        <v>1040</v>
      </c>
      <c r="D1045" s="9" t="s">
        <v>19</v>
      </c>
      <c r="E1045" s="10" t="str">
        <f>"1254.30"</f>
        <v>1254.30</v>
      </c>
      <c r="F1045" s="11" t="s">
        <v>9</v>
      </c>
      <c r="G1045" s="11">
        <v>2017</v>
      </c>
      <c r="H1045" s="12" t="str">
        <f>"1287.54"</f>
        <v>1287.54</v>
      </c>
      <c r="I1045" s="12"/>
      <c r="J1045" s="12"/>
      <c r="K1045" s="12"/>
      <c r="L1045" s="12"/>
      <c r="M1045" s="12"/>
      <c r="N1045" s="12"/>
      <c r="O1045" s="12"/>
      <c r="P1045" s="12"/>
      <c r="Q1045" s="12"/>
      <c r="R1045" s="12" t="str">
        <f>"1226.30"</f>
        <v>1226.30</v>
      </c>
      <c r="S1045" s="12"/>
      <c r="T1045" s="12"/>
      <c r="U1045" s="12"/>
      <c r="V1045" s="12"/>
      <c r="W1045" s="12"/>
      <c r="X1045" s="12"/>
      <c r="Y1045" s="12"/>
      <c r="Z1045" s="12"/>
      <c r="AA1045" s="12"/>
    </row>
    <row r="1046" spans="1:27">
      <c r="A1046" s="9">
        <v>1044</v>
      </c>
      <c r="B1046" s="9">
        <v>10468</v>
      </c>
      <c r="C1046" s="9" t="s">
        <v>1091</v>
      </c>
      <c r="D1046" s="9" t="s">
        <v>19</v>
      </c>
      <c r="E1046" s="10" t="str">
        <f>"1266.10"</f>
        <v>1266.10</v>
      </c>
      <c r="F1046" s="11" t="s">
        <v>9</v>
      </c>
      <c r="G1046" s="11">
        <v>2017</v>
      </c>
      <c r="H1046" s="12" t="str">
        <f>"1589.86"</f>
        <v>1589.86</v>
      </c>
      <c r="I1046" s="12"/>
      <c r="J1046" s="12"/>
      <c r="K1046" s="12"/>
      <c r="L1046" s="12"/>
      <c r="M1046" s="12"/>
      <c r="N1046" s="12"/>
      <c r="O1046" s="12"/>
      <c r="P1046" s="12"/>
      <c r="Q1046" s="12"/>
      <c r="R1046" s="12" t="str">
        <f>"1238.10"</f>
        <v>1238.10</v>
      </c>
      <c r="S1046" s="12"/>
      <c r="T1046" s="12"/>
      <c r="U1046" s="12"/>
      <c r="V1046" s="12"/>
      <c r="W1046" s="12"/>
      <c r="X1046" s="12"/>
      <c r="Y1046" s="12"/>
      <c r="Z1046" s="12"/>
      <c r="AA1046" s="12"/>
    </row>
    <row r="1047" spans="1:27">
      <c r="A1047" s="9">
        <v>1045</v>
      </c>
      <c r="B1047" s="9">
        <v>11167</v>
      </c>
      <c r="C1047" s="9" t="s">
        <v>1105</v>
      </c>
      <c r="D1047" s="9" t="s">
        <v>19</v>
      </c>
      <c r="E1047" s="10" t="str">
        <f>"1269.92"</f>
        <v>1269.92</v>
      </c>
      <c r="F1047" s="11" t="s">
        <v>9</v>
      </c>
      <c r="G1047" s="11">
        <v>2017</v>
      </c>
      <c r="H1047" s="12"/>
      <c r="I1047" s="12"/>
      <c r="J1047" s="12"/>
      <c r="K1047" s="12"/>
      <c r="L1047" s="12"/>
      <c r="M1047" s="12"/>
      <c r="N1047" s="12"/>
      <c r="O1047" s="12"/>
      <c r="P1047" s="12"/>
      <c r="Q1047" s="12"/>
      <c r="R1047" s="12" t="str">
        <f>"1241.92"</f>
        <v>1241.92</v>
      </c>
      <c r="S1047" s="12"/>
      <c r="T1047" s="12"/>
      <c r="U1047" s="12"/>
      <c r="V1047" s="12"/>
      <c r="W1047" s="12"/>
      <c r="X1047" s="12"/>
      <c r="Y1047" s="12"/>
      <c r="Z1047" s="12"/>
      <c r="AA1047" s="12"/>
    </row>
    <row r="1048" spans="1:27">
      <c r="A1048" s="9">
        <v>1046</v>
      </c>
      <c r="B1048" s="9">
        <v>11201</v>
      </c>
      <c r="C1048" s="9" t="s">
        <v>1060</v>
      </c>
      <c r="D1048" s="9" t="s">
        <v>19</v>
      </c>
      <c r="E1048" s="10" t="str">
        <f>"1292.24"</f>
        <v>1292.24</v>
      </c>
      <c r="F1048" s="11" t="s">
        <v>9</v>
      </c>
      <c r="G1048" s="11">
        <v>2017</v>
      </c>
      <c r="H1048" s="12"/>
      <c r="I1048" s="12"/>
      <c r="J1048" s="12"/>
      <c r="K1048" s="12"/>
      <c r="L1048" s="12"/>
      <c r="M1048" s="12"/>
      <c r="N1048" s="12"/>
      <c r="O1048" s="12"/>
      <c r="P1048" s="12"/>
      <c r="Q1048" s="12"/>
      <c r="R1048" s="12" t="str">
        <f>"1264.24"</f>
        <v>1264.24</v>
      </c>
      <c r="S1048" s="12"/>
      <c r="T1048" s="12"/>
      <c r="U1048" s="12"/>
      <c r="V1048" s="12"/>
      <c r="W1048" s="12"/>
      <c r="X1048" s="12"/>
      <c r="Y1048" s="12"/>
      <c r="Z1048" s="12"/>
      <c r="AA1048" s="12"/>
    </row>
    <row r="1049" spans="1:27">
      <c r="A1049" s="9">
        <v>1047</v>
      </c>
      <c r="B1049" s="9">
        <v>11138</v>
      </c>
      <c r="C1049" s="9" t="s">
        <v>1005</v>
      </c>
      <c r="D1049" s="9" t="s">
        <v>19</v>
      </c>
      <c r="E1049" s="10" t="str">
        <f>"1297.34"</f>
        <v>1297.34</v>
      </c>
      <c r="F1049" s="11" t="s">
        <v>9</v>
      </c>
      <c r="G1049" s="11">
        <v>2017</v>
      </c>
      <c r="H1049" s="12"/>
      <c r="I1049" s="12"/>
      <c r="J1049" s="12"/>
      <c r="K1049" s="12"/>
      <c r="L1049" s="12"/>
      <c r="M1049" s="12"/>
      <c r="N1049" s="12"/>
      <c r="O1049" s="12"/>
      <c r="P1049" s="12"/>
      <c r="Q1049" s="12"/>
      <c r="R1049" s="12" t="str">
        <f>"1269.34"</f>
        <v>1269.34</v>
      </c>
      <c r="S1049" s="12"/>
      <c r="T1049" s="12"/>
      <c r="U1049" s="12"/>
      <c r="V1049" s="12"/>
      <c r="W1049" s="12"/>
      <c r="X1049" s="12"/>
      <c r="Y1049" s="12"/>
      <c r="Z1049" s="12"/>
      <c r="AA1049" s="12"/>
    </row>
    <row r="1050" spans="1:27">
      <c r="A1050" s="9">
        <v>1048</v>
      </c>
      <c r="B1050" s="9">
        <v>10795</v>
      </c>
      <c r="C1050" s="9" t="s">
        <v>1026</v>
      </c>
      <c r="D1050" s="9" t="s">
        <v>19</v>
      </c>
      <c r="E1050" s="10" t="str">
        <f>"1332.42"</f>
        <v>1332.42</v>
      </c>
      <c r="F1050" s="11" t="s">
        <v>9</v>
      </c>
      <c r="G1050" s="11">
        <v>2017</v>
      </c>
      <c r="H1050" s="12" t="str">
        <f>"1691.72"</f>
        <v>1691.72</v>
      </c>
      <c r="I1050" s="12"/>
      <c r="J1050" s="12"/>
      <c r="K1050" s="12"/>
      <c r="L1050" s="12"/>
      <c r="M1050" s="12"/>
      <c r="N1050" s="12"/>
      <c r="O1050" s="12"/>
      <c r="P1050" s="12"/>
      <c r="Q1050" s="12"/>
      <c r="R1050" s="12" t="str">
        <f>"1304.42"</f>
        <v>1304.42</v>
      </c>
      <c r="S1050" s="12"/>
      <c r="T1050" s="12"/>
      <c r="U1050" s="12"/>
      <c r="V1050" s="12"/>
      <c r="W1050" s="12"/>
      <c r="X1050" s="12"/>
      <c r="Y1050" s="12"/>
      <c r="Z1050" s="12"/>
      <c r="AA1050" s="12"/>
    </row>
    <row r="1051" spans="1:27">
      <c r="A1051" s="9">
        <v>1049</v>
      </c>
      <c r="B1051" s="9">
        <v>11190</v>
      </c>
      <c r="C1051" s="9" t="s">
        <v>1118</v>
      </c>
      <c r="D1051" s="9" t="s">
        <v>19</v>
      </c>
      <c r="E1051" s="10" t="str">
        <f>"1364.32"</f>
        <v>1364.32</v>
      </c>
      <c r="F1051" s="11" t="s">
        <v>9</v>
      </c>
      <c r="G1051" s="11">
        <v>2017</v>
      </c>
      <c r="H1051" s="12"/>
      <c r="I1051" s="12"/>
      <c r="J1051" s="12"/>
      <c r="K1051" s="12"/>
      <c r="L1051" s="12"/>
      <c r="M1051" s="12"/>
      <c r="N1051" s="12"/>
      <c r="O1051" s="12"/>
      <c r="P1051" s="12"/>
      <c r="Q1051" s="12"/>
      <c r="R1051" s="12" t="str">
        <f>"1336.32"</f>
        <v>1336.32</v>
      </c>
      <c r="S1051" s="12"/>
      <c r="T1051" s="12"/>
      <c r="U1051" s="12"/>
      <c r="V1051" s="12"/>
      <c r="W1051" s="12"/>
      <c r="X1051" s="12"/>
      <c r="Y1051" s="12"/>
      <c r="Z1051" s="12"/>
      <c r="AA1051" s="12"/>
    </row>
    <row r="1052" spans="1:27">
      <c r="A1052" s="9">
        <v>1050</v>
      </c>
      <c r="B1052" s="9">
        <v>11168</v>
      </c>
      <c r="C1052" s="9" t="s">
        <v>1096</v>
      </c>
      <c r="D1052" s="9" t="s">
        <v>19</v>
      </c>
      <c r="E1052" s="10" t="str">
        <f>"1387.58"</f>
        <v>1387.58</v>
      </c>
      <c r="F1052" s="11" t="s">
        <v>9</v>
      </c>
      <c r="G1052" s="11">
        <v>2017</v>
      </c>
      <c r="H1052" s="12"/>
      <c r="I1052" s="12"/>
      <c r="J1052" s="12"/>
      <c r="K1052" s="12"/>
      <c r="L1052" s="12"/>
      <c r="M1052" s="12"/>
      <c r="N1052" s="12"/>
      <c r="O1052" s="12"/>
      <c r="P1052" s="12"/>
      <c r="Q1052" s="12"/>
      <c r="R1052" s="12" t="str">
        <f>"1359.58"</f>
        <v>1359.58</v>
      </c>
      <c r="S1052" s="12"/>
      <c r="T1052" s="12"/>
      <c r="U1052" s="12"/>
      <c r="V1052" s="12"/>
      <c r="W1052" s="12"/>
      <c r="X1052" s="12"/>
      <c r="Y1052" s="12"/>
      <c r="Z1052" s="12"/>
      <c r="AA1052" s="12"/>
    </row>
    <row r="1053" spans="1:27">
      <c r="A1053" s="9">
        <v>1051</v>
      </c>
      <c r="B1053" s="9">
        <v>11169</v>
      </c>
      <c r="C1053" s="9" t="s">
        <v>1126</v>
      </c>
      <c r="D1053" s="9" t="s">
        <v>19</v>
      </c>
      <c r="E1053" s="10" t="str">
        <f>"1388.54"</f>
        <v>1388.54</v>
      </c>
      <c r="F1053" s="11" t="s">
        <v>9</v>
      </c>
      <c r="G1053" s="11">
        <v>2017</v>
      </c>
      <c r="H1053" s="12"/>
      <c r="I1053" s="12"/>
      <c r="J1053" s="12"/>
      <c r="K1053" s="12"/>
      <c r="L1053" s="12"/>
      <c r="M1053" s="12"/>
      <c r="N1053" s="12"/>
      <c r="O1053" s="12"/>
      <c r="P1053" s="12"/>
      <c r="Q1053" s="12"/>
      <c r="R1053" s="12" t="str">
        <f>"1360.54"</f>
        <v>1360.54</v>
      </c>
      <c r="S1053" s="12"/>
      <c r="T1053" s="12"/>
      <c r="U1053" s="12"/>
      <c r="V1053" s="12"/>
      <c r="W1053" s="12"/>
      <c r="X1053" s="12"/>
      <c r="Y1053" s="12"/>
      <c r="Z1053" s="12"/>
      <c r="AA1053" s="12"/>
    </row>
    <row r="1054" spans="1:27">
      <c r="A1054" s="9">
        <v>1052</v>
      </c>
      <c r="B1054" s="9">
        <v>10796</v>
      </c>
      <c r="C1054" s="9" t="s">
        <v>1214</v>
      </c>
      <c r="D1054" s="9" t="s">
        <v>19</v>
      </c>
      <c r="E1054" s="10" t="str">
        <f>"1413.56"</f>
        <v>1413.56</v>
      </c>
      <c r="F1054" s="11" t="s">
        <v>11</v>
      </c>
      <c r="G1054" s="11">
        <v>2017</v>
      </c>
      <c r="H1054" s="12" t="str">
        <f>"1385.56"</f>
        <v>1385.56</v>
      </c>
      <c r="I1054" s="12"/>
      <c r="J1054" s="12"/>
      <c r="K1054" s="12"/>
      <c r="L1054" s="12"/>
      <c r="M1054" s="12"/>
      <c r="N1054" s="12"/>
      <c r="O1054" s="12"/>
      <c r="P1054" s="12"/>
      <c r="Q1054" s="12"/>
      <c r="R1054" s="12"/>
      <c r="S1054" s="12"/>
      <c r="T1054" s="12"/>
      <c r="U1054" s="12"/>
      <c r="V1054" s="12"/>
      <c r="W1054" s="12"/>
      <c r="X1054" s="12"/>
      <c r="Y1054" s="12"/>
      <c r="Z1054" s="12"/>
      <c r="AA1054" s="12"/>
    </row>
    <row r="1055" spans="1:27">
      <c r="A1055" s="9">
        <v>1053</v>
      </c>
      <c r="B1055" s="9">
        <v>11184</v>
      </c>
      <c r="C1055" s="9" t="s">
        <v>1129</v>
      </c>
      <c r="D1055" s="9" t="s">
        <v>19</v>
      </c>
      <c r="E1055" s="10" t="str">
        <f>"1435.16"</f>
        <v>1435.16</v>
      </c>
      <c r="F1055" s="11"/>
      <c r="G1055" s="11">
        <v>2017</v>
      </c>
      <c r="H1055" s="12"/>
      <c r="I1055" s="12"/>
      <c r="J1055" s="12"/>
      <c r="K1055" s="12"/>
      <c r="L1055" s="12"/>
      <c r="M1055" s="12"/>
      <c r="N1055" s="12"/>
      <c r="O1055" s="12"/>
      <c r="P1055" s="12"/>
      <c r="Q1055" s="12"/>
      <c r="R1055" s="12" t="str">
        <f>"1983.92"</f>
        <v>1983.92</v>
      </c>
      <c r="S1055" s="12"/>
      <c r="T1055" s="12"/>
      <c r="U1055" s="12"/>
      <c r="V1055" s="12"/>
      <c r="W1055" s="12"/>
      <c r="X1055" s="12"/>
      <c r="Y1055" s="12" t="str">
        <f>"886.40"</f>
        <v>886.40</v>
      </c>
      <c r="Z1055" s="12"/>
      <c r="AA1055" s="12"/>
    </row>
    <row r="1056" spans="1:27">
      <c r="A1056" s="9">
        <v>1054</v>
      </c>
      <c r="B1056" s="9">
        <v>11134</v>
      </c>
      <c r="C1056" s="9" t="s">
        <v>1092</v>
      </c>
      <c r="D1056" s="9" t="s">
        <v>19</v>
      </c>
      <c r="E1056" s="10" t="str">
        <f>"1472.08"</f>
        <v>1472.08</v>
      </c>
      <c r="F1056" s="11" t="s">
        <v>9</v>
      </c>
      <c r="G1056" s="11">
        <v>2017</v>
      </c>
      <c r="H1056" s="12"/>
      <c r="I1056" s="12"/>
      <c r="J1056" s="12"/>
      <c r="K1056" s="12"/>
      <c r="L1056" s="12"/>
      <c r="M1056" s="12"/>
      <c r="N1056" s="12"/>
      <c r="O1056" s="12"/>
      <c r="P1056" s="12"/>
      <c r="Q1056" s="12"/>
      <c r="R1056" s="12" t="str">
        <f>"1444.08"</f>
        <v>1444.08</v>
      </c>
      <c r="S1056" s="12"/>
      <c r="T1056" s="12"/>
      <c r="U1056" s="12"/>
      <c r="V1056" s="12"/>
      <c r="W1056" s="12"/>
      <c r="X1056" s="12"/>
      <c r="Y1056" s="12"/>
      <c r="Z1056" s="12"/>
      <c r="AA1056" s="12"/>
    </row>
    <row r="1057" spans="1:27">
      <c r="A1057" s="9">
        <v>1055</v>
      </c>
      <c r="B1057" s="9">
        <v>10734</v>
      </c>
      <c r="C1057" s="9" t="s">
        <v>1135</v>
      </c>
      <c r="D1057" s="9" t="s">
        <v>19</v>
      </c>
      <c r="E1057" s="10" t="str">
        <f>"1480.74"</f>
        <v>1480.74</v>
      </c>
      <c r="F1057" s="11" t="s">
        <v>11</v>
      </c>
      <c r="G1057" s="11">
        <v>2017</v>
      </c>
      <c r="H1057" s="12" t="str">
        <f>"1452.74"</f>
        <v>1452.74</v>
      </c>
      <c r="I1057" s="12"/>
      <c r="J1057" s="12"/>
      <c r="K1057" s="12"/>
      <c r="L1057" s="12"/>
      <c r="M1057" s="12"/>
      <c r="N1057" s="12"/>
      <c r="O1057" s="12"/>
      <c r="P1057" s="12"/>
      <c r="Q1057" s="12"/>
      <c r="R1057" s="12"/>
      <c r="S1057" s="12"/>
      <c r="T1057" s="12"/>
      <c r="U1057" s="12"/>
      <c r="V1057" s="12"/>
      <c r="W1057" s="12"/>
      <c r="X1057" s="12"/>
      <c r="Y1057" s="12"/>
      <c r="Z1057" s="12"/>
      <c r="AA1057" s="12"/>
    </row>
    <row r="1058" spans="1:27">
      <c r="A1058" s="9">
        <v>1056</v>
      </c>
      <c r="B1058" s="9">
        <v>11208</v>
      </c>
      <c r="C1058" s="9" t="s">
        <v>1120</v>
      </c>
      <c r="D1058" s="9" t="s">
        <v>19</v>
      </c>
      <c r="E1058" s="10" t="str">
        <f>"1485.48"</f>
        <v>1485.48</v>
      </c>
      <c r="F1058" s="11" t="s">
        <v>9</v>
      </c>
      <c r="G1058" s="11">
        <v>2017</v>
      </c>
      <c r="H1058" s="12"/>
      <c r="I1058" s="12"/>
      <c r="J1058" s="12"/>
      <c r="K1058" s="12"/>
      <c r="L1058" s="12"/>
      <c r="M1058" s="12"/>
      <c r="N1058" s="12"/>
      <c r="O1058" s="12"/>
      <c r="P1058" s="12"/>
      <c r="Q1058" s="12"/>
      <c r="R1058" s="12" t="str">
        <f>"1457.48"</f>
        <v>1457.48</v>
      </c>
      <c r="S1058" s="12"/>
      <c r="T1058" s="12"/>
      <c r="U1058" s="12"/>
      <c r="V1058" s="12"/>
      <c r="W1058" s="12"/>
      <c r="X1058" s="12"/>
      <c r="Y1058" s="12"/>
      <c r="Z1058" s="12"/>
      <c r="AA1058" s="12"/>
    </row>
    <row r="1059" spans="1:27">
      <c r="A1059" s="9">
        <v>1057</v>
      </c>
      <c r="B1059" s="9">
        <v>10200</v>
      </c>
      <c r="C1059" s="9" t="s">
        <v>1153</v>
      </c>
      <c r="D1059" s="9" t="s">
        <v>10</v>
      </c>
      <c r="E1059" s="10" t="str">
        <f>"1501.66"</f>
        <v>1501.66</v>
      </c>
      <c r="F1059" s="11" t="s">
        <v>11</v>
      </c>
      <c r="G1059" s="11">
        <v>2017</v>
      </c>
      <c r="H1059" s="12" t="str">
        <f>"1473.66"</f>
        <v>1473.66</v>
      </c>
      <c r="I1059" s="12"/>
      <c r="J1059" s="12"/>
      <c r="K1059" s="12"/>
      <c r="L1059" s="12"/>
      <c r="M1059" s="12"/>
      <c r="N1059" s="12"/>
      <c r="O1059" s="12"/>
      <c r="P1059" s="12"/>
      <c r="Q1059" s="12"/>
      <c r="R1059" s="12"/>
      <c r="S1059" s="12"/>
      <c r="T1059" s="12"/>
      <c r="U1059" s="12"/>
      <c r="V1059" s="12"/>
      <c r="W1059" s="12"/>
      <c r="X1059" s="12"/>
      <c r="Y1059" s="12"/>
      <c r="Z1059" s="12"/>
      <c r="AA1059" s="12"/>
    </row>
    <row r="1060" spans="1:27">
      <c r="A1060" s="9">
        <v>1058</v>
      </c>
      <c r="B1060" s="9">
        <v>11176</v>
      </c>
      <c r="C1060" s="9" t="s">
        <v>1079</v>
      </c>
      <c r="D1060" s="9" t="s">
        <v>19</v>
      </c>
      <c r="E1060" s="10" t="str">
        <f>"1512.90"</f>
        <v>1512.90</v>
      </c>
      <c r="F1060" s="11" t="s">
        <v>9</v>
      </c>
      <c r="G1060" s="11">
        <v>2017</v>
      </c>
      <c r="H1060" s="12"/>
      <c r="I1060" s="12"/>
      <c r="J1060" s="12"/>
      <c r="K1060" s="12"/>
      <c r="L1060" s="12"/>
      <c r="M1060" s="12"/>
      <c r="N1060" s="12"/>
      <c r="O1060" s="12"/>
      <c r="P1060" s="12"/>
      <c r="Q1060" s="12"/>
      <c r="R1060" s="12" t="str">
        <f>"1484.90"</f>
        <v>1484.90</v>
      </c>
      <c r="S1060" s="12"/>
      <c r="T1060" s="12"/>
      <c r="U1060" s="12"/>
      <c r="V1060" s="12"/>
      <c r="W1060" s="12"/>
      <c r="X1060" s="12"/>
      <c r="Y1060" s="12"/>
      <c r="Z1060" s="12"/>
      <c r="AA1060" s="12"/>
    </row>
    <row r="1061" spans="1:27">
      <c r="A1061" s="9">
        <v>1059</v>
      </c>
      <c r="B1061" s="9">
        <v>11137</v>
      </c>
      <c r="C1061" s="9" t="s">
        <v>1102</v>
      </c>
      <c r="D1061" s="9" t="s">
        <v>19</v>
      </c>
      <c r="E1061" s="10" t="str">
        <f>"1559.78"</f>
        <v>1559.78</v>
      </c>
      <c r="F1061" s="11" t="s">
        <v>9</v>
      </c>
      <c r="G1061" s="11">
        <v>2017</v>
      </c>
      <c r="H1061" s="12"/>
      <c r="I1061" s="12"/>
      <c r="J1061" s="12"/>
      <c r="K1061" s="12"/>
      <c r="L1061" s="12"/>
      <c r="M1061" s="12"/>
      <c r="N1061" s="12"/>
      <c r="O1061" s="12"/>
      <c r="P1061" s="12"/>
      <c r="Q1061" s="12"/>
      <c r="R1061" s="12" t="str">
        <f>"1531.78"</f>
        <v>1531.78</v>
      </c>
      <c r="S1061" s="12"/>
      <c r="T1061" s="12"/>
      <c r="U1061" s="12"/>
      <c r="V1061" s="12"/>
      <c r="W1061" s="12"/>
      <c r="X1061" s="12"/>
      <c r="Y1061" s="12"/>
      <c r="Z1061" s="12"/>
      <c r="AA1061" s="12"/>
    </row>
    <row r="1062" spans="1:27">
      <c r="A1062" s="9">
        <v>1060</v>
      </c>
      <c r="B1062" s="9">
        <v>11202</v>
      </c>
      <c r="C1062" s="9" t="s">
        <v>1114</v>
      </c>
      <c r="D1062" s="9" t="s">
        <v>19</v>
      </c>
      <c r="E1062" s="10" t="str">
        <f>"1567.42"</f>
        <v>1567.42</v>
      </c>
      <c r="F1062" s="11" t="s">
        <v>9</v>
      </c>
      <c r="G1062" s="11">
        <v>2017</v>
      </c>
      <c r="H1062" s="12"/>
      <c r="I1062" s="12"/>
      <c r="J1062" s="12"/>
      <c r="K1062" s="12"/>
      <c r="L1062" s="12"/>
      <c r="M1062" s="12"/>
      <c r="N1062" s="12"/>
      <c r="O1062" s="12"/>
      <c r="P1062" s="12"/>
      <c r="Q1062" s="12"/>
      <c r="R1062" s="12" t="str">
        <f>"1539.42"</f>
        <v>1539.42</v>
      </c>
      <c r="S1062" s="12"/>
      <c r="T1062" s="12"/>
      <c r="U1062" s="12"/>
      <c r="V1062" s="12"/>
      <c r="W1062" s="12"/>
      <c r="X1062" s="12"/>
      <c r="Y1062" s="12"/>
      <c r="Z1062" s="12"/>
      <c r="AA1062" s="12"/>
    </row>
    <row r="1063" spans="1:27">
      <c r="A1063" s="9">
        <v>1061</v>
      </c>
      <c r="B1063" s="9">
        <v>10820</v>
      </c>
      <c r="C1063" s="9" t="s">
        <v>1149</v>
      </c>
      <c r="D1063" s="9" t="s">
        <v>10</v>
      </c>
      <c r="E1063" s="10" t="str">
        <f>"1610.70"</f>
        <v>1610.70</v>
      </c>
      <c r="F1063" s="11" t="s">
        <v>11</v>
      </c>
      <c r="G1063" s="11">
        <v>2017</v>
      </c>
      <c r="H1063" s="12" t="str">
        <f>"1582.70"</f>
        <v>1582.70</v>
      </c>
      <c r="I1063" s="12"/>
      <c r="J1063" s="12"/>
      <c r="K1063" s="12"/>
      <c r="L1063" s="12"/>
      <c r="M1063" s="12"/>
      <c r="N1063" s="12"/>
      <c r="O1063" s="12"/>
      <c r="P1063" s="12"/>
      <c r="Q1063" s="12"/>
      <c r="R1063" s="12"/>
      <c r="S1063" s="12"/>
      <c r="T1063" s="12"/>
      <c r="U1063" s="12"/>
      <c r="V1063" s="12"/>
      <c r="W1063" s="12"/>
      <c r="X1063" s="12"/>
      <c r="Y1063" s="12"/>
      <c r="Z1063" s="12"/>
      <c r="AA1063" s="12"/>
    </row>
    <row r="1064" spans="1:27">
      <c r="A1064" s="9">
        <v>1062</v>
      </c>
      <c r="B1064" s="9">
        <v>11173</v>
      </c>
      <c r="C1064" s="9" t="s">
        <v>1132</v>
      </c>
      <c r="D1064" s="9" t="s">
        <v>19</v>
      </c>
      <c r="E1064" s="10" t="str">
        <f>"1625.77"</f>
        <v>1625.77</v>
      </c>
      <c r="F1064" s="11"/>
      <c r="G1064" s="11">
        <v>2017</v>
      </c>
      <c r="H1064" s="12"/>
      <c r="I1064" s="12"/>
      <c r="J1064" s="12"/>
      <c r="K1064" s="12"/>
      <c r="L1064" s="12"/>
      <c r="M1064" s="12"/>
      <c r="N1064" s="12"/>
      <c r="O1064" s="12"/>
      <c r="P1064" s="12"/>
      <c r="Q1064" s="12"/>
      <c r="R1064" s="12" t="str">
        <f>"2394.00"</f>
        <v>2394.00</v>
      </c>
      <c r="S1064" s="12"/>
      <c r="T1064" s="12"/>
      <c r="U1064" s="12"/>
      <c r="V1064" s="12" t="str">
        <f>"857.54"</f>
        <v>857.54</v>
      </c>
      <c r="W1064" s="12"/>
      <c r="X1064" s="12"/>
      <c r="Y1064" s="12"/>
      <c r="Z1064" s="12"/>
      <c r="AA1064" s="12"/>
    </row>
    <row r="1065" spans="1:27">
      <c r="A1065" s="9">
        <v>1063</v>
      </c>
      <c r="B1065" s="9">
        <v>11157</v>
      </c>
      <c r="C1065" s="9" t="s">
        <v>1124</v>
      </c>
      <c r="D1065" s="9" t="s">
        <v>19</v>
      </c>
      <c r="E1065" s="10" t="str">
        <f>"1633.44"</f>
        <v>1633.44</v>
      </c>
      <c r="F1065" s="11" t="s">
        <v>9</v>
      </c>
      <c r="G1065" s="11">
        <v>2017</v>
      </c>
      <c r="H1065" s="12"/>
      <c r="I1065" s="12"/>
      <c r="J1065" s="12"/>
      <c r="K1065" s="12"/>
      <c r="L1065" s="12"/>
      <c r="M1065" s="12"/>
      <c r="N1065" s="12"/>
      <c r="O1065" s="12"/>
      <c r="P1065" s="12"/>
      <c r="Q1065" s="12"/>
      <c r="R1065" s="12" t="str">
        <f>"1605.44"</f>
        <v>1605.44</v>
      </c>
      <c r="S1065" s="12"/>
      <c r="T1065" s="12"/>
      <c r="U1065" s="12"/>
      <c r="V1065" s="12"/>
      <c r="W1065" s="12"/>
      <c r="X1065" s="12"/>
      <c r="Y1065" s="12"/>
      <c r="Z1065" s="12"/>
      <c r="AA1065" s="12"/>
    </row>
    <row r="1066" spans="1:27">
      <c r="A1066" s="9">
        <v>1064</v>
      </c>
      <c r="B1066" s="9">
        <v>11142</v>
      </c>
      <c r="C1066" s="9" t="s">
        <v>1084</v>
      </c>
      <c r="D1066" s="9" t="s">
        <v>19</v>
      </c>
      <c r="E1066" s="10" t="str">
        <f>"1705.98"</f>
        <v>1705.98</v>
      </c>
      <c r="F1066" s="11"/>
      <c r="G1066" s="11">
        <v>2017</v>
      </c>
      <c r="H1066" s="12"/>
      <c r="I1066" s="12"/>
      <c r="J1066" s="12"/>
      <c r="K1066" s="12"/>
      <c r="L1066" s="12"/>
      <c r="M1066" s="12"/>
      <c r="N1066" s="12"/>
      <c r="O1066" s="12" t="str">
        <f>"763.84"</f>
        <v>763.84</v>
      </c>
      <c r="P1066" s="12"/>
      <c r="Q1066" s="12"/>
      <c r="R1066" s="12" t="str">
        <f>"2648.12"</f>
        <v>2648.12</v>
      </c>
      <c r="S1066" s="12"/>
      <c r="T1066" s="12"/>
      <c r="U1066" s="12"/>
      <c r="V1066" s="12"/>
      <c r="W1066" s="12"/>
      <c r="X1066" s="12"/>
      <c r="Y1066" s="12"/>
      <c r="Z1066" s="12"/>
      <c r="AA1066" s="12"/>
    </row>
    <row r="1067" spans="1:27">
      <c r="A1067" s="9">
        <v>1065</v>
      </c>
      <c r="B1067" s="9">
        <v>11175</v>
      </c>
      <c r="C1067" s="9" t="s">
        <v>973</v>
      </c>
      <c r="D1067" s="9" t="s">
        <v>19</v>
      </c>
      <c r="E1067" s="10" t="str">
        <f>"1716.34"</f>
        <v>1716.34</v>
      </c>
      <c r="F1067" s="11" t="s">
        <v>9</v>
      </c>
      <c r="G1067" s="11">
        <v>2017</v>
      </c>
      <c r="H1067" s="12"/>
      <c r="I1067" s="12"/>
      <c r="J1067" s="12"/>
      <c r="K1067" s="12"/>
      <c r="L1067" s="12"/>
      <c r="M1067" s="12"/>
      <c r="N1067" s="12"/>
      <c r="O1067" s="12"/>
      <c r="P1067" s="12"/>
      <c r="Q1067" s="12"/>
      <c r="R1067" s="12" t="str">
        <f>"1688.34"</f>
        <v>1688.34</v>
      </c>
      <c r="S1067" s="12"/>
      <c r="T1067" s="12"/>
      <c r="U1067" s="12"/>
      <c r="V1067" s="12"/>
      <c r="W1067" s="12"/>
      <c r="X1067" s="12"/>
      <c r="Y1067" s="12"/>
      <c r="Z1067" s="12"/>
      <c r="AA1067" s="12"/>
    </row>
    <row r="1068" spans="1:27">
      <c r="A1068" s="9">
        <v>1066</v>
      </c>
      <c r="B1068" s="9">
        <v>11189</v>
      </c>
      <c r="C1068" s="9" t="s">
        <v>1133</v>
      </c>
      <c r="D1068" s="9" t="s">
        <v>19</v>
      </c>
      <c r="E1068" s="10" t="str">
        <f>"1746.64"</f>
        <v>1746.64</v>
      </c>
      <c r="F1068" s="11" t="s">
        <v>9</v>
      </c>
      <c r="G1068" s="11">
        <v>2017</v>
      </c>
      <c r="H1068" s="12"/>
      <c r="I1068" s="12"/>
      <c r="J1068" s="12"/>
      <c r="K1068" s="12"/>
      <c r="L1068" s="12"/>
      <c r="M1068" s="12"/>
      <c r="N1068" s="12"/>
      <c r="O1068" s="12"/>
      <c r="P1068" s="12"/>
      <c r="Q1068" s="12"/>
      <c r="R1068" s="12" t="str">
        <f>"1718.64"</f>
        <v>1718.64</v>
      </c>
      <c r="S1068" s="12"/>
      <c r="T1068" s="12"/>
      <c r="U1068" s="12"/>
      <c r="V1068" s="12"/>
      <c r="W1068" s="12"/>
      <c r="X1068" s="12"/>
      <c r="Y1068" s="12"/>
      <c r="Z1068" s="12"/>
      <c r="AA1068" s="12"/>
    </row>
    <row r="1069" spans="1:27">
      <c r="A1069" s="9">
        <v>1067</v>
      </c>
      <c r="B1069" s="9">
        <v>11180</v>
      </c>
      <c r="C1069" s="9" t="s">
        <v>1136</v>
      </c>
      <c r="D1069" s="9" t="s">
        <v>19</v>
      </c>
      <c r="E1069" s="10" t="str">
        <f>"1784.26"</f>
        <v>1784.26</v>
      </c>
      <c r="F1069" s="11" t="s">
        <v>9</v>
      </c>
      <c r="G1069" s="11">
        <v>2017</v>
      </c>
      <c r="H1069" s="12"/>
      <c r="I1069" s="12"/>
      <c r="J1069" s="12"/>
      <c r="K1069" s="12"/>
      <c r="L1069" s="12"/>
      <c r="M1069" s="12"/>
      <c r="N1069" s="12"/>
      <c r="O1069" s="12"/>
      <c r="P1069" s="12"/>
      <c r="Q1069" s="12"/>
      <c r="R1069" s="12" t="str">
        <f>"1756.26"</f>
        <v>1756.26</v>
      </c>
      <c r="S1069" s="12"/>
      <c r="T1069" s="12"/>
      <c r="U1069" s="12"/>
      <c r="V1069" s="12"/>
      <c r="W1069" s="12"/>
      <c r="X1069" s="12"/>
      <c r="Y1069" s="12"/>
      <c r="Z1069" s="12"/>
      <c r="AA1069" s="12"/>
    </row>
    <row r="1070" spans="1:27">
      <c r="A1070" s="9">
        <v>1068</v>
      </c>
      <c r="B1070" s="9">
        <v>11139</v>
      </c>
      <c r="C1070" s="9" t="s">
        <v>1064</v>
      </c>
      <c r="D1070" s="9" t="s">
        <v>19</v>
      </c>
      <c r="E1070" s="10" t="str">
        <f>"1853.14"</f>
        <v>1853.14</v>
      </c>
      <c r="F1070" s="11" t="s">
        <v>9</v>
      </c>
      <c r="G1070" s="11">
        <v>2017</v>
      </c>
      <c r="H1070" s="12"/>
      <c r="I1070" s="12"/>
      <c r="J1070" s="12"/>
      <c r="K1070" s="12"/>
      <c r="L1070" s="12"/>
      <c r="M1070" s="12"/>
      <c r="N1070" s="12"/>
      <c r="O1070" s="12"/>
      <c r="P1070" s="12"/>
      <c r="Q1070" s="12"/>
      <c r="R1070" s="12" t="str">
        <f>"1825.14"</f>
        <v>1825.14</v>
      </c>
      <c r="S1070" s="12"/>
      <c r="T1070" s="12"/>
      <c r="U1070" s="12"/>
      <c r="V1070" s="12"/>
      <c r="W1070" s="12"/>
      <c r="X1070" s="12"/>
      <c r="Y1070" s="12"/>
      <c r="Z1070" s="12"/>
      <c r="AA1070" s="12"/>
    </row>
    <row r="1071" spans="1:27">
      <c r="A1071" s="9">
        <v>1069</v>
      </c>
      <c r="B1071" s="9">
        <v>11160</v>
      </c>
      <c r="C1071" s="9" t="s">
        <v>1113</v>
      </c>
      <c r="D1071" s="9" t="s">
        <v>19</v>
      </c>
      <c r="E1071" s="10" t="str">
        <f>"1856.00"</f>
        <v>1856.00</v>
      </c>
      <c r="F1071" s="11" t="s">
        <v>9</v>
      </c>
      <c r="G1071" s="11">
        <v>2017</v>
      </c>
      <c r="H1071" s="12"/>
      <c r="I1071" s="12"/>
      <c r="J1071" s="12"/>
      <c r="K1071" s="12"/>
      <c r="L1071" s="12"/>
      <c r="M1071" s="12"/>
      <c r="N1071" s="12"/>
      <c r="O1071" s="12"/>
      <c r="P1071" s="12"/>
      <c r="Q1071" s="12"/>
      <c r="R1071" s="12" t="str">
        <f>"1828.00"</f>
        <v>1828.00</v>
      </c>
      <c r="S1071" s="12"/>
      <c r="T1071" s="12"/>
      <c r="U1071" s="12"/>
      <c r="V1071" s="12"/>
      <c r="W1071" s="12"/>
      <c r="X1071" s="12"/>
      <c r="Y1071" s="12"/>
      <c r="Z1071" s="12"/>
      <c r="AA1071" s="12"/>
    </row>
    <row r="1072" spans="1:27">
      <c r="A1072" s="9">
        <v>1070</v>
      </c>
      <c r="B1072" s="9">
        <v>10762</v>
      </c>
      <c r="C1072" s="9" t="s">
        <v>1134</v>
      </c>
      <c r="D1072" s="9" t="s">
        <v>19</v>
      </c>
      <c r="E1072" s="10" t="str">
        <f>"1925.20"</f>
        <v>1925.20</v>
      </c>
      <c r="F1072" s="11" t="s">
        <v>9</v>
      </c>
      <c r="G1072" s="11">
        <v>2017</v>
      </c>
      <c r="H1072" s="12" t="str">
        <f>"4833.84"</f>
        <v>4833.84</v>
      </c>
      <c r="I1072" s="12"/>
      <c r="J1072" s="12"/>
      <c r="K1072" s="12"/>
      <c r="L1072" s="12"/>
      <c r="M1072" s="12"/>
      <c r="N1072" s="12"/>
      <c r="O1072" s="12"/>
      <c r="P1072" s="12"/>
      <c r="Q1072" s="12"/>
      <c r="R1072" s="12" t="str">
        <f>"1897.20"</f>
        <v>1897.20</v>
      </c>
      <c r="S1072" s="12"/>
      <c r="T1072" s="12"/>
      <c r="U1072" s="12"/>
      <c r="V1072" s="12"/>
      <c r="W1072" s="12"/>
      <c r="X1072" s="12"/>
      <c r="Y1072" s="12"/>
      <c r="Z1072" s="12"/>
      <c r="AA1072" s="12"/>
    </row>
    <row r="1073" spans="1:27">
      <c r="A1073" s="9">
        <v>1071</v>
      </c>
      <c r="B1073" s="9">
        <v>11192</v>
      </c>
      <c r="C1073" s="9" t="s">
        <v>1213</v>
      </c>
      <c r="D1073" s="9" t="s">
        <v>19</v>
      </c>
      <c r="E1073" s="10" t="str">
        <f>"1948.48"</f>
        <v>1948.48</v>
      </c>
      <c r="F1073" s="11" t="s">
        <v>9</v>
      </c>
      <c r="G1073" s="11">
        <v>2017</v>
      </c>
      <c r="H1073" s="12"/>
      <c r="I1073" s="12"/>
      <c r="J1073" s="12"/>
      <c r="K1073" s="12"/>
      <c r="L1073" s="12"/>
      <c r="M1073" s="12"/>
      <c r="N1073" s="12"/>
      <c r="O1073" s="12"/>
      <c r="P1073" s="12"/>
      <c r="Q1073" s="12"/>
      <c r="R1073" s="12" t="str">
        <f>"1920.48"</f>
        <v>1920.48</v>
      </c>
      <c r="S1073" s="12"/>
      <c r="T1073" s="12"/>
      <c r="U1073" s="12"/>
      <c r="V1073" s="12"/>
      <c r="W1073" s="12"/>
      <c r="X1073" s="12"/>
      <c r="Y1073" s="12"/>
      <c r="Z1073" s="12"/>
      <c r="AA1073" s="12"/>
    </row>
    <row r="1074" spans="1:27">
      <c r="A1074" s="9">
        <v>1072</v>
      </c>
      <c r="B1074" s="9">
        <v>11222</v>
      </c>
      <c r="C1074" s="9" t="s">
        <v>813</v>
      </c>
      <c r="D1074" s="9" t="s">
        <v>19</v>
      </c>
      <c r="E1074" s="10" t="str">
        <f>"1962.18"</f>
        <v>1962.18</v>
      </c>
      <c r="F1074" s="11" t="s">
        <v>9</v>
      </c>
      <c r="G1074" s="11">
        <v>2017</v>
      </c>
      <c r="H1074" s="12"/>
      <c r="I1074" s="12"/>
      <c r="J1074" s="12"/>
      <c r="K1074" s="12"/>
      <c r="L1074" s="12"/>
      <c r="M1074" s="12"/>
      <c r="N1074" s="12"/>
      <c r="O1074" s="12"/>
      <c r="P1074" s="12"/>
      <c r="Q1074" s="12"/>
      <c r="R1074" s="12" t="str">
        <f>"1934.18"</f>
        <v>1934.18</v>
      </c>
      <c r="S1074" s="12"/>
      <c r="T1074" s="12"/>
      <c r="U1074" s="12"/>
      <c r="V1074" s="12"/>
      <c r="W1074" s="12"/>
      <c r="X1074" s="12"/>
      <c r="Y1074" s="12"/>
      <c r="Z1074" s="12"/>
      <c r="AA1074" s="12"/>
    </row>
    <row r="1075" spans="1:27">
      <c r="A1075" s="9">
        <v>1073</v>
      </c>
      <c r="B1075" s="9">
        <v>10681</v>
      </c>
      <c r="C1075" s="9" t="s">
        <v>864</v>
      </c>
      <c r="D1075" s="9" t="s">
        <v>19</v>
      </c>
      <c r="E1075" s="10" t="str">
        <f>"1966.02"</f>
        <v>1966.02</v>
      </c>
      <c r="F1075" s="11" t="s">
        <v>9</v>
      </c>
      <c r="G1075" s="11">
        <v>2017</v>
      </c>
      <c r="H1075" s="12" t="str">
        <f>"1027.06"</f>
        <v>1027.06</v>
      </c>
      <c r="I1075" s="12"/>
      <c r="J1075" s="12"/>
      <c r="K1075" s="12"/>
      <c r="L1075" s="12"/>
      <c r="M1075" s="12"/>
      <c r="N1075" s="12"/>
      <c r="O1075" s="12"/>
      <c r="P1075" s="12"/>
      <c r="Q1075" s="12"/>
      <c r="R1075" s="12" t="str">
        <f>"1938.02"</f>
        <v>1938.02</v>
      </c>
      <c r="S1075" s="12"/>
      <c r="T1075" s="12"/>
      <c r="U1075" s="12"/>
      <c r="V1075" s="12"/>
      <c r="W1075" s="12"/>
      <c r="X1075" s="12"/>
      <c r="Y1075" s="12"/>
      <c r="Z1075" s="12"/>
      <c r="AA1075" s="12"/>
    </row>
    <row r="1076" spans="1:27">
      <c r="A1076" s="9">
        <v>1074</v>
      </c>
      <c r="B1076" s="9">
        <v>11186</v>
      </c>
      <c r="C1076" s="9" t="s">
        <v>1140</v>
      </c>
      <c r="D1076" s="9" t="s">
        <v>19</v>
      </c>
      <c r="E1076" s="10" t="str">
        <f>"2004.46"</f>
        <v>2004.46</v>
      </c>
      <c r="F1076" s="11"/>
      <c r="G1076" s="11">
        <v>2017</v>
      </c>
      <c r="H1076" s="12"/>
      <c r="I1076" s="12"/>
      <c r="J1076" s="12"/>
      <c r="K1076" s="12"/>
      <c r="L1076" s="12"/>
      <c r="M1076" s="12"/>
      <c r="N1076" s="12"/>
      <c r="O1076" s="12"/>
      <c r="P1076" s="12"/>
      <c r="Q1076" s="12"/>
      <c r="R1076" s="12" t="str">
        <f>"3153.84"</f>
        <v>3153.84</v>
      </c>
      <c r="S1076" s="12"/>
      <c r="T1076" s="12"/>
      <c r="U1076" s="12"/>
      <c r="V1076" s="12"/>
      <c r="W1076" s="12"/>
      <c r="X1076" s="12"/>
      <c r="Y1076" s="12" t="str">
        <f>"855.07"</f>
        <v>855.07</v>
      </c>
      <c r="Z1076" s="12"/>
      <c r="AA1076" s="12"/>
    </row>
    <row r="1077" spans="1:27">
      <c r="A1077" s="9">
        <v>1075</v>
      </c>
      <c r="B1077" s="9">
        <v>11177</v>
      </c>
      <c r="C1077" s="9" t="s">
        <v>1108</v>
      </c>
      <c r="D1077" s="9" t="s">
        <v>19</v>
      </c>
      <c r="E1077" s="10" t="str">
        <f>"2031.06"</f>
        <v>2031.06</v>
      </c>
      <c r="F1077" s="11" t="s">
        <v>9</v>
      </c>
      <c r="G1077" s="11">
        <v>2017</v>
      </c>
      <c r="H1077" s="12"/>
      <c r="I1077" s="12"/>
      <c r="J1077" s="12"/>
      <c r="K1077" s="12"/>
      <c r="L1077" s="12"/>
      <c r="M1077" s="12"/>
      <c r="N1077" s="12"/>
      <c r="O1077" s="12"/>
      <c r="P1077" s="12"/>
      <c r="Q1077" s="12"/>
      <c r="R1077" s="12" t="str">
        <f>"2003.06"</f>
        <v>2003.06</v>
      </c>
      <c r="S1077" s="12"/>
      <c r="T1077" s="12"/>
      <c r="U1077" s="12"/>
      <c r="V1077" s="12"/>
      <c r="W1077" s="12"/>
      <c r="X1077" s="12"/>
      <c r="Y1077" s="12"/>
      <c r="Z1077" s="12"/>
      <c r="AA1077" s="12"/>
    </row>
    <row r="1078" spans="1:27">
      <c r="A1078" s="9">
        <v>1076</v>
      </c>
      <c r="B1078" s="9">
        <v>11144</v>
      </c>
      <c r="C1078" s="9" t="s">
        <v>1138</v>
      </c>
      <c r="D1078" s="9" t="s">
        <v>19</v>
      </c>
      <c r="E1078" s="10" t="str">
        <f>"2176.99"</f>
        <v>2176.99</v>
      </c>
      <c r="F1078" s="11"/>
      <c r="G1078" s="11">
        <v>2017</v>
      </c>
      <c r="H1078" s="12"/>
      <c r="I1078" s="12"/>
      <c r="J1078" s="12"/>
      <c r="K1078" s="12"/>
      <c r="L1078" s="12"/>
      <c r="M1078" s="12"/>
      <c r="N1078" s="12"/>
      <c r="O1078" s="12" t="str">
        <f>"1282.40"</f>
        <v>1282.40</v>
      </c>
      <c r="P1078" s="12"/>
      <c r="Q1078" s="12"/>
      <c r="R1078" s="12" t="str">
        <f>"3071.58"</f>
        <v>3071.58</v>
      </c>
      <c r="S1078" s="12"/>
      <c r="T1078" s="12"/>
      <c r="U1078" s="12"/>
      <c r="V1078" s="12"/>
      <c r="W1078" s="12"/>
      <c r="X1078" s="12"/>
      <c r="Y1078" s="12"/>
      <c r="Z1078" s="12"/>
      <c r="AA1078" s="12"/>
    </row>
    <row r="1079" spans="1:27">
      <c r="A1079" s="9">
        <v>1077</v>
      </c>
      <c r="B1079" s="9">
        <v>11188</v>
      </c>
      <c r="C1079" s="9" t="s">
        <v>1128</v>
      </c>
      <c r="D1079" s="9" t="s">
        <v>19</v>
      </c>
      <c r="E1079" s="10" t="str">
        <f>"2185.08"</f>
        <v>2185.08</v>
      </c>
      <c r="F1079" s="11" t="s">
        <v>9</v>
      </c>
      <c r="G1079" s="11">
        <v>2017</v>
      </c>
      <c r="H1079" s="12"/>
      <c r="I1079" s="12"/>
      <c r="J1079" s="12"/>
      <c r="K1079" s="12"/>
      <c r="L1079" s="12"/>
      <c r="M1079" s="12"/>
      <c r="N1079" s="12"/>
      <c r="O1079" s="12"/>
      <c r="P1079" s="12"/>
      <c r="Q1079" s="12"/>
      <c r="R1079" s="12" t="str">
        <f>"2157.08"</f>
        <v>2157.08</v>
      </c>
      <c r="S1079" s="12"/>
      <c r="T1079" s="12"/>
      <c r="U1079" s="12"/>
      <c r="V1079" s="12"/>
      <c r="W1079" s="12"/>
      <c r="X1079" s="12"/>
      <c r="Y1079" s="12"/>
      <c r="Z1079" s="12"/>
      <c r="AA1079" s="12"/>
    </row>
    <row r="1080" spans="1:27">
      <c r="A1080" s="9">
        <v>1078</v>
      </c>
      <c r="B1080" s="9">
        <v>11179</v>
      </c>
      <c r="C1080" s="9" t="s">
        <v>1137</v>
      </c>
      <c r="D1080" s="9" t="s">
        <v>19</v>
      </c>
      <c r="E1080" s="10" t="str">
        <f>"2263.52"</f>
        <v>2263.52</v>
      </c>
      <c r="F1080" s="11" t="s">
        <v>9</v>
      </c>
      <c r="G1080" s="11">
        <v>2017</v>
      </c>
      <c r="H1080" s="12"/>
      <c r="I1080" s="12"/>
      <c r="J1080" s="12"/>
      <c r="K1080" s="12"/>
      <c r="L1080" s="12"/>
      <c r="M1080" s="12"/>
      <c r="N1080" s="12"/>
      <c r="O1080" s="12"/>
      <c r="P1080" s="12"/>
      <c r="Q1080" s="12"/>
      <c r="R1080" s="12" t="str">
        <f>"2235.52"</f>
        <v>2235.52</v>
      </c>
      <c r="S1080" s="12"/>
      <c r="T1080" s="12"/>
      <c r="U1080" s="12"/>
      <c r="V1080" s="12"/>
      <c r="W1080" s="12"/>
      <c r="X1080" s="12"/>
      <c r="Y1080" s="12"/>
      <c r="Z1080" s="12"/>
      <c r="AA1080" s="12"/>
    </row>
    <row r="1081" spans="1:27">
      <c r="A1081" s="9">
        <v>1079</v>
      </c>
      <c r="B1081" s="9">
        <v>10457</v>
      </c>
      <c r="C1081" s="9" t="s">
        <v>1127</v>
      </c>
      <c r="D1081" s="9" t="s">
        <v>19</v>
      </c>
      <c r="E1081" s="10" t="str">
        <f>"2272.12"</f>
        <v>2272.12</v>
      </c>
      <c r="F1081" s="11" t="s">
        <v>9</v>
      </c>
      <c r="G1081" s="11">
        <v>2017</v>
      </c>
      <c r="H1081" s="12"/>
      <c r="I1081" s="12"/>
      <c r="J1081" s="12"/>
      <c r="K1081" s="12"/>
      <c r="L1081" s="12"/>
      <c r="M1081" s="12"/>
      <c r="N1081" s="12"/>
      <c r="O1081" s="12"/>
      <c r="P1081" s="12"/>
      <c r="Q1081" s="12"/>
      <c r="R1081" s="12" t="str">
        <f>"2244.12"</f>
        <v>2244.12</v>
      </c>
      <c r="S1081" s="12"/>
      <c r="T1081" s="12"/>
      <c r="U1081" s="12"/>
      <c r="V1081" s="12"/>
      <c r="W1081" s="12"/>
      <c r="X1081" s="12"/>
      <c r="Y1081" s="12"/>
      <c r="Z1081" s="12"/>
      <c r="AA1081" s="12"/>
    </row>
    <row r="1082" spans="1:27">
      <c r="A1082" s="9">
        <v>1080</v>
      </c>
      <c r="B1082" s="9">
        <v>10798</v>
      </c>
      <c r="C1082" s="9" t="s">
        <v>1117</v>
      </c>
      <c r="D1082" s="9" t="s">
        <v>19</v>
      </c>
      <c r="E1082" s="10" t="str">
        <f>"2356.86"</f>
        <v>2356.86</v>
      </c>
      <c r="F1082" s="11" t="s">
        <v>11</v>
      </c>
      <c r="G1082" s="11">
        <v>2017</v>
      </c>
      <c r="H1082" s="12" t="str">
        <f>"2328.86"</f>
        <v>2328.86</v>
      </c>
      <c r="I1082" s="12"/>
      <c r="J1082" s="12"/>
      <c r="K1082" s="12"/>
      <c r="L1082" s="12"/>
      <c r="M1082" s="12"/>
      <c r="N1082" s="12"/>
      <c r="O1082" s="12"/>
      <c r="P1082" s="12"/>
      <c r="Q1082" s="12"/>
      <c r="R1082" s="12"/>
      <c r="S1082" s="12"/>
      <c r="T1082" s="12"/>
      <c r="U1082" s="12"/>
      <c r="V1082" s="12"/>
      <c r="W1082" s="12"/>
      <c r="X1082" s="12"/>
      <c r="Y1082" s="12"/>
      <c r="Z1082" s="12"/>
      <c r="AA1082" s="12"/>
    </row>
    <row r="1083" spans="1:27">
      <c r="A1083" s="9">
        <v>1081</v>
      </c>
      <c r="B1083" s="9">
        <v>11135</v>
      </c>
      <c r="C1083" s="9" t="s">
        <v>1125</v>
      </c>
      <c r="D1083" s="9" t="s">
        <v>19</v>
      </c>
      <c r="E1083" s="10" t="str">
        <f>"2531.68"</f>
        <v>2531.68</v>
      </c>
      <c r="F1083" s="11" t="s">
        <v>9</v>
      </c>
      <c r="G1083" s="11">
        <v>2017</v>
      </c>
      <c r="H1083" s="12"/>
      <c r="I1083" s="12"/>
      <c r="J1083" s="12"/>
      <c r="K1083" s="12"/>
      <c r="L1083" s="12"/>
      <c r="M1083" s="12"/>
      <c r="N1083" s="12"/>
      <c r="O1083" s="12"/>
      <c r="P1083" s="12"/>
      <c r="Q1083" s="12"/>
      <c r="R1083" s="12" t="str">
        <f>"2503.68"</f>
        <v>2503.68</v>
      </c>
      <c r="S1083" s="12"/>
      <c r="T1083" s="12"/>
      <c r="U1083" s="12"/>
      <c r="V1083" s="12"/>
      <c r="W1083" s="12"/>
      <c r="X1083" s="12"/>
      <c r="Y1083" s="12"/>
      <c r="Z1083" s="12"/>
      <c r="AA1083" s="12"/>
    </row>
    <row r="1084" spans="1:27">
      <c r="A1084" s="9">
        <v>1082</v>
      </c>
      <c r="B1084" s="9">
        <v>11130</v>
      </c>
      <c r="C1084" s="9" t="s">
        <v>728</v>
      </c>
      <c r="D1084" s="9" t="s">
        <v>19</v>
      </c>
      <c r="E1084" s="10" t="str">
        <f>"2685.38"</f>
        <v>2685.38</v>
      </c>
      <c r="F1084" s="11" t="s">
        <v>9</v>
      </c>
      <c r="G1084" s="11">
        <v>2017</v>
      </c>
      <c r="H1084" s="12"/>
      <c r="I1084" s="12"/>
      <c r="J1084" s="12"/>
      <c r="K1084" s="12"/>
      <c r="L1084" s="12"/>
      <c r="M1084" s="12"/>
      <c r="N1084" s="12"/>
      <c r="O1084" s="12"/>
      <c r="P1084" s="12"/>
      <c r="Q1084" s="12"/>
      <c r="R1084" s="12" t="str">
        <f>"2657.38"</f>
        <v>2657.38</v>
      </c>
      <c r="S1084" s="12"/>
      <c r="T1084" s="12"/>
      <c r="U1084" s="12"/>
      <c r="V1084" s="12"/>
      <c r="W1084" s="12"/>
      <c r="X1084" s="12"/>
      <c r="Y1084" s="12"/>
      <c r="Z1084" s="12"/>
      <c r="AA1084" s="12"/>
    </row>
    <row r="1085" spans="1:27">
      <c r="A1085" s="9">
        <v>1083</v>
      </c>
      <c r="B1085" s="9">
        <v>10797</v>
      </c>
      <c r="C1085" s="9" t="s">
        <v>1130</v>
      </c>
      <c r="D1085" s="9" t="s">
        <v>19</v>
      </c>
      <c r="E1085" s="10" t="str">
        <f>"3179.56"</f>
        <v>3179.56</v>
      </c>
      <c r="F1085" s="11" t="s">
        <v>11</v>
      </c>
      <c r="G1085" s="11">
        <v>2017</v>
      </c>
      <c r="H1085" s="12" t="str">
        <f>"3151.56"</f>
        <v>3151.56</v>
      </c>
      <c r="I1085" s="12"/>
      <c r="J1085" s="12"/>
      <c r="K1085" s="12"/>
      <c r="L1085" s="12"/>
      <c r="M1085" s="12"/>
      <c r="N1085" s="12"/>
      <c r="O1085" s="12"/>
      <c r="P1085" s="12"/>
      <c r="Q1085" s="12"/>
      <c r="R1085" s="12"/>
      <c r="S1085" s="12"/>
      <c r="T1085" s="12"/>
      <c r="U1085" s="12"/>
      <c r="V1085" s="12"/>
      <c r="W1085" s="12"/>
      <c r="X1085" s="12"/>
      <c r="Y1085" s="12"/>
      <c r="Z1085" s="12"/>
      <c r="AA1085" s="12"/>
    </row>
    <row r="1086" spans="1:27">
      <c r="A1086" s="9">
        <v>1084</v>
      </c>
      <c r="B1086" s="9">
        <v>11198</v>
      </c>
      <c r="C1086" s="9" t="s">
        <v>1141</v>
      </c>
      <c r="D1086" s="9" t="s">
        <v>19</v>
      </c>
      <c r="E1086" s="10" t="str">
        <f>"3281.66"</f>
        <v>3281.66</v>
      </c>
      <c r="F1086" s="11" t="s">
        <v>9</v>
      </c>
      <c r="G1086" s="11">
        <v>2017</v>
      </c>
      <c r="H1086" s="12"/>
      <c r="I1086" s="12"/>
      <c r="J1086" s="12"/>
      <c r="K1086" s="12"/>
      <c r="L1086" s="12"/>
      <c r="M1086" s="12"/>
      <c r="N1086" s="12"/>
      <c r="O1086" s="12"/>
      <c r="P1086" s="12"/>
      <c r="Q1086" s="12"/>
      <c r="R1086" s="12" t="str">
        <f>"3253.66"</f>
        <v>3253.66</v>
      </c>
      <c r="S1086" s="12"/>
      <c r="T1086" s="12"/>
      <c r="U1086" s="12"/>
      <c r="V1086" s="12"/>
      <c r="W1086" s="12"/>
      <c r="X1086" s="12"/>
      <c r="Y1086" s="12"/>
      <c r="Z1086" s="12"/>
      <c r="AA1086" s="12"/>
    </row>
    <row r="1087" spans="1:27">
      <c r="A1087" s="9">
        <v>1085</v>
      </c>
      <c r="B1087" s="9">
        <v>11147</v>
      </c>
      <c r="C1087" s="9" t="s">
        <v>1131</v>
      </c>
      <c r="D1087" s="9" t="s">
        <v>19</v>
      </c>
      <c r="E1087" s="10" t="str">
        <f>"5094.72"</f>
        <v>5094.72</v>
      </c>
      <c r="F1087" s="11" t="s">
        <v>9</v>
      </c>
      <c r="G1087" s="11">
        <v>2017</v>
      </c>
      <c r="H1087" s="12"/>
      <c r="I1087" s="12"/>
      <c r="J1087" s="12"/>
      <c r="K1087" s="12"/>
      <c r="L1087" s="12"/>
      <c r="M1087" s="12"/>
      <c r="N1087" s="12"/>
      <c r="O1087" s="12"/>
      <c r="P1087" s="12"/>
      <c r="Q1087" s="12"/>
      <c r="R1087" s="12" t="str">
        <f>"5066.72"</f>
        <v>5066.72</v>
      </c>
      <c r="S1087" s="12"/>
      <c r="T1087" s="12"/>
      <c r="U1087" s="12"/>
      <c r="V1087" s="12"/>
      <c r="W1087" s="12"/>
      <c r="X1087" s="12"/>
      <c r="Y1087" s="12"/>
      <c r="Z1087" s="12"/>
      <c r="AA1087" s="12"/>
    </row>
  </sheetData>
  <sheetProtection password="8FA1" sheet="1" objects="1" scenarios="1" sort="0" autoFilter="0"/>
  <autoFilter ref="A2:AA1087"/>
  <phoneticPr fontId="18"/>
  <pageMargins left="0.7" right="0.7" top="0.75" bottom="0.75" header="0.3" footer="0.3"/>
  <pageSetup paperSize="8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男子ＳＬ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韮澤 新太郎</dc:creator>
  <cp:lastModifiedBy>NewSAT4</cp:lastModifiedBy>
  <cp:lastPrinted>2017-07-20T01:51:23Z</cp:lastPrinted>
  <dcterms:created xsi:type="dcterms:W3CDTF">2017-07-08T00:29:35Z</dcterms:created>
  <dcterms:modified xsi:type="dcterms:W3CDTF">2017-07-20T01:51:38Z</dcterms:modified>
</cp:coreProperties>
</file>