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7ー\2016-17アルペンポイントリストNO.3\"/>
    </mc:Choice>
  </mc:AlternateContent>
  <bookViews>
    <workbookView xWindow="0" yWindow="0" windowWidth="20250" windowHeight="10890"/>
  </bookViews>
  <sheets>
    <sheet name="女子ＧＳ" sheetId="1" r:id="rId1"/>
  </sheets>
  <definedNames>
    <definedName name="_xlnm._FilterDatabase" localSheetId="0" hidden="1">女子ＧＳ!$A$2:$AH$355</definedName>
  </definedNames>
  <calcPr calcId="171027"/>
</workbook>
</file>

<file path=xl/calcChain.xml><?xml version="1.0" encoding="utf-8"?>
<calcChain xmlns="http://schemas.openxmlformats.org/spreadsheetml/2006/main">
  <c r="E3" i="1" l="1"/>
  <c r="H3" i="1"/>
  <c r="J3" i="1"/>
  <c r="E4" i="1"/>
  <c r="H4" i="1"/>
  <c r="E5" i="1"/>
  <c r="H5" i="1"/>
  <c r="E6" i="1"/>
  <c r="J6" i="1"/>
  <c r="E7" i="1"/>
  <c r="H7" i="1"/>
  <c r="I7" i="1"/>
  <c r="J7" i="1"/>
  <c r="O7" i="1"/>
  <c r="E8" i="1"/>
  <c r="H8" i="1"/>
  <c r="I8" i="1"/>
  <c r="J8" i="1"/>
  <c r="M8" i="1"/>
  <c r="N8" i="1"/>
  <c r="E9" i="1"/>
  <c r="H9" i="1"/>
  <c r="I9" i="1"/>
  <c r="J9" i="1"/>
  <c r="E10" i="1"/>
  <c r="H10" i="1"/>
  <c r="I10" i="1"/>
  <c r="J10" i="1"/>
  <c r="E11" i="1"/>
  <c r="H11" i="1"/>
  <c r="I11" i="1"/>
  <c r="J11" i="1"/>
  <c r="M11" i="1"/>
  <c r="N11" i="1"/>
  <c r="Z11" i="1"/>
  <c r="AA11" i="1"/>
  <c r="AG11" i="1"/>
  <c r="AH11" i="1"/>
  <c r="E12" i="1"/>
  <c r="H12" i="1"/>
  <c r="I12" i="1"/>
  <c r="J12" i="1"/>
  <c r="O12" i="1"/>
  <c r="V12" i="1"/>
  <c r="E13" i="1"/>
  <c r="H13" i="1"/>
  <c r="I13" i="1"/>
  <c r="J13" i="1"/>
  <c r="O13" i="1"/>
  <c r="E14" i="1"/>
  <c r="H14" i="1"/>
  <c r="E15" i="1"/>
  <c r="H15" i="1"/>
  <c r="I15" i="1"/>
  <c r="J15" i="1"/>
  <c r="M15" i="1"/>
  <c r="N15" i="1"/>
  <c r="Z15" i="1"/>
  <c r="AA15" i="1"/>
  <c r="AG15" i="1"/>
  <c r="AH15" i="1"/>
  <c r="E16" i="1"/>
  <c r="H16" i="1"/>
  <c r="E17" i="1"/>
  <c r="H17" i="1"/>
  <c r="I17" i="1"/>
  <c r="J17" i="1"/>
  <c r="O17" i="1"/>
  <c r="E18" i="1"/>
  <c r="H18" i="1"/>
  <c r="I18" i="1"/>
  <c r="J18" i="1"/>
  <c r="M18" i="1"/>
  <c r="N18" i="1"/>
  <c r="E19" i="1"/>
  <c r="H19" i="1"/>
  <c r="O19" i="1"/>
  <c r="X19" i="1"/>
  <c r="AD19" i="1"/>
  <c r="AE19" i="1"/>
  <c r="AF19" i="1"/>
  <c r="E20" i="1"/>
  <c r="H20" i="1"/>
  <c r="I20" i="1"/>
  <c r="J20" i="1"/>
  <c r="E21" i="1"/>
  <c r="H21" i="1"/>
  <c r="I21" i="1"/>
  <c r="J21" i="1"/>
  <c r="O21" i="1"/>
  <c r="E22" i="1"/>
  <c r="H22" i="1"/>
  <c r="I22" i="1"/>
  <c r="N22" i="1"/>
  <c r="O22" i="1"/>
  <c r="U22" i="1"/>
  <c r="Z22" i="1"/>
  <c r="AA22" i="1"/>
  <c r="AD22" i="1"/>
  <c r="AG22" i="1"/>
  <c r="AH22" i="1"/>
  <c r="E23" i="1"/>
  <c r="H23" i="1"/>
  <c r="J23" i="1"/>
  <c r="O23" i="1"/>
  <c r="Z23" i="1"/>
  <c r="AA23" i="1"/>
  <c r="E24" i="1"/>
  <c r="H24" i="1"/>
  <c r="O24" i="1"/>
  <c r="R24" i="1"/>
  <c r="E25" i="1"/>
  <c r="H25" i="1"/>
  <c r="O25" i="1"/>
  <c r="R25" i="1"/>
  <c r="U25" i="1"/>
  <c r="W25" i="1"/>
  <c r="AH25" i="1"/>
  <c r="E26" i="1"/>
  <c r="H26" i="1"/>
  <c r="O26" i="1"/>
  <c r="X26" i="1"/>
  <c r="E27" i="1"/>
  <c r="H27" i="1"/>
  <c r="I27" i="1"/>
  <c r="J27" i="1"/>
  <c r="E28" i="1"/>
  <c r="H28" i="1"/>
  <c r="I28" i="1"/>
  <c r="J28" i="1"/>
  <c r="N28" i="1"/>
  <c r="AA28" i="1"/>
  <c r="AH28" i="1"/>
  <c r="E29" i="1"/>
  <c r="H29" i="1"/>
  <c r="K29" i="1"/>
  <c r="L29" i="1"/>
  <c r="O29" i="1"/>
  <c r="V29" i="1"/>
  <c r="X29" i="1"/>
  <c r="Y29" i="1"/>
  <c r="AB29" i="1"/>
  <c r="AC29" i="1"/>
  <c r="AD29" i="1"/>
  <c r="E30" i="1"/>
  <c r="H30" i="1"/>
  <c r="R30" i="1"/>
  <c r="U30" i="1"/>
  <c r="W30" i="1"/>
  <c r="X30" i="1"/>
  <c r="Y30" i="1"/>
  <c r="E31" i="1"/>
  <c r="H31" i="1"/>
  <c r="I31" i="1"/>
  <c r="J31" i="1"/>
  <c r="M31" i="1"/>
  <c r="N31" i="1"/>
  <c r="E32" i="1"/>
  <c r="H32" i="1"/>
  <c r="I32" i="1"/>
  <c r="J32" i="1"/>
  <c r="AC32" i="1"/>
  <c r="E33" i="1"/>
  <c r="H33" i="1"/>
  <c r="J33" i="1"/>
  <c r="N33" i="1"/>
  <c r="AA33" i="1"/>
  <c r="AG33" i="1"/>
  <c r="AH33" i="1"/>
  <c r="E34" i="1"/>
  <c r="H34" i="1"/>
  <c r="E35" i="1"/>
  <c r="H35" i="1"/>
  <c r="I35" i="1"/>
  <c r="J35" i="1"/>
  <c r="N35" i="1"/>
  <c r="AA35" i="1"/>
  <c r="E36" i="1"/>
  <c r="H36" i="1"/>
  <c r="K36" i="1"/>
  <c r="L36" i="1"/>
  <c r="O36" i="1"/>
  <c r="AE36" i="1"/>
  <c r="E37" i="1"/>
  <c r="H37" i="1"/>
  <c r="O37" i="1"/>
  <c r="V37" i="1"/>
  <c r="X37" i="1"/>
  <c r="Y37" i="1"/>
  <c r="AB37" i="1"/>
  <c r="AC37" i="1"/>
  <c r="AE37" i="1"/>
  <c r="AF37" i="1"/>
  <c r="E38" i="1"/>
  <c r="H38" i="1"/>
  <c r="E39" i="1"/>
  <c r="H39" i="1"/>
  <c r="E40" i="1"/>
  <c r="H40" i="1"/>
  <c r="R40" i="1"/>
  <c r="U40" i="1"/>
  <c r="W40" i="1"/>
  <c r="E41" i="1"/>
  <c r="H41" i="1"/>
  <c r="I41" i="1"/>
  <c r="J41" i="1"/>
  <c r="O41" i="1"/>
  <c r="X41" i="1"/>
  <c r="Y41" i="1"/>
  <c r="E42" i="1"/>
  <c r="M42" i="1"/>
  <c r="N42" i="1"/>
  <c r="Z42" i="1"/>
  <c r="AA42" i="1"/>
  <c r="AE42" i="1"/>
  <c r="AF42" i="1"/>
  <c r="AH42" i="1"/>
  <c r="E43" i="1"/>
  <c r="H43" i="1"/>
  <c r="O43" i="1"/>
  <c r="U43" i="1"/>
  <c r="E44" i="1"/>
  <c r="H44" i="1"/>
  <c r="I44" i="1"/>
  <c r="J44" i="1"/>
  <c r="N44" i="1"/>
  <c r="E45" i="1"/>
  <c r="H45" i="1"/>
  <c r="K45" i="1"/>
  <c r="L45" i="1"/>
  <c r="E46" i="1"/>
  <c r="H46" i="1"/>
  <c r="R46" i="1"/>
  <c r="W46" i="1"/>
  <c r="E47" i="1"/>
  <c r="H47" i="1"/>
  <c r="R47" i="1"/>
  <c r="U47" i="1"/>
  <c r="W47" i="1"/>
  <c r="E48" i="1"/>
  <c r="H48" i="1"/>
  <c r="O48" i="1"/>
  <c r="X48" i="1"/>
  <c r="E49" i="1"/>
  <c r="H49" i="1"/>
  <c r="I49" i="1"/>
  <c r="J49" i="1"/>
  <c r="O49" i="1"/>
  <c r="AA49" i="1"/>
  <c r="AH49" i="1"/>
  <c r="E50" i="1"/>
  <c r="H50" i="1"/>
  <c r="AB50" i="1"/>
  <c r="AC50" i="1"/>
  <c r="E52" i="1"/>
  <c r="H52" i="1"/>
  <c r="N52" i="1"/>
  <c r="Z52" i="1"/>
  <c r="AA52" i="1"/>
  <c r="AG52" i="1"/>
  <c r="AH52" i="1"/>
  <c r="E53" i="1"/>
  <c r="H53" i="1"/>
  <c r="N53" i="1"/>
  <c r="AA53" i="1"/>
  <c r="AF53" i="1"/>
  <c r="E54" i="1"/>
  <c r="H54" i="1"/>
  <c r="I54" i="1"/>
  <c r="J54" i="1"/>
  <c r="R54" i="1"/>
  <c r="U54" i="1"/>
  <c r="W54" i="1"/>
  <c r="E55" i="1"/>
  <c r="H55" i="1"/>
  <c r="R55" i="1"/>
  <c r="X55" i="1"/>
  <c r="Y55" i="1"/>
  <c r="E56" i="1"/>
  <c r="H56" i="1"/>
  <c r="E57" i="1"/>
  <c r="H57" i="1"/>
  <c r="N57" i="1"/>
  <c r="AA57" i="1"/>
  <c r="AD57" i="1"/>
  <c r="AF57" i="1"/>
  <c r="AH57" i="1"/>
  <c r="E58" i="1"/>
  <c r="H58" i="1"/>
  <c r="I58" i="1"/>
  <c r="J58" i="1"/>
  <c r="N58" i="1"/>
  <c r="AA58" i="1"/>
  <c r="E59" i="1"/>
  <c r="H59" i="1"/>
  <c r="N59" i="1"/>
  <c r="AA59" i="1"/>
  <c r="AF59" i="1"/>
  <c r="AH59" i="1"/>
  <c r="E60" i="1"/>
  <c r="H60" i="1"/>
  <c r="I60" i="1"/>
  <c r="J60" i="1"/>
  <c r="W60" i="1"/>
  <c r="E62" i="1"/>
  <c r="H62" i="1"/>
  <c r="I62" i="1"/>
  <c r="J62" i="1"/>
  <c r="P62" i="1"/>
  <c r="V62" i="1"/>
  <c r="X62" i="1"/>
  <c r="Y62" i="1"/>
  <c r="AD62" i="1"/>
  <c r="E63" i="1"/>
  <c r="H63" i="1"/>
  <c r="N63" i="1"/>
  <c r="AA63" i="1"/>
  <c r="AH63" i="1"/>
  <c r="E64" i="1"/>
  <c r="H64" i="1"/>
  <c r="I64" i="1"/>
  <c r="J64" i="1"/>
  <c r="P64" i="1"/>
  <c r="E65" i="1"/>
  <c r="H65" i="1"/>
  <c r="R65" i="1"/>
  <c r="W65" i="1"/>
  <c r="E66" i="1"/>
  <c r="H66" i="1"/>
  <c r="I66" i="1"/>
  <c r="J66" i="1"/>
  <c r="O66" i="1"/>
  <c r="X66" i="1"/>
  <c r="Y66" i="1"/>
  <c r="AB66" i="1"/>
  <c r="AC66" i="1"/>
  <c r="AD66" i="1"/>
  <c r="E67" i="1"/>
  <c r="H67" i="1"/>
  <c r="W67" i="1"/>
  <c r="X67" i="1"/>
  <c r="Y67" i="1"/>
  <c r="E68" i="1"/>
  <c r="H68" i="1"/>
  <c r="R68" i="1"/>
  <c r="E69" i="1"/>
  <c r="I69" i="1"/>
  <c r="J69" i="1"/>
  <c r="M69" i="1"/>
  <c r="N69" i="1"/>
  <c r="Z69" i="1"/>
  <c r="AA69" i="1"/>
  <c r="E70" i="1"/>
  <c r="H70" i="1"/>
  <c r="E71" i="1"/>
  <c r="H71" i="1"/>
  <c r="X71" i="1"/>
  <c r="Y71" i="1"/>
  <c r="AD71" i="1"/>
  <c r="E72" i="1"/>
  <c r="R72" i="1"/>
  <c r="W72" i="1"/>
  <c r="E73" i="1"/>
  <c r="H73" i="1"/>
  <c r="E74" i="1"/>
  <c r="H74" i="1"/>
  <c r="N74" i="1"/>
  <c r="AA74" i="1"/>
  <c r="AH74" i="1"/>
  <c r="E75" i="1"/>
  <c r="H75" i="1"/>
  <c r="L75" i="1"/>
  <c r="O75" i="1"/>
  <c r="E76" i="1"/>
  <c r="H76" i="1"/>
  <c r="H61" i="1"/>
  <c r="E77" i="1"/>
  <c r="I77" i="1"/>
  <c r="E78" i="1"/>
  <c r="M78" i="1"/>
  <c r="N78" i="1"/>
  <c r="Z78" i="1"/>
  <c r="AA78" i="1"/>
  <c r="AH78" i="1"/>
  <c r="E79" i="1"/>
  <c r="H79" i="1"/>
  <c r="R79" i="1"/>
  <c r="U79" i="1"/>
  <c r="AG79" i="1"/>
  <c r="AH79" i="1"/>
  <c r="E80" i="1"/>
  <c r="H80" i="1"/>
  <c r="O80" i="1"/>
  <c r="X80" i="1"/>
  <c r="Y80" i="1"/>
  <c r="H51" i="1"/>
  <c r="AH51" i="1"/>
  <c r="E81" i="1"/>
  <c r="H81" i="1"/>
  <c r="R81" i="1"/>
  <c r="U81" i="1"/>
  <c r="W81" i="1"/>
  <c r="X81" i="1"/>
  <c r="Y81" i="1"/>
  <c r="AD81" i="1"/>
  <c r="E82" i="1"/>
  <c r="H82" i="1"/>
  <c r="O82" i="1"/>
  <c r="R82" i="1"/>
  <c r="W82" i="1"/>
  <c r="AD82" i="1"/>
  <c r="E83" i="1"/>
  <c r="H83" i="1"/>
  <c r="Q83" i="1"/>
  <c r="T83" i="1"/>
  <c r="E84" i="1"/>
  <c r="H84" i="1"/>
  <c r="M84" i="1"/>
  <c r="N84" i="1"/>
  <c r="Z84" i="1"/>
  <c r="AA84" i="1"/>
  <c r="AF84" i="1"/>
  <c r="AH84" i="1"/>
  <c r="E85" i="1"/>
  <c r="H85" i="1"/>
  <c r="E86" i="1"/>
  <c r="H86" i="1"/>
  <c r="O86" i="1"/>
  <c r="E87" i="1"/>
  <c r="H87" i="1"/>
  <c r="J87" i="1"/>
  <c r="V87" i="1"/>
  <c r="X87" i="1"/>
  <c r="Y87" i="1"/>
  <c r="E88" i="1"/>
  <c r="R88" i="1"/>
  <c r="U88" i="1"/>
  <c r="W88" i="1"/>
  <c r="E89" i="1"/>
  <c r="H89" i="1"/>
  <c r="E90" i="1"/>
  <c r="H90" i="1"/>
  <c r="W90" i="1"/>
  <c r="E91" i="1"/>
  <c r="H91" i="1"/>
  <c r="O91" i="1"/>
  <c r="X91" i="1"/>
  <c r="Y91" i="1"/>
  <c r="AD91" i="1"/>
  <c r="AF91" i="1"/>
  <c r="E92" i="1"/>
  <c r="H92" i="1"/>
  <c r="R92" i="1"/>
  <c r="U92" i="1"/>
  <c r="W92" i="1"/>
  <c r="E93" i="1"/>
  <c r="H93" i="1"/>
  <c r="K93" i="1"/>
  <c r="L93" i="1"/>
  <c r="AE93" i="1"/>
  <c r="E94" i="1"/>
  <c r="H94" i="1"/>
  <c r="X94" i="1"/>
  <c r="Y94" i="1"/>
  <c r="E95" i="1"/>
  <c r="H95" i="1"/>
  <c r="R95" i="1"/>
  <c r="W95" i="1"/>
  <c r="E96" i="1"/>
  <c r="H96" i="1"/>
  <c r="O96" i="1"/>
  <c r="X96" i="1"/>
  <c r="Y96" i="1"/>
  <c r="AF96" i="1"/>
  <c r="E97" i="1"/>
  <c r="H97" i="1"/>
  <c r="O97" i="1"/>
  <c r="E98" i="1"/>
  <c r="H98" i="1"/>
  <c r="E99" i="1"/>
  <c r="H99" i="1"/>
  <c r="AD99" i="1"/>
  <c r="E100" i="1"/>
  <c r="H100" i="1"/>
  <c r="O100" i="1"/>
  <c r="V100" i="1"/>
  <c r="E101" i="1"/>
  <c r="H101" i="1"/>
  <c r="M101" i="1"/>
  <c r="N101" i="1"/>
  <c r="Z101" i="1"/>
  <c r="AA101" i="1"/>
  <c r="AH101" i="1"/>
  <c r="E102" i="1"/>
  <c r="H102" i="1"/>
  <c r="V102" i="1"/>
  <c r="E103" i="1"/>
  <c r="H103" i="1"/>
  <c r="R103" i="1"/>
  <c r="U103" i="1"/>
  <c r="W103" i="1"/>
  <c r="E104" i="1"/>
  <c r="H104" i="1"/>
  <c r="N104" i="1"/>
  <c r="AA104" i="1"/>
  <c r="E105" i="1"/>
  <c r="H105" i="1"/>
  <c r="E106" i="1"/>
  <c r="H106" i="1"/>
  <c r="P106" i="1"/>
  <c r="V106" i="1"/>
  <c r="E107" i="1"/>
  <c r="W107" i="1"/>
  <c r="AE107" i="1"/>
  <c r="AF107" i="1"/>
  <c r="E108" i="1"/>
  <c r="H108" i="1"/>
  <c r="Q108" i="1"/>
  <c r="T108" i="1"/>
  <c r="E109" i="1"/>
  <c r="H109" i="1"/>
  <c r="AD109" i="1"/>
  <c r="E110" i="1"/>
  <c r="H110" i="1"/>
  <c r="O110" i="1"/>
  <c r="AF110" i="1"/>
  <c r="E111" i="1"/>
  <c r="H111" i="1"/>
  <c r="J111" i="1"/>
  <c r="X111" i="1"/>
  <c r="Y111" i="1"/>
  <c r="E112" i="1"/>
  <c r="H112" i="1"/>
  <c r="X112" i="1"/>
  <c r="Y112" i="1"/>
  <c r="AC112" i="1"/>
  <c r="E113" i="1"/>
  <c r="H113" i="1"/>
  <c r="O113" i="1"/>
  <c r="V113" i="1"/>
  <c r="E114" i="1"/>
  <c r="H114" i="1"/>
  <c r="I114" i="1"/>
  <c r="J114" i="1"/>
  <c r="K114" i="1"/>
  <c r="L114" i="1"/>
  <c r="P114" i="1"/>
  <c r="V114" i="1"/>
  <c r="X114" i="1"/>
  <c r="Y114" i="1"/>
  <c r="AD114" i="1"/>
  <c r="E115" i="1"/>
  <c r="H115" i="1"/>
  <c r="AD115" i="1"/>
  <c r="AF115" i="1"/>
  <c r="AG115" i="1"/>
  <c r="AH115" i="1"/>
  <c r="E116" i="1"/>
  <c r="H116" i="1"/>
  <c r="Q116" i="1"/>
  <c r="S116" i="1"/>
  <c r="E117" i="1"/>
  <c r="O117" i="1"/>
  <c r="W117" i="1"/>
  <c r="E118" i="1"/>
  <c r="H118" i="1"/>
  <c r="R118" i="1"/>
  <c r="U118" i="1"/>
  <c r="W118" i="1"/>
  <c r="E119" i="1"/>
  <c r="H119" i="1"/>
  <c r="O119" i="1"/>
  <c r="V119" i="1"/>
  <c r="E120" i="1"/>
  <c r="H120" i="1"/>
  <c r="L120" i="1"/>
  <c r="AD120" i="1"/>
  <c r="E121" i="1"/>
  <c r="H121" i="1"/>
  <c r="Q121" i="1"/>
  <c r="S121" i="1"/>
  <c r="E122" i="1"/>
  <c r="H122" i="1"/>
  <c r="E123" i="1"/>
  <c r="H123" i="1"/>
  <c r="X123" i="1"/>
  <c r="Y123" i="1"/>
  <c r="E124" i="1"/>
  <c r="H124" i="1"/>
  <c r="R124" i="1"/>
  <c r="W124" i="1"/>
  <c r="X124" i="1"/>
  <c r="Y124" i="1"/>
  <c r="AD124" i="1"/>
  <c r="E125" i="1"/>
  <c r="H125" i="1"/>
  <c r="E126" i="1"/>
  <c r="H126" i="1"/>
  <c r="O126" i="1"/>
  <c r="R126" i="1"/>
  <c r="U126" i="1"/>
  <c r="W126" i="1"/>
  <c r="E127" i="1"/>
  <c r="H127" i="1"/>
  <c r="X127" i="1"/>
  <c r="Y127" i="1"/>
  <c r="E128" i="1"/>
  <c r="H128" i="1"/>
  <c r="N128" i="1"/>
  <c r="E129" i="1"/>
  <c r="H129" i="1"/>
  <c r="N129" i="1"/>
  <c r="AA129" i="1"/>
  <c r="E130" i="1"/>
  <c r="H130" i="1"/>
  <c r="E131" i="1"/>
  <c r="H131" i="1"/>
  <c r="E132" i="1"/>
  <c r="H132" i="1"/>
  <c r="Q132" i="1"/>
  <c r="E133" i="1"/>
  <c r="H133" i="1"/>
  <c r="I133" i="1"/>
  <c r="J133" i="1"/>
  <c r="M133" i="1"/>
  <c r="N133" i="1"/>
  <c r="Z133" i="1"/>
  <c r="AA133" i="1"/>
  <c r="AG133" i="1"/>
  <c r="AH133" i="1"/>
  <c r="E134" i="1"/>
  <c r="H134" i="1"/>
  <c r="I134" i="1"/>
  <c r="M134" i="1"/>
  <c r="N134" i="1"/>
  <c r="E135" i="1"/>
  <c r="H135" i="1"/>
  <c r="K135" i="1"/>
  <c r="L135" i="1"/>
  <c r="V135" i="1"/>
  <c r="E136" i="1"/>
  <c r="H136" i="1"/>
  <c r="R136" i="1"/>
  <c r="U136" i="1"/>
  <c r="E137" i="1"/>
  <c r="H137" i="1"/>
  <c r="Q137" i="1"/>
  <c r="T137" i="1"/>
  <c r="E138" i="1"/>
  <c r="X138" i="1"/>
  <c r="Y138" i="1"/>
  <c r="AB138" i="1"/>
  <c r="AD138" i="1"/>
  <c r="E139" i="1"/>
  <c r="H139" i="1"/>
  <c r="M139" i="1"/>
  <c r="N139" i="1"/>
  <c r="Z139" i="1"/>
  <c r="AA139" i="1"/>
  <c r="AG139" i="1"/>
  <c r="AH139" i="1"/>
  <c r="E140" i="1"/>
  <c r="H140" i="1"/>
  <c r="E141" i="1"/>
  <c r="H141" i="1"/>
  <c r="E142" i="1"/>
  <c r="H142" i="1"/>
  <c r="I142" i="1"/>
  <c r="J142" i="1"/>
  <c r="O142" i="1"/>
  <c r="AB142" i="1"/>
  <c r="E143" i="1"/>
  <c r="H143" i="1"/>
  <c r="AD143" i="1"/>
  <c r="E144" i="1"/>
  <c r="X144" i="1"/>
  <c r="Y144" i="1"/>
  <c r="E145" i="1"/>
  <c r="H145" i="1"/>
  <c r="O145" i="1"/>
  <c r="X145" i="1"/>
  <c r="Y145" i="1"/>
  <c r="AD145" i="1"/>
  <c r="E146" i="1"/>
  <c r="U146" i="1"/>
  <c r="W146" i="1"/>
  <c r="X146" i="1"/>
  <c r="Y146" i="1"/>
  <c r="AD146" i="1"/>
  <c r="AF146" i="1"/>
  <c r="E147" i="1"/>
  <c r="H147" i="1"/>
  <c r="U147" i="1"/>
  <c r="W147" i="1"/>
  <c r="E148" i="1"/>
  <c r="H148" i="1"/>
  <c r="E149" i="1"/>
  <c r="H149" i="1"/>
  <c r="X149" i="1"/>
  <c r="Y149" i="1"/>
  <c r="E150" i="1"/>
  <c r="H150" i="1"/>
  <c r="O150" i="1"/>
  <c r="X150" i="1"/>
  <c r="Y150" i="1"/>
  <c r="AB150" i="1"/>
  <c r="AC150" i="1"/>
  <c r="AD150" i="1"/>
  <c r="E151" i="1"/>
  <c r="H151" i="1"/>
  <c r="K151" i="1"/>
  <c r="L151" i="1"/>
  <c r="E152" i="1"/>
  <c r="H152" i="1"/>
  <c r="K152" i="1"/>
  <c r="L152" i="1"/>
  <c r="O152" i="1"/>
  <c r="V152" i="1"/>
  <c r="E153" i="1"/>
  <c r="H153" i="1"/>
  <c r="O153" i="1"/>
  <c r="X153" i="1"/>
  <c r="Y153" i="1"/>
  <c r="AD153" i="1"/>
  <c r="E154" i="1"/>
  <c r="H154" i="1"/>
  <c r="Q154" i="1"/>
  <c r="T154" i="1"/>
  <c r="E155" i="1"/>
  <c r="H155" i="1"/>
  <c r="E156" i="1"/>
  <c r="H156" i="1"/>
  <c r="E157" i="1"/>
  <c r="H157" i="1"/>
  <c r="W157" i="1"/>
  <c r="X157" i="1"/>
  <c r="Y157" i="1"/>
  <c r="AF157" i="1"/>
  <c r="E158" i="1"/>
  <c r="H158" i="1"/>
  <c r="E159" i="1"/>
  <c r="H159" i="1"/>
  <c r="K159" i="1"/>
  <c r="L159" i="1"/>
  <c r="O159" i="1"/>
  <c r="X159" i="1"/>
  <c r="Y159" i="1"/>
  <c r="E160" i="1"/>
  <c r="H160" i="1"/>
  <c r="E161" i="1"/>
  <c r="X161" i="1"/>
  <c r="Y161" i="1"/>
  <c r="E162" i="1"/>
  <c r="H162" i="1"/>
  <c r="V162" i="1"/>
  <c r="E163" i="1"/>
  <c r="H163" i="1"/>
  <c r="E164" i="1"/>
  <c r="H164" i="1"/>
  <c r="Q164" i="1"/>
  <c r="E165" i="1"/>
  <c r="H165" i="1"/>
  <c r="Q165" i="1"/>
  <c r="T165" i="1"/>
  <c r="E166" i="1"/>
  <c r="H166" i="1"/>
  <c r="K166" i="1"/>
  <c r="L166" i="1"/>
  <c r="E167" i="1"/>
  <c r="AG167" i="1"/>
  <c r="AH167" i="1"/>
  <c r="E168" i="1"/>
  <c r="H168" i="1"/>
  <c r="M168" i="1"/>
  <c r="Z168" i="1"/>
  <c r="AA168" i="1"/>
  <c r="AG168" i="1"/>
  <c r="AH168" i="1"/>
  <c r="E169" i="1"/>
  <c r="H169" i="1"/>
  <c r="U169" i="1"/>
  <c r="W169" i="1"/>
  <c r="X169" i="1"/>
  <c r="Y169" i="1"/>
  <c r="AD169" i="1"/>
  <c r="AF169" i="1"/>
  <c r="E170" i="1"/>
  <c r="H170" i="1"/>
  <c r="E171" i="1"/>
  <c r="H171" i="1"/>
  <c r="W171" i="1"/>
  <c r="X171" i="1"/>
  <c r="Y171" i="1"/>
  <c r="E172" i="1"/>
  <c r="H172" i="1"/>
  <c r="E173" i="1"/>
  <c r="H173" i="1"/>
  <c r="Q173" i="1"/>
  <c r="E174" i="1"/>
  <c r="H174" i="1"/>
  <c r="E175" i="1"/>
  <c r="H175" i="1"/>
  <c r="AB175" i="1"/>
  <c r="AC175" i="1"/>
  <c r="AE175" i="1"/>
  <c r="AF175" i="1"/>
  <c r="E176" i="1"/>
  <c r="H176" i="1"/>
  <c r="K176" i="1"/>
  <c r="L176" i="1"/>
  <c r="P176" i="1"/>
  <c r="E177" i="1"/>
  <c r="H177" i="1"/>
  <c r="K177" i="1"/>
  <c r="L177" i="1"/>
  <c r="P177" i="1"/>
  <c r="AE177" i="1"/>
  <c r="E178" i="1"/>
  <c r="H178" i="1"/>
  <c r="K178" i="1"/>
  <c r="L178" i="1"/>
  <c r="E179" i="1"/>
  <c r="H179" i="1"/>
  <c r="E180" i="1"/>
  <c r="H180" i="1"/>
  <c r="E181" i="1"/>
  <c r="H181" i="1"/>
  <c r="E182" i="1"/>
  <c r="H182" i="1"/>
  <c r="E183" i="1"/>
  <c r="H183" i="1"/>
  <c r="E184" i="1"/>
  <c r="S184" i="1"/>
  <c r="E185" i="1"/>
  <c r="H185" i="1"/>
  <c r="N185" i="1"/>
  <c r="AA185" i="1"/>
  <c r="E186" i="1"/>
  <c r="H186" i="1"/>
  <c r="N186" i="1"/>
  <c r="AA186" i="1"/>
  <c r="E187" i="1"/>
  <c r="H187" i="1"/>
  <c r="E188" i="1"/>
  <c r="H188" i="1"/>
  <c r="E189" i="1"/>
  <c r="H189" i="1"/>
  <c r="M189" i="1"/>
  <c r="N189" i="1"/>
  <c r="Z189" i="1"/>
  <c r="AA189" i="1"/>
  <c r="E190" i="1"/>
  <c r="H190" i="1"/>
  <c r="Q190" i="1"/>
  <c r="S190" i="1"/>
  <c r="E191" i="1"/>
  <c r="H191" i="1"/>
  <c r="W191" i="1"/>
  <c r="AF191" i="1"/>
  <c r="AG191" i="1"/>
  <c r="AH191" i="1"/>
  <c r="E192" i="1"/>
  <c r="H192" i="1"/>
  <c r="E193" i="1"/>
  <c r="H193" i="1"/>
  <c r="E194" i="1"/>
  <c r="V194" i="1"/>
  <c r="X194" i="1"/>
  <c r="E195" i="1"/>
  <c r="H195" i="1"/>
  <c r="K195" i="1"/>
  <c r="E196" i="1"/>
  <c r="H196" i="1"/>
  <c r="K196" i="1"/>
  <c r="L196" i="1"/>
  <c r="P196" i="1"/>
  <c r="E197" i="1"/>
  <c r="H197" i="1"/>
  <c r="E198" i="1"/>
  <c r="H198" i="1"/>
  <c r="M198" i="1"/>
  <c r="N198" i="1"/>
  <c r="AG198" i="1"/>
  <c r="AH198" i="1"/>
  <c r="E199" i="1"/>
  <c r="H199" i="1"/>
  <c r="E200" i="1"/>
  <c r="H200" i="1"/>
  <c r="Q200" i="1"/>
  <c r="S200" i="1"/>
  <c r="E201" i="1"/>
  <c r="H201" i="1"/>
  <c r="W201" i="1"/>
  <c r="AF201" i="1"/>
  <c r="E202" i="1"/>
  <c r="H202" i="1"/>
  <c r="U202" i="1"/>
  <c r="W202" i="1"/>
  <c r="X202" i="1"/>
  <c r="Y202" i="1"/>
  <c r="AD202" i="1"/>
  <c r="AF202" i="1"/>
  <c r="E203" i="1"/>
  <c r="H203" i="1"/>
  <c r="E204" i="1"/>
  <c r="H204" i="1"/>
  <c r="E205" i="1"/>
  <c r="H205" i="1"/>
  <c r="Q205" i="1"/>
  <c r="S205" i="1"/>
  <c r="E206" i="1"/>
  <c r="H206" i="1"/>
  <c r="X206" i="1"/>
  <c r="AD206" i="1"/>
  <c r="E207" i="1"/>
  <c r="H207" i="1"/>
  <c r="E208" i="1"/>
  <c r="H208" i="1"/>
  <c r="O208" i="1"/>
  <c r="W208" i="1"/>
  <c r="AF208" i="1"/>
  <c r="E209" i="1"/>
  <c r="H209" i="1"/>
  <c r="M209" i="1"/>
  <c r="N209" i="1"/>
  <c r="Z209" i="1"/>
  <c r="AA209" i="1"/>
  <c r="AG209" i="1"/>
  <c r="AH209" i="1"/>
  <c r="E210" i="1"/>
  <c r="H210" i="1"/>
  <c r="Q210" i="1"/>
  <c r="S210" i="1"/>
  <c r="E211" i="1"/>
  <c r="H211" i="1"/>
  <c r="E212" i="1"/>
  <c r="H212" i="1"/>
  <c r="J212" i="1"/>
  <c r="O212" i="1"/>
  <c r="V212" i="1"/>
  <c r="X212" i="1"/>
  <c r="Y212" i="1"/>
  <c r="AD212" i="1"/>
  <c r="AF212" i="1"/>
  <c r="E213" i="1"/>
  <c r="H213" i="1"/>
  <c r="E214" i="1"/>
  <c r="H214" i="1"/>
  <c r="E215" i="1"/>
  <c r="H215" i="1"/>
  <c r="E216" i="1"/>
  <c r="H216" i="1"/>
  <c r="Q216" i="1"/>
  <c r="S216" i="1"/>
  <c r="E217" i="1"/>
  <c r="H217" i="1"/>
  <c r="V217" i="1"/>
  <c r="E218" i="1"/>
  <c r="H218" i="1"/>
  <c r="Q218" i="1"/>
  <c r="T218" i="1"/>
  <c r="E219" i="1"/>
  <c r="H219" i="1"/>
  <c r="Q219" i="1"/>
  <c r="S219" i="1"/>
  <c r="E220" i="1"/>
  <c r="M220" i="1"/>
  <c r="Z220" i="1"/>
  <c r="AA220" i="1"/>
  <c r="AF220" i="1"/>
  <c r="AG220" i="1"/>
  <c r="AH220" i="1"/>
  <c r="E221" i="1"/>
  <c r="H221" i="1"/>
  <c r="E222" i="1"/>
  <c r="H222" i="1"/>
  <c r="E223" i="1"/>
  <c r="H223" i="1"/>
  <c r="E224" i="1"/>
  <c r="H224" i="1"/>
  <c r="E225" i="1"/>
  <c r="H225" i="1"/>
  <c r="I225" i="1"/>
  <c r="J225" i="1"/>
  <c r="M225" i="1"/>
  <c r="Z225" i="1"/>
  <c r="AG225" i="1"/>
  <c r="E226" i="1"/>
  <c r="H226" i="1"/>
  <c r="W226" i="1"/>
  <c r="X226" i="1"/>
  <c r="Y226" i="1"/>
  <c r="AD226" i="1"/>
  <c r="E227" i="1"/>
  <c r="H227" i="1"/>
  <c r="E228" i="1"/>
  <c r="S228" i="1"/>
  <c r="E229" i="1"/>
  <c r="H229" i="1"/>
  <c r="AF229" i="1"/>
  <c r="E230" i="1"/>
  <c r="H230" i="1"/>
  <c r="K230" i="1"/>
  <c r="P230" i="1"/>
  <c r="V230" i="1"/>
  <c r="E231" i="1"/>
  <c r="H231" i="1"/>
  <c r="E232" i="1"/>
  <c r="H232" i="1"/>
  <c r="E233" i="1"/>
  <c r="H233" i="1"/>
  <c r="N233" i="1"/>
  <c r="AA233" i="1"/>
  <c r="E234" i="1"/>
  <c r="H234" i="1"/>
  <c r="Q234" i="1"/>
  <c r="E235" i="1"/>
  <c r="H235" i="1"/>
  <c r="K235" i="1"/>
  <c r="E236" i="1"/>
  <c r="H236" i="1"/>
  <c r="E237" i="1"/>
  <c r="H237" i="1"/>
  <c r="U237" i="1"/>
  <c r="E238" i="1"/>
  <c r="H238" i="1"/>
  <c r="E239" i="1"/>
  <c r="S239" i="1"/>
  <c r="E240" i="1"/>
  <c r="H240" i="1"/>
  <c r="E241" i="1"/>
  <c r="H241" i="1"/>
  <c r="R241" i="1"/>
  <c r="W241" i="1"/>
  <c r="AF241" i="1"/>
  <c r="E242" i="1"/>
  <c r="P242" i="1"/>
  <c r="E243" i="1"/>
  <c r="H243" i="1"/>
  <c r="E244" i="1"/>
  <c r="H244" i="1"/>
  <c r="W244" i="1"/>
  <c r="E245" i="1"/>
  <c r="H245" i="1"/>
  <c r="E246" i="1"/>
  <c r="H246" i="1"/>
  <c r="E247" i="1"/>
  <c r="H247" i="1"/>
  <c r="Q247" i="1"/>
  <c r="E248" i="1"/>
  <c r="X248" i="1"/>
  <c r="AD248" i="1"/>
  <c r="E249" i="1"/>
  <c r="H249" i="1"/>
  <c r="E250" i="1"/>
  <c r="Z250" i="1"/>
  <c r="AG250" i="1"/>
  <c r="E251" i="1"/>
  <c r="H251" i="1"/>
  <c r="Q251" i="1"/>
  <c r="E252" i="1"/>
  <c r="H252" i="1"/>
  <c r="M252" i="1"/>
  <c r="N252" i="1"/>
  <c r="E253" i="1"/>
  <c r="W253" i="1"/>
  <c r="E254" i="1"/>
  <c r="H254" i="1"/>
  <c r="W254" i="1"/>
  <c r="E255" i="1"/>
  <c r="K255" i="1"/>
  <c r="L255" i="1"/>
  <c r="E256" i="1"/>
  <c r="W256" i="1"/>
  <c r="E257" i="1"/>
  <c r="H257" i="1"/>
  <c r="L257" i="1"/>
  <c r="V257" i="1"/>
  <c r="AC257" i="1"/>
  <c r="E258" i="1"/>
  <c r="H258" i="1"/>
  <c r="T258" i="1"/>
  <c r="E259" i="1"/>
  <c r="H259" i="1"/>
  <c r="L259" i="1"/>
  <c r="P259" i="1"/>
  <c r="AF259" i="1"/>
  <c r="E260" i="1"/>
  <c r="H260" i="1"/>
  <c r="Q260" i="1"/>
  <c r="S260" i="1"/>
  <c r="E261" i="1"/>
  <c r="H261" i="1"/>
  <c r="W261" i="1"/>
  <c r="E263" i="1"/>
  <c r="W263" i="1"/>
  <c r="E264" i="1"/>
  <c r="H264" i="1"/>
  <c r="E265" i="1"/>
  <c r="H265" i="1"/>
  <c r="E266" i="1"/>
  <c r="H266" i="1"/>
  <c r="S266" i="1"/>
  <c r="E267" i="1"/>
  <c r="H267" i="1"/>
  <c r="U267" i="1"/>
  <c r="W267" i="1"/>
  <c r="E268" i="1"/>
  <c r="H268" i="1"/>
  <c r="E269" i="1"/>
  <c r="H269" i="1"/>
  <c r="E270" i="1"/>
  <c r="H270" i="1"/>
  <c r="Q270" i="1"/>
  <c r="S270" i="1"/>
  <c r="E271" i="1"/>
  <c r="H271" i="1"/>
  <c r="K271" i="1"/>
  <c r="L271" i="1"/>
  <c r="V271" i="1"/>
  <c r="E272" i="1"/>
  <c r="H272" i="1"/>
  <c r="M272" i="1"/>
  <c r="N272" i="1"/>
  <c r="Z272" i="1"/>
  <c r="AA272" i="1"/>
  <c r="H262" i="1"/>
  <c r="E273" i="1"/>
  <c r="H273" i="1"/>
  <c r="W273" i="1"/>
  <c r="E274" i="1"/>
  <c r="H274" i="1"/>
  <c r="Q274" i="1"/>
  <c r="S274" i="1"/>
  <c r="E275" i="1"/>
  <c r="H275" i="1"/>
  <c r="E276" i="1"/>
  <c r="H276" i="1"/>
  <c r="E277" i="1"/>
  <c r="H277" i="1"/>
  <c r="W277" i="1"/>
  <c r="AF277" i="1"/>
  <c r="E278" i="1"/>
  <c r="H278" i="1"/>
  <c r="AD278" i="1"/>
  <c r="E279" i="1"/>
  <c r="U279" i="1"/>
  <c r="W279" i="1"/>
  <c r="X279" i="1"/>
  <c r="Y279" i="1"/>
  <c r="AD279" i="1"/>
  <c r="AF279" i="1"/>
  <c r="E280" i="1"/>
  <c r="H280" i="1"/>
  <c r="K280" i="1"/>
  <c r="E281" i="1"/>
  <c r="H281" i="1"/>
  <c r="E282" i="1"/>
  <c r="H282" i="1"/>
  <c r="M282" i="1"/>
  <c r="Z282" i="1"/>
  <c r="AG282" i="1"/>
  <c r="E283" i="1"/>
  <c r="H283" i="1"/>
  <c r="M283" i="1"/>
  <c r="Z283" i="1"/>
  <c r="AG283" i="1"/>
  <c r="E284" i="1"/>
  <c r="M284" i="1"/>
  <c r="U284" i="1"/>
  <c r="Z284" i="1"/>
  <c r="AA284" i="1"/>
  <c r="E285" i="1"/>
  <c r="H285" i="1"/>
  <c r="Q285" i="1"/>
  <c r="E286" i="1"/>
  <c r="W286" i="1"/>
  <c r="AD286" i="1"/>
  <c r="E287" i="1"/>
  <c r="W287" i="1"/>
  <c r="E288" i="1"/>
  <c r="M288" i="1"/>
  <c r="Z288" i="1"/>
  <c r="AG288" i="1"/>
  <c r="E289" i="1"/>
  <c r="AD289" i="1"/>
  <c r="E290" i="1"/>
  <c r="H290" i="1"/>
  <c r="E291" i="1"/>
  <c r="H291" i="1"/>
  <c r="E292" i="1"/>
  <c r="H292" i="1"/>
  <c r="Q292" i="1"/>
  <c r="E293" i="1"/>
  <c r="H293" i="1"/>
  <c r="K293" i="1"/>
  <c r="L293" i="1"/>
  <c r="O293" i="1"/>
  <c r="V293" i="1"/>
  <c r="X293" i="1"/>
  <c r="Y293" i="1"/>
  <c r="AB293" i="1"/>
  <c r="AC293" i="1"/>
  <c r="AD293" i="1"/>
  <c r="AF293" i="1"/>
  <c r="E294" i="1"/>
  <c r="W294" i="1"/>
  <c r="E295" i="1"/>
  <c r="H295" i="1"/>
  <c r="E296" i="1"/>
  <c r="H296" i="1"/>
  <c r="V296" i="1"/>
  <c r="E297" i="1"/>
  <c r="H297" i="1"/>
  <c r="X297" i="1"/>
  <c r="Y297" i="1"/>
  <c r="E298" i="1"/>
  <c r="H298" i="1"/>
  <c r="E299" i="1"/>
  <c r="H299" i="1"/>
  <c r="K299" i="1"/>
  <c r="L299" i="1"/>
  <c r="P299" i="1"/>
  <c r="E300" i="1"/>
  <c r="Q300" i="1"/>
  <c r="E301" i="1"/>
  <c r="S301" i="1"/>
  <c r="E302" i="1"/>
  <c r="H302" i="1"/>
  <c r="L302" i="1"/>
  <c r="E303" i="1"/>
  <c r="H303" i="1"/>
  <c r="E304" i="1"/>
  <c r="H304" i="1"/>
  <c r="Q304" i="1"/>
  <c r="E305" i="1"/>
  <c r="H305" i="1"/>
  <c r="W305" i="1"/>
  <c r="AF305" i="1"/>
  <c r="E306" i="1"/>
  <c r="H306" i="1"/>
  <c r="E307" i="1"/>
  <c r="H307" i="1"/>
  <c r="Q307" i="1"/>
  <c r="E308" i="1"/>
  <c r="H308" i="1"/>
  <c r="E309" i="1"/>
  <c r="H309" i="1"/>
  <c r="E310" i="1"/>
  <c r="H310" i="1"/>
  <c r="E311" i="1"/>
  <c r="S311" i="1"/>
  <c r="E312" i="1"/>
  <c r="AC312" i="1"/>
  <c r="AE312" i="1"/>
  <c r="E313" i="1"/>
  <c r="H313" i="1"/>
  <c r="W313" i="1"/>
  <c r="E314" i="1"/>
  <c r="M314" i="1"/>
  <c r="Z314" i="1"/>
  <c r="E315" i="1"/>
  <c r="H315" i="1"/>
  <c r="Q315" i="1"/>
  <c r="E316" i="1"/>
  <c r="Q316" i="1"/>
  <c r="E317" i="1"/>
  <c r="H317" i="1"/>
  <c r="E318" i="1"/>
  <c r="M318" i="1"/>
  <c r="AG318" i="1"/>
  <c r="E319" i="1"/>
  <c r="Q319" i="1"/>
  <c r="S319" i="1"/>
  <c r="E320" i="1"/>
  <c r="M320" i="1"/>
  <c r="Z320" i="1"/>
  <c r="AG320" i="1"/>
  <c r="E321" i="1"/>
  <c r="Z321" i="1"/>
  <c r="AG321" i="1"/>
  <c r="E322" i="1"/>
  <c r="H322" i="1"/>
  <c r="E323" i="1"/>
  <c r="AB323" i="1"/>
  <c r="AC323" i="1"/>
  <c r="E324" i="1"/>
  <c r="H324" i="1"/>
  <c r="W324" i="1"/>
  <c r="AF324" i="1"/>
  <c r="E325" i="1"/>
  <c r="S325" i="1"/>
  <c r="E326" i="1"/>
  <c r="H326" i="1"/>
  <c r="W326" i="1"/>
  <c r="E327" i="1"/>
  <c r="H327" i="1"/>
  <c r="E328" i="1"/>
  <c r="M328" i="1"/>
  <c r="AG328" i="1"/>
  <c r="E329" i="1"/>
  <c r="S329" i="1"/>
  <c r="E330" i="1"/>
  <c r="Z330" i="1"/>
  <c r="E331" i="1"/>
  <c r="H331" i="1"/>
  <c r="Z331" i="1"/>
  <c r="E332" i="1"/>
  <c r="W332" i="1"/>
  <c r="E333" i="1"/>
  <c r="K333" i="1"/>
  <c r="L333" i="1"/>
  <c r="E334" i="1"/>
  <c r="W334" i="1"/>
  <c r="AF334" i="1"/>
  <c r="E335" i="1"/>
  <c r="H335" i="1"/>
  <c r="T335" i="1"/>
  <c r="E336" i="1"/>
  <c r="H336" i="1"/>
  <c r="E337" i="1"/>
  <c r="H337" i="1"/>
  <c r="M337" i="1"/>
  <c r="E338" i="1"/>
  <c r="H338" i="1"/>
  <c r="AF338" i="1"/>
  <c r="E339" i="1"/>
  <c r="M339" i="1"/>
  <c r="Z339" i="1"/>
  <c r="AG339" i="1"/>
  <c r="E340" i="1"/>
  <c r="H340" i="1"/>
  <c r="E341" i="1"/>
  <c r="W341" i="1"/>
  <c r="E342" i="1"/>
  <c r="H342" i="1"/>
  <c r="E343" i="1"/>
  <c r="H343" i="1"/>
  <c r="E344" i="1"/>
  <c r="H344" i="1"/>
  <c r="E345" i="1"/>
  <c r="W345" i="1"/>
  <c r="E346" i="1"/>
  <c r="H346" i="1"/>
  <c r="K346" i="1"/>
  <c r="L346" i="1"/>
  <c r="E347" i="1"/>
  <c r="AF347" i="1"/>
  <c r="E348" i="1"/>
  <c r="Z348" i="1"/>
  <c r="AG348" i="1"/>
  <c r="E349" i="1"/>
  <c r="S349" i="1"/>
  <c r="E350" i="1"/>
  <c r="W350" i="1"/>
  <c r="E351" i="1"/>
  <c r="H351" i="1"/>
  <c r="W351" i="1"/>
  <c r="E352" i="1"/>
  <c r="H352" i="1"/>
  <c r="P352" i="1"/>
  <c r="E353" i="1"/>
  <c r="H353" i="1"/>
  <c r="E354" i="1"/>
  <c r="W354" i="1"/>
  <c r="AF354" i="1"/>
  <c r="E355" i="1"/>
  <c r="W355" i="1"/>
</calcChain>
</file>

<file path=xl/sharedStrings.xml><?xml version="1.0" encoding="utf-8"?>
<sst xmlns="http://schemas.openxmlformats.org/spreadsheetml/2006/main" count="905" uniqueCount="490">
  <si>
    <t>女子(GS)</t>
  </si>
  <si>
    <t>順位</t>
  </si>
  <si>
    <t>SAT競技者番号</t>
  </si>
  <si>
    <t>選手氏名</t>
  </si>
  <si>
    <t>団体名</t>
  </si>
  <si>
    <t>期末ポイント</t>
  </si>
  <si>
    <t>期末Fig</t>
  </si>
  <si>
    <t>最終登録年度</t>
  </si>
  <si>
    <t>前年度ポイント</t>
  </si>
  <si>
    <t>①　国体予選 女子組</t>
  </si>
  <si>
    <t>①　猪谷杯 女子組</t>
  </si>
  <si>
    <t>②南関マス１戦 女子Ｃ</t>
  </si>
  <si>
    <t>②南関マス２戦 女子Ｃ</t>
  </si>
  <si>
    <t>⑩全国高校予選（選考会） 女子</t>
  </si>
  <si>
    <t>⑩全国高校予選（本大会） 女子</t>
  </si>
  <si>
    <t>⑬ＷＳＣ選手権 女子</t>
  </si>
  <si>
    <t>⑬ＷＳＣ選手権 女子Ｍ</t>
  </si>
  <si>
    <t>③関東ユース２ Ａ・Ｂ・Ｋ１女子</t>
  </si>
  <si>
    <t>③関東ユース２ Ｋ２女子</t>
  </si>
  <si>
    <t>④関東小学生 Ａ・Ｂ女子</t>
  </si>
  <si>
    <t>④関東小学生 Ｋ１女子</t>
  </si>
  <si>
    <t>⑤南関ユース Ｋ２女子</t>
  </si>
  <si>
    <t>⑥野沢マスターズ 女子Ｃ</t>
  </si>
  <si>
    <t>⑪全中予選 女子</t>
  </si>
  <si>
    <t>⑫グレーシャー１戦 女子</t>
  </si>
  <si>
    <t>⑫グレーシャー２戦 女子</t>
  </si>
  <si>
    <t>⑭都高校　選考会 女子</t>
  </si>
  <si>
    <t>⑭都高校　本大会 女子</t>
  </si>
  <si>
    <t>⑮苗場カップ　１戦 女子</t>
  </si>
  <si>
    <t>⑮苗場カップ　２戦 女子</t>
  </si>
  <si>
    <t>⑯野辺山カップ 女子</t>
  </si>
  <si>
    <t>⑰ふそうカップ 女子</t>
  </si>
  <si>
    <t>⑱アルペン複合 女子</t>
  </si>
  <si>
    <t>⑲春高校　選考会 女子</t>
  </si>
  <si>
    <t>⑲春高校　本大会 女子</t>
  </si>
  <si>
    <t>今野 明理</t>
  </si>
  <si>
    <t>ラッチ（RACH)</t>
  </si>
  <si>
    <t>①</t>
  </si>
  <si>
    <t>山口 ゆい</t>
  </si>
  <si>
    <t>東京都高等学校体育連盟スキー部</t>
  </si>
  <si>
    <t>*</t>
  </si>
  <si>
    <t>齋藤 夏実</t>
  </si>
  <si>
    <t>根本 風花</t>
  </si>
  <si>
    <t>中渡 智香</t>
  </si>
  <si>
    <t>足立区スキー協会</t>
  </si>
  <si>
    <t>鈴木 奈渚</t>
  </si>
  <si>
    <t>小俣 優香</t>
  </si>
  <si>
    <t>荒井 佑沙</t>
  </si>
  <si>
    <t>カンダハートライブ レーシング</t>
  </si>
  <si>
    <t>石渡 実香</t>
  </si>
  <si>
    <t>萩野 真由子</t>
  </si>
  <si>
    <t>サンダーグスキークラブ</t>
  </si>
  <si>
    <t>西川 桜子</t>
  </si>
  <si>
    <t>ＩＣＩ石井スポーツスキークラブ</t>
  </si>
  <si>
    <t>四戸 里美</t>
  </si>
  <si>
    <t>市川 紗理奈</t>
  </si>
  <si>
    <t>栗山 夏美</t>
  </si>
  <si>
    <t>八王子スキー連盟</t>
  </si>
  <si>
    <t>中谷 順子</t>
  </si>
  <si>
    <t>スノースケープ</t>
  </si>
  <si>
    <t>鈴木 さくら</t>
  </si>
  <si>
    <t>立野 里佳</t>
  </si>
  <si>
    <t>ディップス スキークラブ</t>
  </si>
  <si>
    <t>吉田 美輝子</t>
  </si>
  <si>
    <t>野辺山スキークラブ</t>
  </si>
  <si>
    <t>森田 亜紀</t>
  </si>
  <si>
    <t>チーム０２スキークラブ</t>
  </si>
  <si>
    <t>寺﨑 涼香</t>
  </si>
  <si>
    <t>西沢 優佳里</t>
  </si>
  <si>
    <t>堤 愛理</t>
  </si>
  <si>
    <t>渡辺 ひかる</t>
  </si>
  <si>
    <t>東京都中学校体育連盟スキー部</t>
  </si>
  <si>
    <t>森川 順子</t>
  </si>
  <si>
    <t>武蔵野市スキー連盟</t>
  </si>
  <si>
    <t>加藤 めぐみ</t>
  </si>
  <si>
    <t>ティンバーライン</t>
  </si>
  <si>
    <t>佐々木 茜</t>
  </si>
  <si>
    <t>穴井 まきこ</t>
  </si>
  <si>
    <t>ゲインレーシングチーム</t>
  </si>
  <si>
    <t>渡邊 倭</t>
  </si>
  <si>
    <t>佐藤 舞祐</t>
  </si>
  <si>
    <t>福山 駒千</t>
  </si>
  <si>
    <t>東京カモシカスキークラブ</t>
  </si>
  <si>
    <t>平野 沙織</t>
  </si>
  <si>
    <t>鎌田 優衣</t>
  </si>
  <si>
    <t>小林 由</t>
  </si>
  <si>
    <t>大金 昭子</t>
  </si>
  <si>
    <t>北区スキー連盟</t>
  </si>
  <si>
    <t>吉澤 恭子</t>
  </si>
  <si>
    <t>エーデル・スキー・クラブ</t>
  </si>
  <si>
    <t>保坂 礼子</t>
  </si>
  <si>
    <t>アスペンスキークラブ</t>
  </si>
  <si>
    <t>南久松 奈々</t>
  </si>
  <si>
    <t>エスプーマスキーチーム</t>
  </si>
  <si>
    <t>福岡 真子</t>
  </si>
  <si>
    <t>中田 萌</t>
  </si>
  <si>
    <t>中桐 悠夏</t>
  </si>
  <si>
    <t>山田 かれん</t>
  </si>
  <si>
    <t>柳 志恵</t>
  </si>
  <si>
    <t>田中 悦子</t>
  </si>
  <si>
    <t>高原 里歩</t>
  </si>
  <si>
    <t>嶋崎 愛文</t>
  </si>
  <si>
    <t>吉田 絢音</t>
  </si>
  <si>
    <t>東京デフスキークラブ</t>
  </si>
  <si>
    <t>荻野 咲子</t>
  </si>
  <si>
    <t>山下 真衣亜</t>
  </si>
  <si>
    <t>寶田 奈緒</t>
  </si>
  <si>
    <t>岩崎 愛</t>
  </si>
  <si>
    <t>齋藤 きらり</t>
  </si>
  <si>
    <t>原田 朱莉</t>
  </si>
  <si>
    <t>大塚 綾子</t>
  </si>
  <si>
    <t>ステューピッドスキークラブ</t>
  </si>
  <si>
    <t>齊藤 友風</t>
  </si>
  <si>
    <t>谷合 海南</t>
  </si>
  <si>
    <t>小倉 悠穂</t>
  </si>
  <si>
    <t>大川 瑚夏</t>
  </si>
  <si>
    <t>伊藤 康代</t>
  </si>
  <si>
    <t>ＭＡＸＩＭＵＭスキーチーム</t>
  </si>
  <si>
    <t>鈴木 眞乃</t>
  </si>
  <si>
    <t>中島 圭子</t>
  </si>
  <si>
    <t>楠本 夏花</t>
  </si>
  <si>
    <t>深澤 かおり</t>
  </si>
  <si>
    <t>ホリディスキークラブ</t>
  </si>
  <si>
    <t>齊藤 瑚子</t>
  </si>
  <si>
    <t>ジューディッチ マリアキアラ</t>
  </si>
  <si>
    <t>樋田 葵</t>
  </si>
  <si>
    <t>松本 亜希子</t>
  </si>
  <si>
    <t>浅貝スキークラブ</t>
  </si>
  <si>
    <t>増田 真実子</t>
  </si>
  <si>
    <t>東京スキー研究会</t>
  </si>
  <si>
    <t>北森 渚砂</t>
  </si>
  <si>
    <t>船田 美咲</t>
  </si>
  <si>
    <t>山下 栄海由</t>
  </si>
  <si>
    <t>室田 陽子</t>
  </si>
  <si>
    <t>ＵＮＯスキークラブ</t>
  </si>
  <si>
    <t>小野崎 萌</t>
  </si>
  <si>
    <t>市川 美枝子</t>
  </si>
  <si>
    <t>若葉スキークラブ</t>
  </si>
  <si>
    <t>酒井 瞳</t>
  </si>
  <si>
    <t>アカデミースキークラブ</t>
  </si>
  <si>
    <t>田中 菜々恵</t>
  </si>
  <si>
    <t>永瀬 姫菜</t>
  </si>
  <si>
    <t>大髙 千絵</t>
  </si>
  <si>
    <t>西沢 菜央</t>
  </si>
  <si>
    <t>鳴島 沙紀</t>
  </si>
  <si>
    <t>小林 香乃子</t>
  </si>
  <si>
    <t>上條 蓮奈</t>
  </si>
  <si>
    <t>チームディーエルベーハースキークラブ</t>
  </si>
  <si>
    <t>猪野 愛梨亜</t>
  </si>
  <si>
    <t>金綱 志保</t>
  </si>
  <si>
    <t>松山 暁</t>
  </si>
  <si>
    <t>東京アマチュア・スキー・クラブ</t>
  </si>
  <si>
    <t>谷 紀子</t>
  </si>
  <si>
    <t>日立製作所本社スキー部</t>
  </si>
  <si>
    <t>園部 水優</t>
  </si>
  <si>
    <t>鈴木 美冬</t>
  </si>
  <si>
    <t>練馬区スキー協会</t>
  </si>
  <si>
    <t>梅園 紗也夏</t>
  </si>
  <si>
    <t>酒井 あすか</t>
  </si>
  <si>
    <t>チロルスキークラブ</t>
  </si>
  <si>
    <t>荻野 奈々子</t>
  </si>
  <si>
    <t>斉藤 絵美子</t>
  </si>
  <si>
    <t>大田区役所スキー部</t>
  </si>
  <si>
    <t>杉下 千明</t>
  </si>
  <si>
    <t>中俣 美咲</t>
  </si>
  <si>
    <t>高橋 里絵子</t>
  </si>
  <si>
    <t>岡村 彩加</t>
  </si>
  <si>
    <t>鈴木 彩香</t>
  </si>
  <si>
    <t>ジャスク</t>
  </si>
  <si>
    <t>木下 奈々</t>
  </si>
  <si>
    <t>チーム　ラッシュ</t>
  </si>
  <si>
    <t>篠塚 しのぶ</t>
  </si>
  <si>
    <t>スキーチームアスリート</t>
  </si>
  <si>
    <t>峯岸 茜</t>
  </si>
  <si>
    <t>石井 裕美</t>
  </si>
  <si>
    <t>丸沼高原レーシングクラブ</t>
  </si>
  <si>
    <t>德重 舞</t>
  </si>
  <si>
    <t>藤田 稀美</t>
  </si>
  <si>
    <t>山口 彩希</t>
  </si>
  <si>
    <t>杉並区スキー連盟</t>
  </si>
  <si>
    <t>福原 眞澄</t>
  </si>
  <si>
    <t>世田谷区スキー協会</t>
  </si>
  <si>
    <t>吉岡 栞</t>
  </si>
  <si>
    <t>細田 光希</t>
  </si>
  <si>
    <t>渕脇 達代</t>
  </si>
  <si>
    <t>アロースキークラブ</t>
  </si>
  <si>
    <t>澤田 陽子</t>
  </si>
  <si>
    <t>ブランシェリースキー クローブ</t>
  </si>
  <si>
    <t>柳島 理佐子</t>
  </si>
  <si>
    <t>新宿スキークラブ</t>
  </si>
  <si>
    <t>太田 ゆかり</t>
  </si>
  <si>
    <t>東京燕スキー倶楽部</t>
  </si>
  <si>
    <t>笠間 敏江</t>
  </si>
  <si>
    <t>坂井 真由美</t>
  </si>
  <si>
    <t>宇田川 藍</t>
  </si>
  <si>
    <t>行田 ゆう</t>
  </si>
  <si>
    <t>小澤 知華子</t>
  </si>
  <si>
    <t>難波 さくら</t>
  </si>
  <si>
    <t>干場 智子</t>
  </si>
  <si>
    <t>宮本 香苗</t>
  </si>
  <si>
    <t>村上 明日香</t>
  </si>
  <si>
    <t>バディスポーツクラブ</t>
  </si>
  <si>
    <t>阿部 莉沙子</t>
  </si>
  <si>
    <t>グランバン・レーシング</t>
  </si>
  <si>
    <t>義久 直子</t>
  </si>
  <si>
    <t>江東区スキー連盟</t>
  </si>
  <si>
    <t>安藤 巴菜</t>
  </si>
  <si>
    <t>大橋 史華</t>
  </si>
  <si>
    <t>清瀬スキー倶楽部</t>
  </si>
  <si>
    <t>大門 由真</t>
  </si>
  <si>
    <t>野原 玲</t>
  </si>
  <si>
    <t>ウィッツ</t>
  </si>
  <si>
    <t>中川 碧恵</t>
  </si>
  <si>
    <t>室橋 美早紀</t>
  </si>
  <si>
    <t>渡辺 紗矢</t>
  </si>
  <si>
    <t>アールビー　トウキョウ</t>
  </si>
  <si>
    <t>金原 珠恵</t>
  </si>
  <si>
    <t>トラームスキークラブ</t>
  </si>
  <si>
    <t>中冨 結衣</t>
  </si>
  <si>
    <t>大越 春佳</t>
  </si>
  <si>
    <t>後藤 優里</t>
  </si>
  <si>
    <t>戸川 ふゆき</t>
  </si>
  <si>
    <t>武富 零央</t>
  </si>
  <si>
    <t>ツィールトウキョウ（Ｚieｌ Tokyo)</t>
  </si>
  <si>
    <t>島田 ティナ</t>
  </si>
  <si>
    <t>川又 真有美</t>
  </si>
  <si>
    <t>日本ユニシススキークラブ</t>
  </si>
  <si>
    <t>石井 雅萌</t>
  </si>
  <si>
    <t>狩野 ゆりえ</t>
  </si>
  <si>
    <t>成城スキークラブ</t>
  </si>
  <si>
    <t>岩朝 恵美</t>
  </si>
  <si>
    <t>ユーエスエムアール</t>
  </si>
  <si>
    <t>竹内 尚美</t>
  </si>
  <si>
    <t>鈴木 優里</t>
  </si>
  <si>
    <t>橋本 莉子</t>
  </si>
  <si>
    <t>制野 千賀子</t>
  </si>
  <si>
    <t>ＮＥＣ府中スキー部</t>
  </si>
  <si>
    <t>鈴木 菜々子</t>
  </si>
  <si>
    <t>磯﨑 貴奈</t>
  </si>
  <si>
    <t>豊島 明莉</t>
  </si>
  <si>
    <t>中村 晶子</t>
  </si>
  <si>
    <t>前田 千広</t>
  </si>
  <si>
    <t>染谷 雪恵</t>
  </si>
  <si>
    <t>エスプリレーシング</t>
  </si>
  <si>
    <t>吉岡 ゆかり</t>
  </si>
  <si>
    <t>小川 愛</t>
  </si>
  <si>
    <t>澤村 クレタ</t>
  </si>
  <si>
    <t>宮嶋 有紀子</t>
  </si>
  <si>
    <t>二十日石アルペンスキークラブ</t>
  </si>
  <si>
    <t>上平 梢</t>
  </si>
  <si>
    <t>髙橋 麻佑</t>
  </si>
  <si>
    <t>遠藤 美紗希</t>
  </si>
  <si>
    <t>喜多 由美</t>
  </si>
  <si>
    <t>デモネージュスキークラブ</t>
  </si>
  <si>
    <t>大屋 佳子</t>
  </si>
  <si>
    <t>特別区職員文化体育会スキー部</t>
  </si>
  <si>
    <t>山田 美登里</t>
  </si>
  <si>
    <t>三鷹市スキー連盟</t>
  </si>
  <si>
    <t>川上 真佐子</t>
  </si>
  <si>
    <t>荒川区スキー連盟</t>
  </si>
  <si>
    <t>眞鍋 栞梨</t>
  </si>
  <si>
    <t>坂 沙希子</t>
  </si>
  <si>
    <t>青木 愛</t>
  </si>
  <si>
    <t>上村 貴代子</t>
  </si>
  <si>
    <t>山本 椋子</t>
  </si>
  <si>
    <t>城ヶ崎 小都</t>
  </si>
  <si>
    <t>森谷 瑠花</t>
  </si>
  <si>
    <t>藤原 明香</t>
  </si>
  <si>
    <t>東京ベーレンスキークラブ</t>
  </si>
  <si>
    <t>宮澤 莉子</t>
  </si>
  <si>
    <t>高橋 佑佳</t>
  </si>
  <si>
    <t>中島 翠生</t>
  </si>
  <si>
    <t>鎌田 理緒</t>
  </si>
  <si>
    <t>城田 千晶</t>
  </si>
  <si>
    <t>松本 キヨ子</t>
  </si>
  <si>
    <t>栗本 ゆう子</t>
  </si>
  <si>
    <t>ヌプリスキー同人</t>
  </si>
  <si>
    <t>水田 朝子</t>
  </si>
  <si>
    <t>港区スキー連盟</t>
  </si>
  <si>
    <t>石井 裕子</t>
  </si>
  <si>
    <t>フロイデ・シー・グルッペ</t>
  </si>
  <si>
    <t>工藤 莉里</t>
  </si>
  <si>
    <t>小松 晴美</t>
  </si>
  <si>
    <t>メティースキークラブ</t>
  </si>
  <si>
    <t>中島 聖生</t>
  </si>
  <si>
    <t>松田 瑞稀</t>
  </si>
  <si>
    <t>上條 華奈</t>
  </si>
  <si>
    <t>小原 万理恵</t>
  </si>
  <si>
    <t>稲垣 由奈</t>
  </si>
  <si>
    <t>滝 れい</t>
  </si>
  <si>
    <t>田島 南海</t>
  </si>
  <si>
    <t>井上 彩衣</t>
  </si>
  <si>
    <t>喜地 真鈴</t>
  </si>
  <si>
    <t>伊東 佑奈</t>
  </si>
  <si>
    <t>笹目 由紀恵</t>
  </si>
  <si>
    <t>渡辺 美帆</t>
  </si>
  <si>
    <t>スポーツユニティ</t>
  </si>
  <si>
    <t>鈴川 知子</t>
  </si>
  <si>
    <t>ベラーク</t>
  </si>
  <si>
    <t>川島 紀代美</t>
  </si>
  <si>
    <t>板橋区スキー協会</t>
  </si>
  <si>
    <t>深澤 睦子</t>
  </si>
  <si>
    <t>トルベ・コムラード</t>
  </si>
  <si>
    <t>児玉 千尋</t>
  </si>
  <si>
    <t>奥田 淑乃</t>
  </si>
  <si>
    <t>佃 瞳子</t>
  </si>
  <si>
    <t>長野 蒼生</t>
  </si>
  <si>
    <t>矢頭 千夏</t>
  </si>
  <si>
    <t>小川 慶都</t>
  </si>
  <si>
    <t>小山 かやの</t>
  </si>
  <si>
    <t>雪桜会</t>
  </si>
  <si>
    <t>藤田 美怜</t>
  </si>
  <si>
    <t>清田 華</t>
  </si>
  <si>
    <t>武井 久子</t>
  </si>
  <si>
    <t>チーム・ビートゥー・ゼット</t>
  </si>
  <si>
    <t>日高 絵梨香</t>
  </si>
  <si>
    <t>緑川 慶子</t>
  </si>
  <si>
    <t>鈴木 陽菜子</t>
  </si>
  <si>
    <t>島田 リリア</t>
  </si>
  <si>
    <t>村岡 美紀</t>
  </si>
  <si>
    <t>渋谷区スキー連盟</t>
  </si>
  <si>
    <t>石野 ちはる</t>
  </si>
  <si>
    <t>渋谷 咲綺</t>
  </si>
  <si>
    <t>埼玉県スキー連盟</t>
  </si>
  <si>
    <t>佃 柊子</t>
  </si>
  <si>
    <t>松尾 有紗</t>
  </si>
  <si>
    <t>森 理葉</t>
  </si>
  <si>
    <t>安蔵 素乃</t>
  </si>
  <si>
    <t>髙井 奏乃</t>
  </si>
  <si>
    <t>野上 千尋</t>
  </si>
  <si>
    <t>西本 有希</t>
  </si>
  <si>
    <t>三橋 恵</t>
  </si>
  <si>
    <t>太田 美子</t>
  </si>
  <si>
    <t>峯岸 舞</t>
  </si>
  <si>
    <t>楫野 美穂</t>
  </si>
  <si>
    <t>白馬スキークラブ</t>
  </si>
  <si>
    <t>木村 美玖</t>
  </si>
  <si>
    <t>森岡 真希奈</t>
  </si>
  <si>
    <t>佐々木 幸子</t>
  </si>
  <si>
    <t>イエティスキークラブ</t>
  </si>
  <si>
    <t>雑賀 香帆</t>
  </si>
  <si>
    <t>小田桐 茉柚</t>
  </si>
  <si>
    <t>谷 寿子</t>
  </si>
  <si>
    <t>三田ディモンズクラブ</t>
  </si>
  <si>
    <t>設楽 章子</t>
  </si>
  <si>
    <t>小河 裕子</t>
  </si>
  <si>
    <t>奥多摩スキークラブ</t>
  </si>
  <si>
    <t>杉山 未彩</t>
  </si>
  <si>
    <t>東 伊織</t>
  </si>
  <si>
    <t>野尻 幸子</t>
  </si>
  <si>
    <t>齋藤 千穂</t>
  </si>
  <si>
    <t>石川 彩音</t>
  </si>
  <si>
    <t>小沼 有見佳</t>
  </si>
  <si>
    <t>滝内 瑠彩</t>
  </si>
  <si>
    <t>蟹澤 初美</t>
  </si>
  <si>
    <t>細谷 くるみ</t>
  </si>
  <si>
    <t>筧 優子</t>
  </si>
  <si>
    <t>三田リーゼンスキークラブ</t>
  </si>
  <si>
    <t>掛川 京子</t>
  </si>
  <si>
    <t>西村 三咲</t>
  </si>
  <si>
    <t>小野口 真淑</t>
  </si>
  <si>
    <t>内藤 えみ子</t>
  </si>
  <si>
    <t>日本レーシングスキークラブ</t>
  </si>
  <si>
    <t>田中 葵</t>
  </si>
  <si>
    <t>（公財）神奈川県スキー連盟</t>
  </si>
  <si>
    <t>渕脇 智香子</t>
  </si>
  <si>
    <t>才野木 緑</t>
  </si>
  <si>
    <t>渡邉 幸菜</t>
  </si>
  <si>
    <t>辻口 由奈</t>
  </si>
  <si>
    <t>天野 美奈</t>
  </si>
  <si>
    <t>谷合 海紅</t>
  </si>
  <si>
    <t>濱田 悠嘉</t>
  </si>
  <si>
    <t>星田 慶子</t>
  </si>
  <si>
    <t>大泉 理香子</t>
  </si>
  <si>
    <t>山田 道子</t>
  </si>
  <si>
    <t>石川 優</t>
  </si>
  <si>
    <t>スポーツファンクション</t>
  </si>
  <si>
    <t>岡田 加苗</t>
  </si>
  <si>
    <t>白濱 里織</t>
  </si>
  <si>
    <t>加藤 遥</t>
  </si>
  <si>
    <t>早河 心夢</t>
  </si>
  <si>
    <t>後藤 美裕</t>
  </si>
  <si>
    <t>シュアスキークラブ</t>
  </si>
  <si>
    <t>玄地 里佳子</t>
  </si>
  <si>
    <t>ジーファクトリー</t>
  </si>
  <si>
    <t>岡村 リサ</t>
  </si>
  <si>
    <t>松原 由依</t>
  </si>
  <si>
    <t>松下 陽子</t>
  </si>
  <si>
    <t>磯崎 小菜美</t>
  </si>
  <si>
    <t>菊池 優菜</t>
  </si>
  <si>
    <t>辻 あき江</t>
  </si>
  <si>
    <t>野邊 あかり</t>
  </si>
  <si>
    <t>矢ヶ崎 尚江</t>
  </si>
  <si>
    <t>ダンディ・スキー・クラブ</t>
  </si>
  <si>
    <t>笹口 果乃</t>
  </si>
  <si>
    <t>石井 咲亜耶</t>
  </si>
  <si>
    <t>藤本 紗希</t>
  </si>
  <si>
    <t>河内 香織</t>
  </si>
  <si>
    <t>足立 莉菜</t>
  </si>
  <si>
    <t>横溝 女莉</t>
  </si>
  <si>
    <t>石井 輝織</t>
  </si>
  <si>
    <t>斉藤 美紀</t>
  </si>
  <si>
    <t>原 露子</t>
  </si>
  <si>
    <t>Ｓ．Ｃ．コロポックル</t>
  </si>
  <si>
    <t>小原 遙佳</t>
  </si>
  <si>
    <t>齋藤 恭子</t>
  </si>
  <si>
    <t>野木 瑞恵</t>
  </si>
  <si>
    <t>森井 華</t>
  </si>
  <si>
    <t>柴田 小斗</t>
  </si>
  <si>
    <t>吉川 ちとせ</t>
  </si>
  <si>
    <t>林 麻衣子</t>
  </si>
  <si>
    <t>加藤 高子</t>
  </si>
  <si>
    <t>原田 宏子</t>
  </si>
  <si>
    <t>落合 麻理子</t>
  </si>
  <si>
    <t>ヴァイス・ホルン</t>
  </si>
  <si>
    <t>土志田 理佐</t>
  </si>
  <si>
    <t>酒井 ますみ</t>
  </si>
  <si>
    <t>箕輪 怜奈</t>
  </si>
  <si>
    <t>赤坂 陽子</t>
  </si>
  <si>
    <t>ＫＤＤＩスキークラブ</t>
  </si>
  <si>
    <t>桜井 圭子</t>
  </si>
  <si>
    <t>岩崎 香絵</t>
  </si>
  <si>
    <t>三井 睦貴</t>
  </si>
  <si>
    <t>本田 睦子</t>
  </si>
  <si>
    <t>舩川 みのり</t>
  </si>
  <si>
    <t>石塚 千尋</t>
  </si>
  <si>
    <t>板倉 三恵子</t>
  </si>
  <si>
    <t>姉崎 洋子</t>
  </si>
  <si>
    <t>仲山スキークラブ</t>
  </si>
  <si>
    <t>森井 愛</t>
  </si>
  <si>
    <t>來田 百合香</t>
  </si>
  <si>
    <t>大矢 優樹</t>
  </si>
  <si>
    <t>やまなみスキークラブ</t>
  </si>
  <si>
    <t>桂 唯夏</t>
  </si>
  <si>
    <t>安川 容子</t>
  </si>
  <si>
    <t>ロベンドスキークラブ</t>
  </si>
  <si>
    <t>鈴木 早苗</t>
  </si>
  <si>
    <t>金沢 由紀</t>
  </si>
  <si>
    <t>松本 莉奈</t>
  </si>
  <si>
    <t>花岡 奈那子</t>
  </si>
  <si>
    <t>山口 玲奈</t>
  </si>
  <si>
    <t>羽月 詩織</t>
  </si>
  <si>
    <t>原 怜音</t>
  </si>
  <si>
    <t>田口 美咲</t>
  </si>
  <si>
    <t>村田 祐子</t>
  </si>
  <si>
    <t>山下 菜央</t>
  </si>
  <si>
    <t>久保 夏海</t>
  </si>
  <si>
    <t>相沢 優里</t>
  </si>
  <si>
    <t>渡辺 渚</t>
  </si>
  <si>
    <t>本間 日奈子</t>
  </si>
  <si>
    <t>安藤 夏音</t>
  </si>
  <si>
    <t>岡山 風花</t>
  </si>
  <si>
    <t>河口 千春</t>
  </si>
  <si>
    <t>佐藤 優真</t>
  </si>
  <si>
    <t>阿部 昌子</t>
  </si>
  <si>
    <t>栗本 朝香</t>
  </si>
  <si>
    <t>根木 ちはる</t>
  </si>
  <si>
    <t>荻原 ミウ</t>
  </si>
  <si>
    <t>佐藤 瑠奈</t>
  </si>
  <si>
    <t>秋葉 晴香</t>
  </si>
  <si>
    <t>大竹 庸子</t>
  </si>
  <si>
    <t>多摩市スキー連盟</t>
  </si>
  <si>
    <t>倉持 綾</t>
  </si>
  <si>
    <t>根木 はるな</t>
  </si>
  <si>
    <t>石崎 清子</t>
  </si>
  <si>
    <t>クラシックスキークラブ</t>
  </si>
  <si>
    <t>宗 春奈</t>
  </si>
  <si>
    <t>細谷 かりん</t>
  </si>
  <si>
    <t>北村 明日香</t>
  </si>
  <si>
    <t>原 杏樹</t>
  </si>
  <si>
    <t>松木 遙香</t>
  </si>
  <si>
    <t>廣田 理有</t>
  </si>
  <si>
    <t>鎌形 麻里</t>
  </si>
  <si>
    <t>アートスポーツスキークラブ</t>
  </si>
  <si>
    <t>三浦 和子</t>
  </si>
  <si>
    <t>日本アルペンスキークラブ</t>
  </si>
  <si>
    <t>柿野 若奈</t>
  </si>
  <si>
    <t>本間 かほる</t>
  </si>
  <si>
    <t>高木 彩希</t>
  </si>
  <si>
    <t>斉藤 彩乃</t>
  </si>
  <si>
    <t>伊藤 和歌</t>
  </si>
  <si>
    <t>尾崎 榛名</t>
  </si>
  <si>
    <t>狩集 未来</t>
  </si>
  <si>
    <t>長谷川 敬子</t>
  </si>
  <si>
    <t>仮屋崎 楓</t>
  </si>
  <si>
    <t>阿部 真弓</t>
  </si>
  <si>
    <t>横井 ひかり</t>
  </si>
  <si>
    <t>大会ＰＰ</t>
    <rPh sb="0" eb="2">
      <t>タイカイ</t>
    </rPh>
    <phoneticPr fontId="18"/>
  </si>
  <si>
    <t>〇</t>
    <phoneticPr fontId="18"/>
  </si>
  <si>
    <t>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</si>
</sst>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9" fillId="0" borderId="10" xfId="0" applyNumberFormat="1" applyFont="1" applyBorder="1">
      <alignment vertical="center"/>
    </xf>
    <xf numFmtId="176" fontId="20" fillId="0" borderId="10" xfId="0" applyNumberFormat="1" applyFont="1" applyBorder="1" applyAlignment="1">
      <alignment horizontal="right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55"/>
  <sheetViews>
    <sheetView tabSelected="1" zoomScaleNormal="100" workbookViewId="0"/>
  </sheetViews>
  <sheetFormatPr defaultRowHeight="13.5"/>
  <cols>
    <col min="1" max="2" width="8.5" style="13" customWidth="1"/>
    <col min="3" max="3" width="14.5" style="13" customWidth="1"/>
    <col min="4" max="4" width="31.625" style="13" customWidth="1"/>
    <col min="5" max="5" width="10" style="14" customWidth="1"/>
    <col min="6" max="6" width="7.75" style="15" customWidth="1"/>
    <col min="7" max="7" width="8.375" style="15" customWidth="1"/>
    <col min="8" max="8" width="9.75" style="16" customWidth="1"/>
    <col min="9" max="34" width="8.5" style="16" customWidth="1"/>
    <col min="35" max="47" width="8.5" style="13" customWidth="1"/>
    <col min="48" max="16384" width="9" style="13"/>
  </cols>
  <sheetData>
    <row r="1" spans="1:34" s="5" customFormat="1">
      <c r="A1" s="1" t="s">
        <v>0</v>
      </c>
      <c r="B1" s="1"/>
      <c r="C1" s="1"/>
      <c r="D1" s="1"/>
      <c r="E1" s="2"/>
      <c r="F1" s="3"/>
      <c r="G1" s="3"/>
      <c r="H1" s="3" t="s">
        <v>487</v>
      </c>
      <c r="I1" s="4">
        <v>0</v>
      </c>
      <c r="J1" s="4">
        <v>0</v>
      </c>
      <c r="K1" s="4">
        <v>111.48</v>
      </c>
      <c r="L1" s="4">
        <v>132.57</v>
      </c>
      <c r="M1" s="4">
        <v>59.12</v>
      </c>
      <c r="N1" s="4">
        <v>59</v>
      </c>
      <c r="O1" s="4">
        <v>0</v>
      </c>
      <c r="P1" s="4">
        <v>151.16</v>
      </c>
      <c r="Q1" s="4">
        <v>177.37</v>
      </c>
      <c r="R1" s="4">
        <v>111.15</v>
      </c>
      <c r="S1" s="4">
        <v>159.93</v>
      </c>
      <c r="T1" s="4">
        <v>180.69</v>
      </c>
      <c r="U1" s="4">
        <v>106.53</v>
      </c>
      <c r="V1" s="4">
        <v>93.19</v>
      </c>
      <c r="W1" s="4">
        <v>126.26</v>
      </c>
      <c r="X1" s="4">
        <v>97.23</v>
      </c>
      <c r="Y1" s="4">
        <v>103.39</v>
      </c>
      <c r="Z1" s="4">
        <v>72.09</v>
      </c>
      <c r="AA1" s="4">
        <v>70.23</v>
      </c>
      <c r="AB1" s="4">
        <v>122.21</v>
      </c>
      <c r="AC1" s="4">
        <v>104.25</v>
      </c>
      <c r="AD1" s="4">
        <v>100.52</v>
      </c>
      <c r="AE1" s="4">
        <v>136.08000000000001</v>
      </c>
      <c r="AF1" s="4">
        <v>140.44999999999999</v>
      </c>
      <c r="AG1" s="4">
        <v>55.69</v>
      </c>
      <c r="AH1" s="4">
        <v>57.55</v>
      </c>
    </row>
    <row r="2" spans="1:34" s="8" customFormat="1" ht="5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</row>
    <row r="3" spans="1:34">
      <c r="A3" s="9">
        <v>1</v>
      </c>
      <c r="B3" s="9">
        <v>1517</v>
      </c>
      <c r="C3" s="9" t="s">
        <v>35</v>
      </c>
      <c r="D3" s="9" t="s">
        <v>36</v>
      </c>
      <c r="E3" s="10" t="str">
        <f>"8.00"</f>
        <v>8.00</v>
      </c>
      <c r="F3" s="11" t="s">
        <v>37</v>
      </c>
      <c r="G3" s="11">
        <v>2017</v>
      </c>
      <c r="H3" s="12" t="str">
        <f>"0.00"</f>
        <v>0.00</v>
      </c>
      <c r="I3" s="12"/>
      <c r="J3" s="12" t="str">
        <f>"0.00"</f>
        <v>0.00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>
      <c r="A4" s="9">
        <v>2</v>
      </c>
      <c r="B4" s="9">
        <v>5175</v>
      </c>
      <c r="C4" s="9" t="s">
        <v>38</v>
      </c>
      <c r="D4" s="9" t="s">
        <v>39</v>
      </c>
      <c r="E4" s="10" t="str">
        <f>"11.52"</f>
        <v>11.52</v>
      </c>
      <c r="F4" s="11" t="s">
        <v>40</v>
      </c>
      <c r="G4" s="11">
        <v>2017</v>
      </c>
      <c r="H4" s="12" t="str">
        <f>"8.00"</f>
        <v>8.00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>
      <c r="A5" s="9">
        <v>2</v>
      </c>
      <c r="B5" s="9">
        <v>3081</v>
      </c>
      <c r="C5" s="9" t="s">
        <v>41</v>
      </c>
      <c r="D5" s="9" t="s">
        <v>36</v>
      </c>
      <c r="E5" s="10" t="str">
        <f>"11.52"</f>
        <v>11.52</v>
      </c>
      <c r="F5" s="11" t="s">
        <v>40</v>
      </c>
      <c r="G5" s="11">
        <v>2017</v>
      </c>
      <c r="H5" s="12" t="str">
        <f>"8.00"</f>
        <v>8.00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>
      <c r="A6" s="9">
        <v>4</v>
      </c>
      <c r="B6" s="9">
        <v>1372</v>
      </c>
      <c r="C6" s="9" t="s">
        <v>42</v>
      </c>
      <c r="D6" s="9" t="s">
        <v>36</v>
      </c>
      <c r="E6" s="10" t="str">
        <f>"19.84"</f>
        <v>19.84</v>
      </c>
      <c r="F6" s="11" t="s">
        <v>37</v>
      </c>
      <c r="G6" s="11">
        <v>2017</v>
      </c>
      <c r="H6" s="12"/>
      <c r="I6" s="12"/>
      <c r="J6" s="12" t="str">
        <f>"13.78"</f>
        <v>13.78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>
      <c r="A7" s="9">
        <v>5</v>
      </c>
      <c r="B7" s="9">
        <v>3957</v>
      </c>
      <c r="C7" s="9" t="s">
        <v>43</v>
      </c>
      <c r="D7" s="9" t="s">
        <v>44</v>
      </c>
      <c r="E7" s="10" t="str">
        <f>"20.28"</f>
        <v>20.28</v>
      </c>
      <c r="F7" s="11"/>
      <c r="G7" s="11">
        <v>2017</v>
      </c>
      <c r="H7" s="12" t="str">
        <f>"72.27"</f>
        <v>72.27</v>
      </c>
      <c r="I7" s="12" t="str">
        <f>"40.56"</f>
        <v>40.56</v>
      </c>
      <c r="J7" s="12" t="str">
        <f>"53.88"</f>
        <v>53.88</v>
      </c>
      <c r="K7" s="12"/>
      <c r="L7" s="12"/>
      <c r="M7" s="12"/>
      <c r="N7" s="12"/>
      <c r="O7" s="12" t="str">
        <f>"0.00"</f>
        <v>0.00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>
      <c r="A8" s="9">
        <v>6</v>
      </c>
      <c r="B8" s="9">
        <v>10326</v>
      </c>
      <c r="C8" s="9" t="s">
        <v>45</v>
      </c>
      <c r="D8" s="9" t="s">
        <v>39</v>
      </c>
      <c r="E8" s="10" t="str">
        <f>"21.35"</f>
        <v>21.35</v>
      </c>
      <c r="F8" s="11"/>
      <c r="G8" s="11">
        <v>2017</v>
      </c>
      <c r="H8" s="12" t="str">
        <f>"52.29"</f>
        <v>52.29</v>
      </c>
      <c r="I8" s="12" t="str">
        <f>"18.60"</f>
        <v>18.60</v>
      </c>
      <c r="J8" s="12" t="str">
        <f>"24.09"</f>
        <v>24.09</v>
      </c>
      <c r="K8" s="12"/>
      <c r="L8" s="12"/>
      <c r="M8" s="12" t="str">
        <f>"59.12"</f>
        <v>59.12</v>
      </c>
      <c r="N8" s="12" t="str">
        <f>"59.00"</f>
        <v>59.00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>
      <c r="A9" s="9">
        <v>7</v>
      </c>
      <c r="B9" s="9">
        <v>3431</v>
      </c>
      <c r="C9" s="9" t="s">
        <v>46</v>
      </c>
      <c r="D9" s="9" t="s">
        <v>36</v>
      </c>
      <c r="E9" s="10" t="str">
        <f>"35.48"</f>
        <v>35.48</v>
      </c>
      <c r="F9" s="11"/>
      <c r="G9" s="11">
        <v>2017</v>
      </c>
      <c r="H9" s="12" t="str">
        <f>"28.24"</f>
        <v>28.24</v>
      </c>
      <c r="I9" s="12" t="str">
        <f>"34.75"</f>
        <v>34.75</v>
      </c>
      <c r="J9" s="12" t="str">
        <f>"36.20"</f>
        <v>36.20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>
      <c r="A10" s="9">
        <v>8</v>
      </c>
      <c r="B10" s="9">
        <v>6648</v>
      </c>
      <c r="C10" s="9" t="s">
        <v>47</v>
      </c>
      <c r="D10" s="9" t="s">
        <v>48</v>
      </c>
      <c r="E10" s="10" t="str">
        <f>"47.95"</f>
        <v>47.95</v>
      </c>
      <c r="F10" s="11"/>
      <c r="G10" s="11">
        <v>2017</v>
      </c>
      <c r="H10" s="12" t="str">
        <f>"43.81"</f>
        <v>43.81</v>
      </c>
      <c r="I10" s="12" t="str">
        <f>"52.32"</f>
        <v>52.32</v>
      </c>
      <c r="J10" s="12" t="str">
        <f>"43.58"</f>
        <v>43.58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>
      <c r="A11" s="9">
        <v>9</v>
      </c>
      <c r="B11" s="9">
        <v>5230</v>
      </c>
      <c r="C11" s="9" t="s">
        <v>49</v>
      </c>
      <c r="D11" s="9" t="s">
        <v>39</v>
      </c>
      <c r="E11" s="10" t="str">
        <f>"54.72"</f>
        <v>54.72</v>
      </c>
      <c r="F11" s="11"/>
      <c r="G11" s="11">
        <v>2017</v>
      </c>
      <c r="H11" s="12" t="str">
        <f>"37.20"</f>
        <v>37.20</v>
      </c>
      <c r="I11" s="12" t="str">
        <f>"56.20"</f>
        <v>56.20</v>
      </c>
      <c r="J11" s="12" t="str">
        <f>"53.74"</f>
        <v>53.74</v>
      </c>
      <c r="K11" s="12"/>
      <c r="L11" s="12"/>
      <c r="M11" s="12" t="str">
        <f>"70.08"</f>
        <v>70.08</v>
      </c>
      <c r="N11" s="12" t="str">
        <f>"64.11"</f>
        <v>64.11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 t="str">
        <f>"72.09"</f>
        <v>72.09</v>
      </c>
      <c r="AA11" s="12" t="str">
        <f>"70.23"</f>
        <v>70.23</v>
      </c>
      <c r="AB11" s="12"/>
      <c r="AC11" s="12"/>
      <c r="AD11" s="12"/>
      <c r="AE11" s="12"/>
      <c r="AF11" s="12"/>
      <c r="AG11" s="12" t="str">
        <f>"55.69"</f>
        <v>55.69</v>
      </c>
      <c r="AH11" s="12" t="str">
        <f>"57.55"</f>
        <v>57.55</v>
      </c>
    </row>
    <row r="12" spans="1:34">
      <c r="A12" s="9">
        <v>10</v>
      </c>
      <c r="B12" s="9">
        <v>4322</v>
      </c>
      <c r="C12" s="9" t="s">
        <v>50</v>
      </c>
      <c r="D12" s="9" t="s">
        <v>51</v>
      </c>
      <c r="E12" s="10" t="str">
        <f>"58.74"</f>
        <v>58.74</v>
      </c>
      <c r="F12" s="11"/>
      <c r="G12" s="11">
        <v>2017</v>
      </c>
      <c r="H12" s="12" t="str">
        <f>"85.49"</f>
        <v>85.49</v>
      </c>
      <c r="I12" s="12" t="str">
        <f>"144.17"</f>
        <v>144.17</v>
      </c>
      <c r="J12" s="12" t="str">
        <f>"121.82"</f>
        <v>121.82</v>
      </c>
      <c r="K12" s="12"/>
      <c r="L12" s="12"/>
      <c r="M12" s="12"/>
      <c r="N12" s="12"/>
      <c r="O12" s="12" t="str">
        <f>"24.28"</f>
        <v>24.28</v>
      </c>
      <c r="P12" s="12"/>
      <c r="Q12" s="12"/>
      <c r="R12" s="12"/>
      <c r="S12" s="12"/>
      <c r="T12" s="12"/>
      <c r="U12" s="12"/>
      <c r="V12" s="12" t="str">
        <f>"93.19"</f>
        <v>93.19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>
      <c r="A13" s="9">
        <v>11</v>
      </c>
      <c r="B13" s="9">
        <v>2186</v>
      </c>
      <c r="C13" s="9" t="s">
        <v>52</v>
      </c>
      <c r="D13" s="9" t="s">
        <v>53</v>
      </c>
      <c r="E13" s="10" t="str">
        <f>"61.33"</f>
        <v>61.33</v>
      </c>
      <c r="F13" s="11"/>
      <c r="G13" s="11">
        <v>2017</v>
      </c>
      <c r="H13" s="12" t="str">
        <f>"72.98"</f>
        <v>72.98</v>
      </c>
      <c r="I13" s="12" t="str">
        <f>"105.16"</f>
        <v>105.16</v>
      </c>
      <c r="J13" s="12" t="str">
        <f>"103.30"</f>
        <v>103.30</v>
      </c>
      <c r="K13" s="12"/>
      <c r="L13" s="12"/>
      <c r="M13" s="12"/>
      <c r="N13" s="12"/>
      <c r="O13" s="12" t="str">
        <f>"19.35"</f>
        <v>19.35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>
      <c r="A14" s="9">
        <v>12</v>
      </c>
      <c r="B14" s="9">
        <v>6630</v>
      </c>
      <c r="C14" s="9" t="s">
        <v>54</v>
      </c>
      <c r="D14" s="9" t="s">
        <v>36</v>
      </c>
      <c r="E14" s="10" t="str">
        <f>"61.55"</f>
        <v>61.55</v>
      </c>
      <c r="F14" s="11" t="s">
        <v>40</v>
      </c>
      <c r="G14" s="11">
        <v>2017</v>
      </c>
      <c r="H14" s="12" t="str">
        <f>"42.74"</f>
        <v>42.74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>
      <c r="A15" s="9">
        <v>13</v>
      </c>
      <c r="B15" s="9">
        <v>3700</v>
      </c>
      <c r="C15" s="9" t="s">
        <v>55</v>
      </c>
      <c r="D15" s="9" t="s">
        <v>39</v>
      </c>
      <c r="E15" s="10" t="str">
        <f>"62.07"</f>
        <v>62.07</v>
      </c>
      <c r="F15" s="11"/>
      <c r="G15" s="11">
        <v>2017</v>
      </c>
      <c r="H15" s="12" t="str">
        <f>"102.49"</f>
        <v>102.49</v>
      </c>
      <c r="I15" s="12" t="str">
        <f>"61.62"</f>
        <v>61.62</v>
      </c>
      <c r="J15" s="12" t="str">
        <f>"62.51"</f>
        <v>62.51</v>
      </c>
      <c r="K15" s="12"/>
      <c r="L15" s="12"/>
      <c r="M15" s="12" t="str">
        <f>"82.65"</f>
        <v>82.65</v>
      </c>
      <c r="N15" s="12" t="str">
        <f>"81.87"</f>
        <v>81.87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 t="str">
        <f>"106.99"</f>
        <v>106.99</v>
      </c>
      <c r="AA15" s="12" t="str">
        <f>"99.41"</f>
        <v>99.41</v>
      </c>
      <c r="AB15" s="12"/>
      <c r="AC15" s="12"/>
      <c r="AD15" s="12"/>
      <c r="AE15" s="12"/>
      <c r="AF15" s="12"/>
      <c r="AG15" s="12" t="str">
        <f>"98.54"</f>
        <v>98.54</v>
      </c>
      <c r="AH15" s="12" t="str">
        <f>"83.00"</f>
        <v>83.00</v>
      </c>
    </row>
    <row r="16" spans="1:34">
      <c r="A16" s="9">
        <v>14</v>
      </c>
      <c r="B16" s="9">
        <v>2634</v>
      </c>
      <c r="C16" s="9" t="s">
        <v>56</v>
      </c>
      <c r="D16" s="9" t="s">
        <v>57</v>
      </c>
      <c r="E16" s="10" t="str">
        <f>"63.62"</f>
        <v>63.62</v>
      </c>
      <c r="F16" s="11" t="s">
        <v>40</v>
      </c>
      <c r="G16" s="11">
        <v>2017</v>
      </c>
      <c r="H16" s="12" t="str">
        <f>"44.18"</f>
        <v>44.18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>
      <c r="A17" s="9">
        <v>15</v>
      </c>
      <c r="B17" s="9">
        <v>4028</v>
      </c>
      <c r="C17" s="9" t="s">
        <v>58</v>
      </c>
      <c r="D17" s="9" t="s">
        <v>59</v>
      </c>
      <c r="E17" s="10" t="str">
        <f>"63.94"</f>
        <v>63.94</v>
      </c>
      <c r="F17" s="11"/>
      <c r="G17" s="11">
        <v>2017</v>
      </c>
      <c r="H17" s="12" t="str">
        <f>"84.27"</f>
        <v>84.27</v>
      </c>
      <c r="I17" s="12" t="str">
        <f>"103.35"</f>
        <v>103.35</v>
      </c>
      <c r="J17" s="12" t="str">
        <f>"126.97"</f>
        <v>126.97</v>
      </c>
      <c r="K17" s="12"/>
      <c r="L17" s="12"/>
      <c r="M17" s="12"/>
      <c r="N17" s="12"/>
      <c r="O17" s="12" t="str">
        <f>"24.53"</f>
        <v>24.53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>
      <c r="A18" s="9">
        <v>16</v>
      </c>
      <c r="B18" s="9">
        <v>4165</v>
      </c>
      <c r="C18" s="9" t="s">
        <v>60</v>
      </c>
      <c r="D18" s="9" t="s">
        <v>39</v>
      </c>
      <c r="E18" s="10" t="str">
        <f>"67.45"</f>
        <v>67.45</v>
      </c>
      <c r="F18" s="11"/>
      <c r="G18" s="11">
        <v>2017</v>
      </c>
      <c r="H18" s="12" t="str">
        <f>"73.42"</f>
        <v>73.42</v>
      </c>
      <c r="I18" s="12" t="str">
        <f>"57.49"</f>
        <v>57.49</v>
      </c>
      <c r="J18" s="12" t="str">
        <f>"77.41"</f>
        <v>77.41</v>
      </c>
      <c r="K18" s="12"/>
      <c r="L18" s="12"/>
      <c r="M18" s="12" t="str">
        <f>"98.96"</f>
        <v>98.96</v>
      </c>
      <c r="N18" s="12" t="str">
        <f>"97.20"</f>
        <v>97.20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>
      <c r="A19" s="9">
        <v>17</v>
      </c>
      <c r="B19" s="9">
        <v>3043</v>
      </c>
      <c r="C19" s="9" t="s">
        <v>61</v>
      </c>
      <c r="D19" s="9" t="s">
        <v>62</v>
      </c>
      <c r="E19" s="10" t="str">
        <f>"68.72"</f>
        <v>68.72</v>
      </c>
      <c r="F19" s="11"/>
      <c r="G19" s="11">
        <v>2017</v>
      </c>
      <c r="H19" s="12" t="str">
        <f>"140.97"</f>
        <v>140.97</v>
      </c>
      <c r="I19" s="12"/>
      <c r="J19" s="12"/>
      <c r="K19" s="12"/>
      <c r="L19" s="12"/>
      <c r="M19" s="12"/>
      <c r="N19" s="12"/>
      <c r="O19" s="12" t="str">
        <f>"36.92"</f>
        <v>36.92</v>
      </c>
      <c r="P19" s="12"/>
      <c r="Q19" s="12"/>
      <c r="R19" s="12"/>
      <c r="S19" s="12"/>
      <c r="T19" s="12"/>
      <c r="U19" s="12"/>
      <c r="V19" s="12"/>
      <c r="W19" s="12"/>
      <c r="X19" s="12" t="str">
        <f>"134.48"</f>
        <v>134.48</v>
      </c>
      <c r="Y19" s="12"/>
      <c r="Z19" s="12"/>
      <c r="AA19" s="12"/>
      <c r="AB19" s="12"/>
      <c r="AC19" s="12"/>
      <c r="AD19" s="12" t="str">
        <f>"100.52"</f>
        <v>100.52</v>
      </c>
      <c r="AE19" s="12" t="str">
        <f>"136.08"</f>
        <v>136.08</v>
      </c>
      <c r="AF19" s="12" t="str">
        <f>"140.45"</f>
        <v>140.45</v>
      </c>
      <c r="AG19" s="12"/>
      <c r="AH19" s="12"/>
    </row>
    <row r="20" spans="1:34">
      <c r="A20" s="9">
        <v>18</v>
      </c>
      <c r="B20" s="9">
        <v>7247</v>
      </c>
      <c r="C20" s="9" t="s">
        <v>63</v>
      </c>
      <c r="D20" s="9" t="s">
        <v>64</v>
      </c>
      <c r="E20" s="10" t="str">
        <f>"74.99"</f>
        <v>74.99</v>
      </c>
      <c r="F20" s="11"/>
      <c r="G20" s="11">
        <v>2017</v>
      </c>
      <c r="H20" s="12" t="str">
        <f>"67.97"</f>
        <v>67.97</v>
      </c>
      <c r="I20" s="12" t="str">
        <f>"65.88"</f>
        <v>65.88</v>
      </c>
      <c r="J20" s="12" t="str">
        <f>"84.09"</f>
        <v>84.09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>
      <c r="A21" s="9">
        <v>19</v>
      </c>
      <c r="B21" s="9">
        <v>4044</v>
      </c>
      <c r="C21" s="9" t="s">
        <v>65</v>
      </c>
      <c r="D21" s="9" t="s">
        <v>66</v>
      </c>
      <c r="E21" s="10" t="str">
        <f>"78.48"</f>
        <v>78.48</v>
      </c>
      <c r="F21" s="11"/>
      <c r="G21" s="11">
        <v>2017</v>
      </c>
      <c r="H21" s="12" t="str">
        <f>"84.72"</f>
        <v>84.72</v>
      </c>
      <c r="I21" s="12" t="str">
        <f>"126.86"</f>
        <v>126.86</v>
      </c>
      <c r="J21" s="12" t="str">
        <f>"146.88"</f>
        <v>146.88</v>
      </c>
      <c r="K21" s="12"/>
      <c r="L21" s="12"/>
      <c r="M21" s="12"/>
      <c r="N21" s="12"/>
      <c r="O21" s="12" t="str">
        <f>"30.10"</f>
        <v>30.10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>
      <c r="A22" s="9">
        <v>20</v>
      </c>
      <c r="B22" s="9">
        <v>9963</v>
      </c>
      <c r="C22" s="9" t="s">
        <v>67</v>
      </c>
      <c r="D22" s="9" t="s">
        <v>39</v>
      </c>
      <c r="E22" s="10" t="str">
        <f>"78.49"</f>
        <v>78.49</v>
      </c>
      <c r="F22" s="11"/>
      <c r="G22" s="11">
        <v>2017</v>
      </c>
      <c r="H22" s="12" t="str">
        <f>"109.35"</f>
        <v>109.35</v>
      </c>
      <c r="I22" s="12" t="str">
        <f>"145.46"</f>
        <v>145.46</v>
      </c>
      <c r="J22" s="12"/>
      <c r="K22" s="12"/>
      <c r="L22" s="12"/>
      <c r="M22" s="12"/>
      <c r="N22" s="12" t="str">
        <f>"184.91"</f>
        <v>184.91</v>
      </c>
      <c r="O22" s="12" t="str">
        <f>"56.14"</f>
        <v>56.14</v>
      </c>
      <c r="P22" s="12"/>
      <c r="Q22" s="12"/>
      <c r="R22" s="12"/>
      <c r="S22" s="12"/>
      <c r="T22" s="12"/>
      <c r="U22" s="12" t="str">
        <f>"138.91"</f>
        <v>138.91</v>
      </c>
      <c r="V22" s="12"/>
      <c r="W22" s="12"/>
      <c r="X22" s="12"/>
      <c r="Y22" s="12"/>
      <c r="Z22" s="12" t="str">
        <f>"119.33"</f>
        <v>119.33</v>
      </c>
      <c r="AA22" s="12" t="str">
        <f>"142.15"</f>
        <v>142.15</v>
      </c>
      <c r="AB22" s="12"/>
      <c r="AC22" s="12"/>
      <c r="AD22" s="12" t="str">
        <f>"100.84"</f>
        <v>100.84</v>
      </c>
      <c r="AE22" s="12"/>
      <c r="AF22" s="12"/>
      <c r="AG22" s="12" t="str">
        <f>"107.27"</f>
        <v>107.27</v>
      </c>
      <c r="AH22" s="12" t="str">
        <f>"111.99"</f>
        <v>111.99</v>
      </c>
    </row>
    <row r="23" spans="1:34">
      <c r="A23" s="9">
        <v>21</v>
      </c>
      <c r="B23" s="9">
        <v>7707</v>
      </c>
      <c r="C23" s="9" t="s">
        <v>68</v>
      </c>
      <c r="D23" s="9" t="s">
        <v>39</v>
      </c>
      <c r="E23" s="10" t="str">
        <f>"78.68"</f>
        <v>78.68</v>
      </c>
      <c r="F23" s="11"/>
      <c r="G23" s="11">
        <v>2017</v>
      </c>
      <c r="H23" s="12" t="str">
        <f>"106.96"</f>
        <v>106.96</v>
      </c>
      <c r="I23" s="12"/>
      <c r="J23" s="12" t="str">
        <f>"160.66"</f>
        <v>160.66</v>
      </c>
      <c r="K23" s="12"/>
      <c r="L23" s="12"/>
      <c r="M23" s="12"/>
      <c r="N23" s="12"/>
      <c r="O23" s="12" t="str">
        <f>"41.60"</f>
        <v>41.60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 t="str">
        <f>"115.76"</f>
        <v>115.76</v>
      </c>
      <c r="AA23" s="12" t="str">
        <f>"136.77"</f>
        <v>136.77</v>
      </c>
      <c r="AB23" s="12"/>
      <c r="AC23" s="12"/>
      <c r="AD23" s="12"/>
      <c r="AE23" s="12"/>
      <c r="AF23" s="12"/>
      <c r="AG23" s="12"/>
      <c r="AH23" s="12"/>
    </row>
    <row r="24" spans="1:34">
      <c r="A24" s="9">
        <v>22</v>
      </c>
      <c r="B24" s="9">
        <v>5731</v>
      </c>
      <c r="C24" s="9" t="s">
        <v>69</v>
      </c>
      <c r="D24" s="9" t="s">
        <v>53</v>
      </c>
      <c r="E24" s="10" t="str">
        <f>"82.05"</f>
        <v>82.05</v>
      </c>
      <c r="F24" s="11"/>
      <c r="G24" s="11">
        <v>2017</v>
      </c>
      <c r="H24" s="12" t="str">
        <f>"105.14"</f>
        <v>105.14</v>
      </c>
      <c r="I24" s="12"/>
      <c r="J24" s="12"/>
      <c r="K24" s="12"/>
      <c r="L24" s="12"/>
      <c r="M24" s="12"/>
      <c r="N24" s="12"/>
      <c r="O24" s="12" t="str">
        <f>"12.90"</f>
        <v>12.90</v>
      </c>
      <c r="P24" s="12"/>
      <c r="Q24" s="12"/>
      <c r="R24" s="12" t="str">
        <f>"151.20"</f>
        <v>151.20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>
      <c r="A25" s="9">
        <v>23</v>
      </c>
      <c r="B25" s="9">
        <v>6652</v>
      </c>
      <c r="C25" s="9" t="s">
        <v>70</v>
      </c>
      <c r="D25" s="9" t="s">
        <v>71</v>
      </c>
      <c r="E25" s="10" t="str">
        <f>"82.92"</f>
        <v>82.92</v>
      </c>
      <c r="F25" s="11"/>
      <c r="G25" s="11">
        <v>2017</v>
      </c>
      <c r="H25" s="12" t="str">
        <f>"213.49"</f>
        <v>213.49</v>
      </c>
      <c r="I25" s="12"/>
      <c r="J25" s="12"/>
      <c r="K25" s="12"/>
      <c r="L25" s="12"/>
      <c r="M25" s="12"/>
      <c r="N25" s="12"/>
      <c r="O25" s="12" t="str">
        <f>"36.67"</f>
        <v>36.67</v>
      </c>
      <c r="P25" s="12"/>
      <c r="Q25" s="12"/>
      <c r="R25" s="12" t="str">
        <f>"226.83"</f>
        <v>226.83</v>
      </c>
      <c r="S25" s="12"/>
      <c r="T25" s="12"/>
      <c r="U25" s="12" t="str">
        <f>"202.41"</f>
        <v>202.41</v>
      </c>
      <c r="V25" s="12"/>
      <c r="W25" s="12" t="str">
        <f>"203.05"</f>
        <v>203.05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 t="str">
        <f>"129.17"</f>
        <v>129.17</v>
      </c>
    </row>
    <row r="26" spans="1:34">
      <c r="A26" s="9">
        <v>24</v>
      </c>
      <c r="B26" s="9">
        <v>7994</v>
      </c>
      <c r="C26" s="9" t="s">
        <v>72</v>
      </c>
      <c r="D26" s="9" t="s">
        <v>73</v>
      </c>
      <c r="E26" s="10" t="str">
        <f>"88.84"</f>
        <v>88.84</v>
      </c>
      <c r="F26" s="11"/>
      <c r="G26" s="11">
        <v>2017</v>
      </c>
      <c r="H26" s="12" t="str">
        <f>"192.98"</f>
        <v>192.98</v>
      </c>
      <c r="I26" s="12"/>
      <c r="J26" s="12"/>
      <c r="K26" s="12"/>
      <c r="L26" s="12"/>
      <c r="M26" s="12"/>
      <c r="N26" s="12"/>
      <c r="O26" s="12" t="str">
        <f>"11.76"</f>
        <v>11.76</v>
      </c>
      <c r="P26" s="12"/>
      <c r="Q26" s="12"/>
      <c r="R26" s="12"/>
      <c r="S26" s="12"/>
      <c r="T26" s="12"/>
      <c r="U26" s="12"/>
      <c r="V26" s="12"/>
      <c r="W26" s="12"/>
      <c r="X26" s="12" t="str">
        <f>"165.91"</f>
        <v>165.91</v>
      </c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>
      <c r="A27" s="9">
        <v>25</v>
      </c>
      <c r="B27" s="9">
        <v>3322</v>
      </c>
      <c r="C27" s="9" t="s">
        <v>74</v>
      </c>
      <c r="D27" s="9" t="s">
        <v>75</v>
      </c>
      <c r="E27" s="10" t="str">
        <f>"94.20"</f>
        <v>94.20</v>
      </c>
      <c r="F27" s="11"/>
      <c r="G27" s="11">
        <v>2017</v>
      </c>
      <c r="H27" s="12" t="str">
        <f>"97.55"</f>
        <v>97.55</v>
      </c>
      <c r="I27" s="12" t="str">
        <f>"80.35"</f>
        <v>80.35</v>
      </c>
      <c r="J27" s="12" t="str">
        <f>"108.04"</f>
        <v>108.04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>
      <c r="A28" s="9">
        <v>26</v>
      </c>
      <c r="B28" s="9">
        <v>5507</v>
      </c>
      <c r="C28" s="9" t="s">
        <v>76</v>
      </c>
      <c r="D28" s="9" t="s">
        <v>39</v>
      </c>
      <c r="E28" s="10" t="str">
        <f>"98.11"</f>
        <v>98.11</v>
      </c>
      <c r="F28" s="11"/>
      <c r="G28" s="11">
        <v>2017</v>
      </c>
      <c r="H28" s="12" t="str">
        <f>"147.75"</f>
        <v>147.75</v>
      </c>
      <c r="I28" s="12" t="str">
        <f>"102.19"</f>
        <v>102.19</v>
      </c>
      <c r="J28" s="12" t="str">
        <f>"127.11"</f>
        <v>127.11</v>
      </c>
      <c r="K28" s="12"/>
      <c r="L28" s="12"/>
      <c r="M28" s="12"/>
      <c r="N28" s="12" t="str">
        <f>"130.83"</f>
        <v>130.83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 t="str">
        <f>"128.96"</f>
        <v>128.96</v>
      </c>
      <c r="AB28" s="12"/>
      <c r="AC28" s="12"/>
      <c r="AD28" s="12"/>
      <c r="AE28" s="12"/>
      <c r="AF28" s="12"/>
      <c r="AG28" s="12"/>
      <c r="AH28" s="12" t="str">
        <f>"94.02"</f>
        <v>94.02</v>
      </c>
    </row>
    <row r="29" spans="1:34">
      <c r="A29" s="9">
        <v>27</v>
      </c>
      <c r="B29" s="9">
        <v>4368</v>
      </c>
      <c r="C29" s="9" t="s">
        <v>77</v>
      </c>
      <c r="D29" s="9" t="s">
        <v>78</v>
      </c>
      <c r="E29" s="10" t="str">
        <f>"98.13"</f>
        <v>98.13</v>
      </c>
      <c r="F29" s="11"/>
      <c r="G29" s="11">
        <v>2017</v>
      </c>
      <c r="H29" s="12" t="str">
        <f>"134.53"</f>
        <v>134.53</v>
      </c>
      <c r="I29" s="12"/>
      <c r="J29" s="12"/>
      <c r="K29" s="12" t="str">
        <f>"153.53"</f>
        <v>153.53</v>
      </c>
      <c r="L29" s="12" t="str">
        <f>"154.52"</f>
        <v>154.52</v>
      </c>
      <c r="M29" s="12"/>
      <c r="N29" s="12"/>
      <c r="O29" s="12" t="str">
        <f>"68.16"</f>
        <v>68.16</v>
      </c>
      <c r="P29" s="12"/>
      <c r="Q29" s="12"/>
      <c r="R29" s="12"/>
      <c r="S29" s="12"/>
      <c r="T29" s="12"/>
      <c r="U29" s="12"/>
      <c r="V29" s="12" t="str">
        <f>"130.35"</f>
        <v>130.35</v>
      </c>
      <c r="W29" s="12"/>
      <c r="X29" s="12" t="str">
        <f>"175.33"</f>
        <v>175.33</v>
      </c>
      <c r="Y29" s="12" t="str">
        <f>"150.90"</f>
        <v>150.90</v>
      </c>
      <c r="Z29" s="12"/>
      <c r="AA29" s="12"/>
      <c r="AB29" s="12" t="str">
        <f>"153.08"</f>
        <v>153.08</v>
      </c>
      <c r="AC29" s="12" t="str">
        <f>"206.79"</f>
        <v>206.79</v>
      </c>
      <c r="AD29" s="12" t="str">
        <f>"128.09"</f>
        <v>128.09</v>
      </c>
      <c r="AE29" s="12"/>
      <c r="AF29" s="12"/>
      <c r="AG29" s="12"/>
      <c r="AH29" s="12"/>
    </row>
    <row r="30" spans="1:34">
      <c r="A30" s="9">
        <v>28</v>
      </c>
      <c r="B30" s="9">
        <v>7795</v>
      </c>
      <c r="C30" s="9" t="s">
        <v>79</v>
      </c>
      <c r="D30" s="9" t="s">
        <v>71</v>
      </c>
      <c r="E30" s="10" t="str">
        <f>"100.31"</f>
        <v>100.31</v>
      </c>
      <c r="F30" s="11"/>
      <c r="G30" s="11">
        <v>2017</v>
      </c>
      <c r="H30" s="12" t="str">
        <f>"123.32"</f>
        <v>123.32</v>
      </c>
      <c r="I30" s="12"/>
      <c r="J30" s="12"/>
      <c r="K30" s="12"/>
      <c r="L30" s="12"/>
      <c r="M30" s="12"/>
      <c r="N30" s="12"/>
      <c r="O30" s="12"/>
      <c r="P30" s="12"/>
      <c r="Q30" s="12"/>
      <c r="R30" s="12" t="str">
        <f>"117.56"</f>
        <v>117.56</v>
      </c>
      <c r="S30" s="12"/>
      <c r="T30" s="12"/>
      <c r="U30" s="12" t="str">
        <f>"106.53"</f>
        <v>106.53</v>
      </c>
      <c r="V30" s="12"/>
      <c r="W30" s="12" t="str">
        <f>"130.56"</f>
        <v>130.56</v>
      </c>
      <c r="X30" s="12" t="str">
        <f>"97.23"</f>
        <v>97.23</v>
      </c>
      <c r="Y30" s="12" t="str">
        <f>"103.39"</f>
        <v>103.39</v>
      </c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>
      <c r="A31" s="9">
        <v>29</v>
      </c>
      <c r="B31" s="9">
        <v>10215</v>
      </c>
      <c r="C31" s="9" t="s">
        <v>80</v>
      </c>
      <c r="D31" s="9" t="s">
        <v>39</v>
      </c>
      <c r="E31" s="10" t="str">
        <f>"100.99"</f>
        <v>100.99</v>
      </c>
      <c r="F31" s="11" t="s">
        <v>489</v>
      </c>
      <c r="G31" s="11">
        <v>2017</v>
      </c>
      <c r="H31" s="12" t="str">
        <f>"86.15"</f>
        <v>86.15</v>
      </c>
      <c r="I31" s="12" t="str">
        <f>"105.29"</f>
        <v>105.29</v>
      </c>
      <c r="J31" s="12" t="str">
        <f>"120.29"</f>
        <v>120.29</v>
      </c>
      <c r="K31" s="12"/>
      <c r="L31" s="12"/>
      <c r="M31" s="12" t="str">
        <f>"96.68"</f>
        <v>96.68</v>
      </c>
      <c r="N31" s="12" t="str">
        <f>"105.90"</f>
        <v>105.90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>
      <c r="A32" s="9">
        <v>30</v>
      </c>
      <c r="B32" s="9">
        <v>5236</v>
      </c>
      <c r="C32" s="9" t="s">
        <v>81</v>
      </c>
      <c r="D32" s="9" t="s">
        <v>82</v>
      </c>
      <c r="E32" s="10" t="str">
        <f>"103.28"</f>
        <v>103.28</v>
      </c>
      <c r="F32" s="11"/>
      <c r="G32" s="11">
        <v>2017</v>
      </c>
      <c r="H32" s="12" t="str">
        <f>"91.51"</f>
        <v>91.51</v>
      </c>
      <c r="I32" s="12" t="str">
        <f>"102.31"</f>
        <v>102.31</v>
      </c>
      <c r="J32" s="12" t="str">
        <f>"118.76"</f>
        <v>118.76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 t="str">
        <f>"104.25"</f>
        <v>104.25</v>
      </c>
      <c r="AD32" s="12"/>
      <c r="AE32" s="12"/>
      <c r="AF32" s="12"/>
      <c r="AG32" s="12"/>
      <c r="AH32" s="12"/>
    </row>
    <row r="33" spans="1:34">
      <c r="A33" s="9">
        <v>31</v>
      </c>
      <c r="B33" s="9">
        <v>9962</v>
      </c>
      <c r="C33" s="9" t="s">
        <v>83</v>
      </c>
      <c r="D33" s="9" t="s">
        <v>39</v>
      </c>
      <c r="E33" s="10" t="str">
        <f>"103.33"</f>
        <v>103.33</v>
      </c>
      <c r="F33" s="11"/>
      <c r="G33" s="11">
        <v>2017</v>
      </c>
      <c r="H33" s="12" t="str">
        <f>"166.44"</f>
        <v>166.44</v>
      </c>
      <c r="I33" s="12"/>
      <c r="J33" s="12" t="str">
        <f>"101.91"</f>
        <v>101.91</v>
      </c>
      <c r="K33" s="12"/>
      <c r="L33" s="12"/>
      <c r="M33" s="12"/>
      <c r="N33" s="12" t="str">
        <f>"104.74"</f>
        <v>104.74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 t="str">
        <f>"126.54"</f>
        <v>126.54</v>
      </c>
      <c r="AB33" s="12"/>
      <c r="AC33" s="12"/>
      <c r="AD33" s="12"/>
      <c r="AE33" s="12"/>
      <c r="AF33" s="12"/>
      <c r="AG33" s="12" t="str">
        <f>"118.99"</f>
        <v>118.99</v>
      </c>
      <c r="AH33" s="12" t="str">
        <f>"113.04"</f>
        <v>113.04</v>
      </c>
    </row>
    <row r="34" spans="1:34">
      <c r="A34" s="9">
        <v>32</v>
      </c>
      <c r="B34" s="9">
        <v>5185</v>
      </c>
      <c r="C34" s="9" t="s">
        <v>84</v>
      </c>
      <c r="D34" s="9" t="s">
        <v>39</v>
      </c>
      <c r="E34" s="10" t="str">
        <f>"107.06"</f>
        <v>107.06</v>
      </c>
      <c r="F34" s="11" t="s">
        <v>40</v>
      </c>
      <c r="G34" s="11">
        <v>2017</v>
      </c>
      <c r="H34" s="12" t="str">
        <f>"74.35"</f>
        <v>74.35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>
      <c r="A35" s="9">
        <v>33</v>
      </c>
      <c r="B35" s="9">
        <v>10561</v>
      </c>
      <c r="C35" s="9" t="s">
        <v>85</v>
      </c>
      <c r="D35" s="9" t="s">
        <v>39</v>
      </c>
      <c r="E35" s="10" t="str">
        <f>"108.40"</f>
        <v>108.40</v>
      </c>
      <c r="F35" s="11"/>
      <c r="G35" s="11">
        <v>2017</v>
      </c>
      <c r="H35" s="12" t="str">
        <f>"148.20"</f>
        <v>148.20</v>
      </c>
      <c r="I35" s="12" t="str">
        <f>"110.84"</f>
        <v>110.84</v>
      </c>
      <c r="J35" s="12" t="str">
        <f>"105.95"</f>
        <v>105.95</v>
      </c>
      <c r="K35" s="12"/>
      <c r="L35" s="12"/>
      <c r="M35" s="12"/>
      <c r="N35" s="12" t="str">
        <f>"145.27"</f>
        <v>145.27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 t="str">
        <f>"135.46"</f>
        <v>135.46</v>
      </c>
      <c r="AB35" s="12"/>
      <c r="AC35" s="12"/>
      <c r="AD35" s="12"/>
      <c r="AE35" s="12"/>
      <c r="AF35" s="12"/>
      <c r="AG35" s="12"/>
      <c r="AH35" s="12"/>
    </row>
    <row r="36" spans="1:34">
      <c r="A36" s="9">
        <v>34</v>
      </c>
      <c r="B36" s="9">
        <v>5147</v>
      </c>
      <c r="C36" s="9" t="s">
        <v>86</v>
      </c>
      <c r="D36" s="9" t="s">
        <v>87</v>
      </c>
      <c r="E36" s="10" t="str">
        <f>"109.10"</f>
        <v>109.10</v>
      </c>
      <c r="F36" s="11"/>
      <c r="G36" s="11">
        <v>2017</v>
      </c>
      <c r="H36" s="12" t="str">
        <f>"148.21"</f>
        <v>148.21</v>
      </c>
      <c r="I36" s="12"/>
      <c r="J36" s="12"/>
      <c r="K36" s="12" t="str">
        <f>"236.45"</f>
        <v>236.45</v>
      </c>
      <c r="L36" s="12" t="str">
        <f>"177.81"</f>
        <v>177.81</v>
      </c>
      <c r="M36" s="12"/>
      <c r="N36" s="12"/>
      <c r="O36" s="12" t="str">
        <f>"77.26"</f>
        <v>77.26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 t="str">
        <f>"140.94"</f>
        <v>140.94</v>
      </c>
      <c r="AF36" s="12"/>
      <c r="AG36" s="12"/>
      <c r="AH36" s="12"/>
    </row>
    <row r="37" spans="1:34">
      <c r="A37" s="9">
        <v>35</v>
      </c>
      <c r="B37" s="9">
        <v>4573</v>
      </c>
      <c r="C37" s="9" t="s">
        <v>88</v>
      </c>
      <c r="D37" s="9" t="s">
        <v>89</v>
      </c>
      <c r="E37" s="10" t="str">
        <f>"110.15"</f>
        <v>110.15</v>
      </c>
      <c r="F37" s="11"/>
      <c r="G37" s="11">
        <v>2017</v>
      </c>
      <c r="H37" s="12" t="str">
        <f>"143.78"</f>
        <v>143.78</v>
      </c>
      <c r="I37" s="12"/>
      <c r="J37" s="12"/>
      <c r="K37" s="12"/>
      <c r="L37" s="12"/>
      <c r="M37" s="12"/>
      <c r="N37" s="12"/>
      <c r="O37" s="12" t="str">
        <f>"77.51"</f>
        <v>77.51</v>
      </c>
      <c r="P37" s="12"/>
      <c r="Q37" s="12"/>
      <c r="R37" s="12"/>
      <c r="S37" s="12"/>
      <c r="T37" s="12"/>
      <c r="U37" s="12"/>
      <c r="V37" s="12" t="str">
        <f>"142.78"</f>
        <v>142.78</v>
      </c>
      <c r="W37" s="12"/>
      <c r="X37" s="12" t="str">
        <f>"208.97"</f>
        <v>208.97</v>
      </c>
      <c r="Y37" s="12" t="str">
        <f>"188.50"</f>
        <v>188.50</v>
      </c>
      <c r="Z37" s="12"/>
      <c r="AA37" s="12"/>
      <c r="AB37" s="12" t="str">
        <f>"175.86"</f>
        <v>175.86</v>
      </c>
      <c r="AC37" s="12" t="str">
        <f>"190.35"</f>
        <v>190.35</v>
      </c>
      <c r="AD37" s="12"/>
      <c r="AE37" s="12" t="str">
        <f>"164.52"</f>
        <v>164.52</v>
      </c>
      <c r="AF37" s="12" t="str">
        <f>"169.49"</f>
        <v>169.49</v>
      </c>
      <c r="AG37" s="12"/>
      <c r="AH37" s="12"/>
    </row>
    <row r="38" spans="1:34">
      <c r="A38" s="9">
        <v>36</v>
      </c>
      <c r="B38" s="9">
        <v>1961</v>
      </c>
      <c r="C38" s="9" t="s">
        <v>90</v>
      </c>
      <c r="D38" s="9" t="s">
        <v>91</v>
      </c>
      <c r="E38" s="10" t="str">
        <f>"112.48"</f>
        <v>112.48</v>
      </c>
      <c r="F38" s="11" t="s">
        <v>40</v>
      </c>
      <c r="G38" s="11">
        <v>2017</v>
      </c>
      <c r="H38" s="12" t="str">
        <f>"78.11"</f>
        <v>78.11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>
      <c r="A39" s="9">
        <v>37</v>
      </c>
      <c r="B39" s="9">
        <v>10310</v>
      </c>
      <c r="C39" s="9" t="s">
        <v>92</v>
      </c>
      <c r="D39" s="9" t="s">
        <v>93</v>
      </c>
      <c r="E39" s="10" t="str">
        <f>"116.47"</f>
        <v>116.47</v>
      </c>
      <c r="F39" s="11" t="s">
        <v>40</v>
      </c>
      <c r="G39" s="11">
        <v>2017</v>
      </c>
      <c r="H39" s="12" t="str">
        <f>"80.88"</f>
        <v>80.88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>
      <c r="A40" s="9">
        <v>38</v>
      </c>
      <c r="B40" s="9">
        <v>7572</v>
      </c>
      <c r="C40" s="9" t="s">
        <v>94</v>
      </c>
      <c r="D40" s="9" t="s">
        <v>71</v>
      </c>
      <c r="E40" s="10" t="str">
        <f>"117.74"</f>
        <v>117.74</v>
      </c>
      <c r="F40" s="11"/>
      <c r="G40" s="11">
        <v>2017</v>
      </c>
      <c r="H40" s="12" t="str">
        <f>"147.27"</f>
        <v>147.27</v>
      </c>
      <c r="I40" s="12"/>
      <c r="J40" s="12"/>
      <c r="K40" s="12"/>
      <c r="L40" s="12"/>
      <c r="M40" s="12"/>
      <c r="N40" s="12"/>
      <c r="O40" s="12"/>
      <c r="P40" s="12"/>
      <c r="Q40" s="12"/>
      <c r="R40" s="12" t="str">
        <f>"111.15"</f>
        <v>111.15</v>
      </c>
      <c r="S40" s="12"/>
      <c r="T40" s="12"/>
      <c r="U40" s="12" t="str">
        <f>"124.32"</f>
        <v>124.32</v>
      </c>
      <c r="V40" s="12"/>
      <c r="W40" s="12" t="str">
        <f>"128.32"</f>
        <v>128.32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>
      <c r="A41" s="9">
        <v>39</v>
      </c>
      <c r="B41" s="9">
        <v>2418</v>
      </c>
      <c r="C41" s="9" t="s">
        <v>95</v>
      </c>
      <c r="D41" s="9" t="s">
        <v>39</v>
      </c>
      <c r="E41" s="10" t="str">
        <f>"118.28"</f>
        <v>118.28</v>
      </c>
      <c r="F41" s="11"/>
      <c r="G41" s="11">
        <v>2017</v>
      </c>
      <c r="H41" s="12" t="str">
        <f>"138.44"</f>
        <v>138.44</v>
      </c>
      <c r="I41" s="12" t="str">
        <f>"165.49"</f>
        <v>165.49</v>
      </c>
      <c r="J41" s="12" t="str">
        <f>"202.85"</f>
        <v>202.85</v>
      </c>
      <c r="K41" s="12"/>
      <c r="L41" s="12"/>
      <c r="M41" s="12"/>
      <c r="N41" s="12"/>
      <c r="O41" s="12" t="str">
        <f>"71.07"</f>
        <v>71.07</v>
      </c>
      <c r="P41" s="12"/>
      <c r="Q41" s="12"/>
      <c r="R41" s="12"/>
      <c r="S41" s="12"/>
      <c r="T41" s="12"/>
      <c r="U41" s="12"/>
      <c r="V41" s="12"/>
      <c r="W41" s="12"/>
      <c r="X41" s="12" t="str">
        <f>"196.15"</f>
        <v>196.15</v>
      </c>
      <c r="Y41" s="12" t="str">
        <f>"218.25"</f>
        <v>218.25</v>
      </c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>
      <c r="A42" s="9">
        <v>40</v>
      </c>
      <c r="B42" s="9">
        <v>11108</v>
      </c>
      <c r="C42" s="9" t="s">
        <v>96</v>
      </c>
      <c r="D42" s="9" t="s">
        <v>39</v>
      </c>
      <c r="E42" s="10" t="str">
        <f>"118.83"</f>
        <v>118.83</v>
      </c>
      <c r="F42" s="11"/>
      <c r="G42" s="11">
        <v>2017</v>
      </c>
      <c r="H42" s="12"/>
      <c r="I42" s="12"/>
      <c r="J42" s="12"/>
      <c r="K42" s="12"/>
      <c r="L42" s="12"/>
      <c r="M42" s="12" t="str">
        <f>"167.40"</f>
        <v>167.40</v>
      </c>
      <c r="N42" s="12" t="str">
        <f>"167.24"</f>
        <v>167.24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 t="str">
        <f>"123.57"</f>
        <v>123.57</v>
      </c>
      <c r="AA42" s="12" t="str">
        <f>"170.96"</f>
        <v>170.96</v>
      </c>
      <c r="AB42" s="12"/>
      <c r="AC42" s="12"/>
      <c r="AD42" s="12"/>
      <c r="AE42" s="12" t="str">
        <f>"152.04"</f>
        <v>152.04</v>
      </c>
      <c r="AF42" s="12" t="str">
        <f>"174.33"</f>
        <v>174.33</v>
      </c>
      <c r="AG42" s="12"/>
      <c r="AH42" s="12" t="str">
        <f>"114.09"</f>
        <v>114.09</v>
      </c>
    </row>
    <row r="43" spans="1:34">
      <c r="A43" s="9">
        <v>41</v>
      </c>
      <c r="B43" s="9">
        <v>6589</v>
      </c>
      <c r="C43" s="9" t="s">
        <v>97</v>
      </c>
      <c r="D43" s="9" t="s">
        <v>53</v>
      </c>
      <c r="E43" s="10" t="str">
        <f>"119.48"</f>
        <v>119.48</v>
      </c>
      <c r="F43" s="11"/>
      <c r="G43" s="11">
        <v>2017</v>
      </c>
      <c r="H43" s="12" t="str">
        <f>"294.27"</f>
        <v>294.27</v>
      </c>
      <c r="I43" s="12"/>
      <c r="J43" s="12"/>
      <c r="K43" s="12"/>
      <c r="L43" s="12"/>
      <c r="M43" s="12"/>
      <c r="N43" s="12"/>
      <c r="O43" s="12" t="str">
        <f>"39.07"</f>
        <v>39.07</v>
      </c>
      <c r="P43" s="12"/>
      <c r="Q43" s="12"/>
      <c r="R43" s="12"/>
      <c r="S43" s="12"/>
      <c r="T43" s="12"/>
      <c r="U43" s="12" t="str">
        <f>"199.88"</f>
        <v>199.88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>
      <c r="A44" s="9">
        <v>42</v>
      </c>
      <c r="B44" s="9">
        <v>8640</v>
      </c>
      <c r="C44" s="9" t="s">
        <v>98</v>
      </c>
      <c r="D44" s="9" t="s">
        <v>39</v>
      </c>
      <c r="E44" s="10" t="str">
        <f>"120.32"</f>
        <v>120.32</v>
      </c>
      <c r="F44" s="11"/>
      <c r="G44" s="11">
        <v>2017</v>
      </c>
      <c r="H44" s="12" t="str">
        <f>"118.98"</f>
        <v>118.98</v>
      </c>
      <c r="I44" s="12" t="str">
        <f>"120.66"</f>
        <v>120.66</v>
      </c>
      <c r="J44" s="12" t="str">
        <f>"146.32"</f>
        <v>146.32</v>
      </c>
      <c r="K44" s="12"/>
      <c r="L44" s="12"/>
      <c r="M44" s="12"/>
      <c r="N44" s="12" t="str">
        <f>"119.98"</f>
        <v>119.98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>
      <c r="A45" s="9">
        <v>43</v>
      </c>
      <c r="B45" s="9">
        <v>7565</v>
      </c>
      <c r="C45" s="9" t="s">
        <v>99</v>
      </c>
      <c r="D45" s="9" t="s">
        <v>78</v>
      </c>
      <c r="E45" s="10" t="str">
        <f>"122.03"</f>
        <v>122.03</v>
      </c>
      <c r="F45" s="11"/>
      <c r="G45" s="11">
        <v>2017</v>
      </c>
      <c r="H45" s="12" t="str">
        <f>"134.45"</f>
        <v>134.45</v>
      </c>
      <c r="I45" s="12"/>
      <c r="J45" s="12"/>
      <c r="K45" s="12" t="str">
        <f>"111.48"</f>
        <v>111.48</v>
      </c>
      <c r="L45" s="12" t="str">
        <f>"132.57"</f>
        <v>132.57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>
      <c r="A46" s="9">
        <v>44</v>
      </c>
      <c r="B46" s="9">
        <v>5415</v>
      </c>
      <c r="C46" s="9" t="s">
        <v>100</v>
      </c>
      <c r="D46" s="9" t="s">
        <v>71</v>
      </c>
      <c r="E46" s="10" t="str">
        <f>"122.70"</f>
        <v>122.70</v>
      </c>
      <c r="F46" s="11"/>
      <c r="G46" s="11">
        <v>2017</v>
      </c>
      <c r="H46" s="12" t="str">
        <f>"171.67"</f>
        <v>171.67</v>
      </c>
      <c r="I46" s="12"/>
      <c r="J46" s="12"/>
      <c r="K46" s="12"/>
      <c r="L46" s="12"/>
      <c r="M46" s="12"/>
      <c r="N46" s="12"/>
      <c r="O46" s="12"/>
      <c r="P46" s="12"/>
      <c r="Q46" s="12"/>
      <c r="R46" s="12" t="str">
        <f>"119.14"</f>
        <v>119.14</v>
      </c>
      <c r="S46" s="12"/>
      <c r="T46" s="12"/>
      <c r="U46" s="12"/>
      <c r="V46" s="12"/>
      <c r="W46" s="12" t="str">
        <f>"126.26"</f>
        <v>126.26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>
      <c r="A47" s="9">
        <v>45</v>
      </c>
      <c r="B47" s="9">
        <v>10287</v>
      </c>
      <c r="C47" s="9" t="s">
        <v>101</v>
      </c>
      <c r="D47" s="9" t="s">
        <v>71</v>
      </c>
      <c r="E47" s="10" t="str">
        <f>"123.19"</f>
        <v>123.19</v>
      </c>
      <c r="F47" s="11"/>
      <c r="G47" s="11">
        <v>2017</v>
      </c>
      <c r="H47" s="12" t="str">
        <f>"218.29"</f>
        <v>218.29</v>
      </c>
      <c r="I47" s="12"/>
      <c r="J47" s="12"/>
      <c r="K47" s="12"/>
      <c r="L47" s="12"/>
      <c r="M47" s="12"/>
      <c r="N47" s="12"/>
      <c r="O47" s="12"/>
      <c r="P47" s="12"/>
      <c r="Q47" s="12"/>
      <c r="R47" s="12" t="str">
        <f>"128.45"</f>
        <v>128.45</v>
      </c>
      <c r="S47" s="12"/>
      <c r="T47" s="12"/>
      <c r="U47" s="12" t="str">
        <f>"117.92"</f>
        <v>117.92</v>
      </c>
      <c r="V47" s="12"/>
      <c r="W47" s="12" t="str">
        <f>"158.40"</f>
        <v>158.40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>
      <c r="A48" s="9">
        <v>46</v>
      </c>
      <c r="B48" s="9">
        <v>4295</v>
      </c>
      <c r="C48" s="9" t="s">
        <v>102</v>
      </c>
      <c r="D48" s="9" t="s">
        <v>103</v>
      </c>
      <c r="E48" s="10" t="str">
        <f>"123.72"</f>
        <v>123.72</v>
      </c>
      <c r="F48" s="11"/>
      <c r="G48" s="11">
        <v>2017</v>
      </c>
      <c r="H48" s="12" t="str">
        <f>"211.92"</f>
        <v>211.92</v>
      </c>
      <c r="I48" s="12"/>
      <c r="J48" s="12"/>
      <c r="K48" s="12"/>
      <c r="L48" s="12"/>
      <c r="M48" s="12"/>
      <c r="N48" s="12"/>
      <c r="O48" s="12" t="str">
        <f>"73.72"</f>
        <v>73.72</v>
      </c>
      <c r="P48" s="12"/>
      <c r="Q48" s="12"/>
      <c r="R48" s="12"/>
      <c r="S48" s="12"/>
      <c r="T48" s="12"/>
      <c r="U48" s="12"/>
      <c r="V48" s="12"/>
      <c r="W48" s="12"/>
      <c r="X48" s="12" t="str">
        <f>"173.72"</f>
        <v>173.72</v>
      </c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>
      <c r="A49" s="9">
        <v>47</v>
      </c>
      <c r="B49" s="9">
        <v>6601</v>
      </c>
      <c r="C49" s="9" t="s">
        <v>104</v>
      </c>
      <c r="D49" s="9" t="s">
        <v>39</v>
      </c>
      <c r="E49" s="10" t="str">
        <f>"126.29"</f>
        <v>126.29</v>
      </c>
      <c r="F49" s="11"/>
      <c r="G49" s="11">
        <v>2017</v>
      </c>
      <c r="H49" s="12" t="str">
        <f>"178.60"</f>
        <v>178.60</v>
      </c>
      <c r="I49" s="12" t="str">
        <f>"170.27"</f>
        <v>170.27</v>
      </c>
      <c r="J49" s="12" t="str">
        <f>"203.27"</f>
        <v>203.27</v>
      </c>
      <c r="K49" s="12"/>
      <c r="L49" s="12"/>
      <c r="M49" s="12"/>
      <c r="N49" s="12"/>
      <c r="O49" s="12" t="str">
        <f>"95.72"</f>
        <v>95.72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 t="str">
        <f>"239.17"</f>
        <v>239.17</v>
      </c>
      <c r="AB49" s="12"/>
      <c r="AC49" s="12"/>
      <c r="AD49" s="12"/>
      <c r="AE49" s="12"/>
      <c r="AF49" s="12"/>
      <c r="AG49" s="12"/>
      <c r="AH49" s="12" t="str">
        <f>"156.85"</f>
        <v>156.85</v>
      </c>
    </row>
    <row r="50" spans="1:34">
      <c r="A50" s="9">
        <v>48</v>
      </c>
      <c r="B50" s="9">
        <v>1957</v>
      </c>
      <c r="C50" s="9" t="s">
        <v>105</v>
      </c>
      <c r="D50" s="9" t="s">
        <v>53</v>
      </c>
      <c r="E50" s="10" t="str">
        <f>"127.36"</f>
        <v>127.36</v>
      </c>
      <c r="F50" s="11"/>
      <c r="G50" s="11">
        <v>2017</v>
      </c>
      <c r="H50" s="12" t="str">
        <f>"181.96"</f>
        <v>181.96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 t="str">
        <f>"122.21"</f>
        <v>122.21</v>
      </c>
      <c r="AC50" s="12" t="str">
        <f>"132.51"</f>
        <v>132.51</v>
      </c>
      <c r="AD50" s="12"/>
      <c r="AE50" s="12"/>
      <c r="AF50" s="12"/>
      <c r="AG50" s="12"/>
      <c r="AH50" s="12"/>
    </row>
    <row r="51" spans="1:34">
      <c r="A51" s="9">
        <v>49</v>
      </c>
      <c r="B51" s="9">
        <v>7708</v>
      </c>
      <c r="C51" s="9" t="s">
        <v>143</v>
      </c>
      <c r="D51" s="9" t="s">
        <v>71</v>
      </c>
      <c r="E51" s="10">
        <v>129.07</v>
      </c>
      <c r="F51" s="11" t="s">
        <v>488</v>
      </c>
      <c r="G51" s="11">
        <v>2017</v>
      </c>
      <c r="H51" s="12" t="str">
        <f>"109.07"</f>
        <v>109.07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 t="str">
        <f>"135.47"</f>
        <v>135.47</v>
      </c>
    </row>
    <row r="52" spans="1:34">
      <c r="A52" s="9">
        <v>50</v>
      </c>
      <c r="B52" s="9">
        <v>10852</v>
      </c>
      <c r="C52" s="9" t="s">
        <v>106</v>
      </c>
      <c r="D52" s="9" t="s">
        <v>39</v>
      </c>
      <c r="E52" s="10" t="str">
        <f>"129.79"</f>
        <v>129.79</v>
      </c>
      <c r="F52" s="11"/>
      <c r="G52" s="11">
        <v>2017</v>
      </c>
      <c r="H52" s="12" t="str">
        <f>"112.72"</f>
        <v>112.72</v>
      </c>
      <c r="I52" s="12"/>
      <c r="J52" s="12"/>
      <c r="K52" s="12"/>
      <c r="L52" s="12"/>
      <c r="M52" s="12"/>
      <c r="N52" s="12" t="str">
        <f>"146.97"</f>
        <v>146.97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 t="str">
        <f>"162.80"</f>
        <v>162.80</v>
      </c>
      <c r="AA52" s="12" t="str">
        <f>"137.69"</f>
        <v>137.69</v>
      </c>
      <c r="AB52" s="12"/>
      <c r="AC52" s="12"/>
      <c r="AD52" s="12"/>
      <c r="AE52" s="12"/>
      <c r="AF52" s="12"/>
      <c r="AG52" s="12" t="str">
        <f>"137.23"</f>
        <v>137.23</v>
      </c>
      <c r="AH52" s="12" t="str">
        <f>"122.35"</f>
        <v>122.35</v>
      </c>
    </row>
    <row r="53" spans="1:34">
      <c r="A53" s="9">
        <v>51</v>
      </c>
      <c r="B53" s="9">
        <v>8642</v>
      </c>
      <c r="C53" s="9" t="s">
        <v>107</v>
      </c>
      <c r="D53" s="9" t="s">
        <v>39</v>
      </c>
      <c r="E53" s="10" t="str">
        <f>"136.54"</f>
        <v>136.54</v>
      </c>
      <c r="F53" s="11"/>
      <c r="G53" s="11">
        <v>2017</v>
      </c>
      <c r="H53" s="12" t="str">
        <f>"128.20"</f>
        <v>128.20</v>
      </c>
      <c r="I53" s="12"/>
      <c r="J53" s="12"/>
      <c r="K53" s="12"/>
      <c r="L53" s="12"/>
      <c r="M53" s="12"/>
      <c r="N53" s="12" t="str">
        <f>"148.77"</f>
        <v>148.77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 t="str">
        <f>"124.31"</f>
        <v>124.31</v>
      </c>
      <c r="AB53" s="12"/>
      <c r="AC53" s="12"/>
      <c r="AD53" s="12"/>
      <c r="AE53" s="12"/>
      <c r="AF53" s="12" t="str">
        <f>"181.81"</f>
        <v>181.81</v>
      </c>
      <c r="AG53" s="12"/>
      <c r="AH53" s="12"/>
    </row>
    <row r="54" spans="1:34">
      <c r="A54" s="9">
        <v>52</v>
      </c>
      <c r="B54" s="9">
        <v>10423</v>
      </c>
      <c r="C54" s="9" t="s">
        <v>108</v>
      </c>
      <c r="D54" s="9" t="s">
        <v>71</v>
      </c>
      <c r="E54" s="10" t="str">
        <f>"136.66"</f>
        <v>136.66</v>
      </c>
      <c r="F54" s="11"/>
      <c r="G54" s="11">
        <v>2017</v>
      </c>
      <c r="H54" s="12" t="str">
        <f>"201.31"</f>
        <v>201.31</v>
      </c>
      <c r="I54" s="12" t="str">
        <f>"129.31"</f>
        <v>129.31</v>
      </c>
      <c r="J54" s="12" t="str">
        <f>"168.74"</f>
        <v>168.74</v>
      </c>
      <c r="K54" s="12"/>
      <c r="L54" s="12"/>
      <c r="M54" s="12"/>
      <c r="N54" s="12"/>
      <c r="O54" s="12"/>
      <c r="P54" s="12"/>
      <c r="Q54" s="12"/>
      <c r="R54" s="12" t="str">
        <f>"144.00"</f>
        <v>144.00</v>
      </c>
      <c r="S54" s="12"/>
      <c r="T54" s="12"/>
      <c r="U54" s="12" t="str">
        <f>"150.11"</f>
        <v>150.11</v>
      </c>
      <c r="V54" s="12"/>
      <c r="W54" s="12" t="str">
        <f>"184.74"</f>
        <v>184.74</v>
      </c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>
      <c r="A55" s="9">
        <v>53</v>
      </c>
      <c r="B55" s="9">
        <v>10699</v>
      </c>
      <c r="C55" s="9" t="s">
        <v>109</v>
      </c>
      <c r="D55" s="9" t="s">
        <v>48</v>
      </c>
      <c r="E55" s="10" t="str">
        <f>"137.14"</f>
        <v>137.14</v>
      </c>
      <c r="F55" s="11"/>
      <c r="G55" s="11">
        <v>2017</v>
      </c>
      <c r="H55" s="12" t="str">
        <f>"294.25"</f>
        <v>294.25</v>
      </c>
      <c r="I55" s="12"/>
      <c r="J55" s="12"/>
      <c r="K55" s="12"/>
      <c r="L55" s="12"/>
      <c r="M55" s="12"/>
      <c r="N55" s="12"/>
      <c r="O55" s="12"/>
      <c r="P55" s="12"/>
      <c r="Q55" s="12"/>
      <c r="R55" s="12" t="str">
        <f>"169.03"</f>
        <v>169.03</v>
      </c>
      <c r="S55" s="12"/>
      <c r="T55" s="12"/>
      <c r="U55" s="12"/>
      <c r="V55" s="12"/>
      <c r="W55" s="12"/>
      <c r="X55" s="12" t="str">
        <f>"146.09"</f>
        <v>146.09</v>
      </c>
      <c r="Y55" s="12" t="str">
        <f>"128.18"</f>
        <v>128.18</v>
      </c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>
      <c r="A56" s="9">
        <v>54</v>
      </c>
      <c r="B56" s="9">
        <v>8328</v>
      </c>
      <c r="C56" s="9" t="s">
        <v>110</v>
      </c>
      <c r="D56" s="9" t="s">
        <v>111</v>
      </c>
      <c r="E56" s="10" t="str">
        <f>"139.88"</f>
        <v>139.88</v>
      </c>
      <c r="F56" s="11" t="s">
        <v>40</v>
      </c>
      <c r="G56" s="11">
        <v>2017</v>
      </c>
      <c r="H56" s="12" t="str">
        <f>"99.88"</f>
        <v>99.88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>
      <c r="A57" s="9">
        <v>55</v>
      </c>
      <c r="B57" s="9">
        <v>4319</v>
      </c>
      <c r="C57" s="9" t="s">
        <v>112</v>
      </c>
      <c r="D57" s="9" t="s">
        <v>39</v>
      </c>
      <c r="E57" s="10" t="str">
        <f>"143.46"</f>
        <v>143.46</v>
      </c>
      <c r="F57" s="11"/>
      <c r="G57" s="11">
        <v>2017</v>
      </c>
      <c r="H57" s="12" t="str">
        <f>"170.30"</f>
        <v>170.30</v>
      </c>
      <c r="I57" s="12"/>
      <c r="J57" s="12"/>
      <c r="K57" s="12"/>
      <c r="L57" s="12"/>
      <c r="M57" s="12"/>
      <c r="N57" s="12" t="str">
        <f>"189.03"</f>
        <v>189.03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 t="str">
        <f>"217.61"</f>
        <v>217.61</v>
      </c>
      <c r="AB57" s="12"/>
      <c r="AC57" s="12"/>
      <c r="AD57" s="12" t="str">
        <f>"138.73"</f>
        <v>138.73</v>
      </c>
      <c r="AE57" s="12"/>
      <c r="AF57" s="12" t="str">
        <f>"160.25"</f>
        <v>160.25</v>
      </c>
      <c r="AG57" s="12"/>
      <c r="AH57" s="12" t="str">
        <f>"148.19"</f>
        <v>148.19</v>
      </c>
    </row>
    <row r="58" spans="1:34">
      <c r="A58" s="9">
        <v>56</v>
      </c>
      <c r="B58" s="9">
        <v>10216</v>
      </c>
      <c r="C58" s="9" t="s">
        <v>113</v>
      </c>
      <c r="D58" s="9" t="s">
        <v>39</v>
      </c>
      <c r="E58" s="10" t="str">
        <f>"143.73"</f>
        <v>143.73</v>
      </c>
      <c r="F58" s="11"/>
      <c r="G58" s="11">
        <v>2017</v>
      </c>
      <c r="H58" s="12" t="str">
        <f>"113.62"</f>
        <v>113.62</v>
      </c>
      <c r="I58" s="12" t="str">
        <f>"138.87"</f>
        <v>138.87</v>
      </c>
      <c r="J58" s="12" t="str">
        <f>"169.16"</f>
        <v>169.16</v>
      </c>
      <c r="K58" s="12"/>
      <c r="L58" s="12"/>
      <c r="M58" s="12"/>
      <c r="N58" s="12" t="str">
        <f>"148.59"</f>
        <v>148.59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 t="str">
        <f>"151.82"</f>
        <v>151.82</v>
      </c>
      <c r="AB58" s="12"/>
      <c r="AC58" s="12"/>
      <c r="AD58" s="12"/>
      <c r="AE58" s="12"/>
      <c r="AF58" s="12"/>
      <c r="AG58" s="12"/>
      <c r="AH58" s="12"/>
    </row>
    <row r="59" spans="1:34">
      <c r="A59" s="9">
        <v>57</v>
      </c>
      <c r="B59" s="9">
        <v>10176</v>
      </c>
      <c r="C59" s="9" t="s">
        <v>114</v>
      </c>
      <c r="D59" s="9" t="s">
        <v>39</v>
      </c>
      <c r="E59" s="10" t="str">
        <f>"147.44"</f>
        <v>147.44</v>
      </c>
      <c r="F59" s="11"/>
      <c r="G59" s="11">
        <v>2017</v>
      </c>
      <c r="H59" s="12" t="str">
        <f>"178.69"</f>
        <v>178.69</v>
      </c>
      <c r="I59" s="12"/>
      <c r="J59" s="12"/>
      <c r="K59" s="12"/>
      <c r="L59" s="12"/>
      <c r="M59" s="12"/>
      <c r="N59" s="12" t="str">
        <f>"187.60"</f>
        <v>187.60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 t="str">
        <f>"178.21"</f>
        <v>178.21</v>
      </c>
      <c r="AB59" s="12"/>
      <c r="AC59" s="12"/>
      <c r="AD59" s="12"/>
      <c r="AE59" s="12"/>
      <c r="AF59" s="12" t="str">
        <f>"169.64"</f>
        <v>169.64</v>
      </c>
      <c r="AG59" s="12"/>
      <c r="AH59" s="12" t="str">
        <f>"125.24"</f>
        <v>125.24</v>
      </c>
    </row>
    <row r="60" spans="1:34">
      <c r="A60" s="9">
        <v>58</v>
      </c>
      <c r="B60" s="9">
        <v>8341</v>
      </c>
      <c r="C60" s="9" t="s">
        <v>115</v>
      </c>
      <c r="D60" s="9" t="s">
        <v>71</v>
      </c>
      <c r="E60" s="10" t="str">
        <f>"149.24"</f>
        <v>149.24</v>
      </c>
      <c r="F60" s="11"/>
      <c r="G60" s="11">
        <v>2017</v>
      </c>
      <c r="H60" s="12" t="str">
        <f>"154.26"</f>
        <v>154.26</v>
      </c>
      <c r="I60" s="12" t="str">
        <f>"150.89"</f>
        <v>150.89</v>
      </c>
      <c r="J60" s="12" t="str">
        <f>"147.58"</f>
        <v>147.58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 t="str">
        <f>"175.21"</f>
        <v>175.21</v>
      </c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>
      <c r="A61" s="9">
        <v>59</v>
      </c>
      <c r="B61" s="9">
        <v>8199</v>
      </c>
      <c r="C61" s="9" t="s">
        <v>136</v>
      </c>
      <c r="D61" s="9" t="s">
        <v>137</v>
      </c>
      <c r="E61" s="10">
        <v>150.99</v>
      </c>
      <c r="F61" s="11" t="s">
        <v>489</v>
      </c>
      <c r="G61" s="11">
        <v>2017</v>
      </c>
      <c r="H61" s="12" t="str">
        <f>"130.99"</f>
        <v>130.99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>
      <c r="A62" s="9">
        <v>60</v>
      </c>
      <c r="B62" s="9">
        <v>3308</v>
      </c>
      <c r="C62" s="9" t="s">
        <v>116</v>
      </c>
      <c r="D62" s="9" t="s">
        <v>117</v>
      </c>
      <c r="E62" s="10" t="str">
        <f>"152.06"</f>
        <v>152.06</v>
      </c>
      <c r="F62" s="11"/>
      <c r="G62" s="11">
        <v>2017</v>
      </c>
      <c r="H62" s="12" t="str">
        <f>"201.00"</f>
        <v>201.00</v>
      </c>
      <c r="I62" s="12" t="str">
        <f>"152.96"</f>
        <v>152.96</v>
      </c>
      <c r="J62" s="12" t="str">
        <f>"180.71"</f>
        <v>180.71</v>
      </c>
      <c r="K62" s="12"/>
      <c r="L62" s="12"/>
      <c r="M62" s="12"/>
      <c r="N62" s="12"/>
      <c r="O62" s="12"/>
      <c r="P62" s="12" t="str">
        <f>"151.16"</f>
        <v>151.16</v>
      </c>
      <c r="Q62" s="12"/>
      <c r="R62" s="12"/>
      <c r="S62" s="12"/>
      <c r="T62" s="12"/>
      <c r="U62" s="12"/>
      <c r="V62" s="12" t="str">
        <f>"169.68"</f>
        <v>169.68</v>
      </c>
      <c r="W62" s="12"/>
      <c r="X62" s="12" t="str">
        <f>"206.76"</f>
        <v>206.76</v>
      </c>
      <c r="Y62" s="12" t="str">
        <f>"186.64"</f>
        <v>186.64</v>
      </c>
      <c r="Z62" s="12"/>
      <c r="AA62" s="12"/>
      <c r="AB62" s="12"/>
      <c r="AC62" s="12"/>
      <c r="AD62" s="12" t="str">
        <f>"155.99"</f>
        <v>155.99</v>
      </c>
      <c r="AE62" s="12"/>
      <c r="AF62" s="12"/>
      <c r="AG62" s="12"/>
      <c r="AH62" s="12"/>
    </row>
    <row r="63" spans="1:34">
      <c r="A63" s="9">
        <v>61</v>
      </c>
      <c r="B63" s="9">
        <v>7567</v>
      </c>
      <c r="C63" s="9" t="s">
        <v>118</v>
      </c>
      <c r="D63" s="9" t="s">
        <v>39</v>
      </c>
      <c r="E63" s="10" t="str">
        <f>"152.72"</f>
        <v>152.72</v>
      </c>
      <c r="F63" s="11"/>
      <c r="G63" s="11">
        <v>2017</v>
      </c>
      <c r="H63" s="12" t="str">
        <f>"196.00"</f>
        <v>196.00</v>
      </c>
      <c r="I63" s="12"/>
      <c r="J63" s="12"/>
      <c r="K63" s="12"/>
      <c r="L63" s="12"/>
      <c r="M63" s="12"/>
      <c r="N63" s="12" t="str">
        <f>"165.90"</f>
        <v>165.90</v>
      </c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 t="str">
        <f>"182.67"</f>
        <v>182.67</v>
      </c>
      <c r="AB63" s="12"/>
      <c r="AC63" s="12"/>
      <c r="AD63" s="12"/>
      <c r="AE63" s="12"/>
      <c r="AF63" s="12"/>
      <c r="AG63" s="12"/>
      <c r="AH63" s="12" t="str">
        <f>"139.53"</f>
        <v>139.53</v>
      </c>
    </row>
    <row r="64" spans="1:34">
      <c r="A64" s="9">
        <v>62</v>
      </c>
      <c r="B64" s="9">
        <v>1775</v>
      </c>
      <c r="C64" s="9" t="s">
        <v>119</v>
      </c>
      <c r="D64" s="9" t="s">
        <v>89</v>
      </c>
      <c r="E64" s="10" t="str">
        <f>"153.32"</f>
        <v>153.32</v>
      </c>
      <c r="F64" s="11"/>
      <c r="G64" s="11">
        <v>2017</v>
      </c>
      <c r="H64" s="12" t="str">
        <f>"167.73"</f>
        <v>167.73</v>
      </c>
      <c r="I64" s="12" t="str">
        <f>"148.95"</f>
        <v>148.95</v>
      </c>
      <c r="J64" s="12" t="str">
        <f>"187.95"</f>
        <v>187.95</v>
      </c>
      <c r="K64" s="12"/>
      <c r="L64" s="12"/>
      <c r="M64" s="12"/>
      <c r="N64" s="12"/>
      <c r="O64" s="12"/>
      <c r="P64" s="12" t="str">
        <f>"157.69"</f>
        <v>157.69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>
      <c r="A65" s="9">
        <v>63</v>
      </c>
      <c r="B65" s="9">
        <v>5490</v>
      </c>
      <c r="C65" s="9" t="s">
        <v>120</v>
      </c>
      <c r="D65" s="9" t="s">
        <v>71</v>
      </c>
      <c r="E65" s="10" t="str">
        <f>"156.16"</f>
        <v>156.16</v>
      </c>
      <c r="F65" s="11"/>
      <c r="G65" s="11">
        <v>2017</v>
      </c>
      <c r="H65" s="12" t="str">
        <f>"140.69"</f>
        <v>140.69</v>
      </c>
      <c r="I65" s="12"/>
      <c r="J65" s="12"/>
      <c r="K65" s="12"/>
      <c r="L65" s="12"/>
      <c r="M65" s="12"/>
      <c r="N65" s="12"/>
      <c r="O65" s="12"/>
      <c r="P65" s="12"/>
      <c r="Q65" s="12"/>
      <c r="R65" s="12" t="str">
        <f>"135.04"</f>
        <v>135.04</v>
      </c>
      <c r="S65" s="12"/>
      <c r="T65" s="12"/>
      <c r="U65" s="12"/>
      <c r="V65" s="12"/>
      <c r="W65" s="12" t="str">
        <f>"177.27"</f>
        <v>177.27</v>
      </c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>
      <c r="A66" s="9">
        <v>64</v>
      </c>
      <c r="B66" s="9">
        <v>8104</v>
      </c>
      <c r="C66" s="9" t="s">
        <v>121</v>
      </c>
      <c r="D66" s="9" t="s">
        <v>122</v>
      </c>
      <c r="E66" s="10" t="str">
        <f>"156.32"</f>
        <v>156.32</v>
      </c>
      <c r="F66" s="11"/>
      <c r="G66" s="11">
        <v>2017</v>
      </c>
      <c r="H66" s="12" t="str">
        <f>"155.42"</f>
        <v>155.42</v>
      </c>
      <c r="I66" s="12" t="str">
        <f>"175.56"</f>
        <v>175.56</v>
      </c>
      <c r="J66" s="12" t="str">
        <f>"195.47"</f>
        <v>195.47</v>
      </c>
      <c r="K66" s="12"/>
      <c r="L66" s="12"/>
      <c r="M66" s="12"/>
      <c r="N66" s="12"/>
      <c r="O66" s="12" t="str">
        <f>"137.07"</f>
        <v>137.07</v>
      </c>
      <c r="P66" s="12"/>
      <c r="Q66" s="12"/>
      <c r="R66" s="12"/>
      <c r="S66" s="12"/>
      <c r="T66" s="12"/>
      <c r="U66" s="12"/>
      <c r="V66" s="12"/>
      <c r="W66" s="12"/>
      <c r="X66" s="12" t="str">
        <f>"226.19"</f>
        <v>226.19</v>
      </c>
      <c r="Y66" s="12" t="str">
        <f>"184.99"</f>
        <v>184.99</v>
      </c>
      <c r="Z66" s="12"/>
      <c r="AA66" s="12"/>
      <c r="AB66" s="12" t="str">
        <f>"210.22"</f>
        <v>210.22</v>
      </c>
      <c r="AC66" s="12" t="str">
        <f>"259.30"</f>
        <v>259.30</v>
      </c>
      <c r="AD66" s="12" t="str">
        <f>"203.55"</f>
        <v>203.55</v>
      </c>
      <c r="AE66" s="12"/>
      <c r="AF66" s="12"/>
      <c r="AG66" s="12"/>
      <c r="AH66" s="12"/>
    </row>
    <row r="67" spans="1:34">
      <c r="A67" s="9">
        <v>65</v>
      </c>
      <c r="B67" s="9">
        <v>8326</v>
      </c>
      <c r="C67" s="9" t="s">
        <v>123</v>
      </c>
      <c r="D67" s="9" t="s">
        <v>71</v>
      </c>
      <c r="E67" s="10" t="str">
        <f>"156.92"</f>
        <v>156.92</v>
      </c>
      <c r="F67" s="11" t="s">
        <v>489</v>
      </c>
      <c r="G67" s="11">
        <v>2017</v>
      </c>
      <c r="H67" s="12" t="str">
        <f>"145.56"</f>
        <v>145.56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 t="str">
        <f>"179.51"</f>
        <v>179.51</v>
      </c>
      <c r="X67" s="12" t="str">
        <f>"168.72"</f>
        <v>168.72</v>
      </c>
      <c r="Y67" s="12" t="str">
        <f>"145.12"</f>
        <v>145.12</v>
      </c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>
      <c r="A68" s="9">
        <v>66</v>
      </c>
      <c r="B68" s="9">
        <v>10333</v>
      </c>
      <c r="C68" s="9" t="s">
        <v>124</v>
      </c>
      <c r="D68" s="9" t="s">
        <v>48</v>
      </c>
      <c r="E68" s="10" t="str">
        <f>"156.95"</f>
        <v>156.95</v>
      </c>
      <c r="F68" s="11" t="s">
        <v>37</v>
      </c>
      <c r="G68" s="11">
        <v>2017</v>
      </c>
      <c r="H68" s="12" t="str">
        <f>"190.79"</f>
        <v>190.79</v>
      </c>
      <c r="I68" s="12"/>
      <c r="J68" s="12"/>
      <c r="K68" s="12"/>
      <c r="L68" s="12"/>
      <c r="M68" s="12"/>
      <c r="N68" s="12"/>
      <c r="O68" s="12"/>
      <c r="P68" s="12"/>
      <c r="Q68" s="12"/>
      <c r="R68" s="12" t="str">
        <f>"116.95"</f>
        <v>116.95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>
      <c r="A69" s="9">
        <v>67</v>
      </c>
      <c r="B69" s="9">
        <v>6698</v>
      </c>
      <c r="C69" s="9" t="s">
        <v>125</v>
      </c>
      <c r="D69" s="9" t="s">
        <v>39</v>
      </c>
      <c r="E69" s="10" t="str">
        <f>"159.99"</f>
        <v>159.99</v>
      </c>
      <c r="F69" s="11"/>
      <c r="G69" s="11">
        <v>2017</v>
      </c>
      <c r="H69" s="12"/>
      <c r="I69" s="12" t="str">
        <f>"191.58"</f>
        <v>191.58</v>
      </c>
      <c r="J69" s="12" t="str">
        <f>"268.70"</f>
        <v>268.70</v>
      </c>
      <c r="K69" s="12"/>
      <c r="L69" s="12"/>
      <c r="M69" s="12" t="str">
        <f>"244.27"</f>
        <v>244.27</v>
      </c>
      <c r="N69" s="12" t="str">
        <f>"246.43"</f>
        <v>246.43</v>
      </c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 t="str">
        <f>"128.39"</f>
        <v>128.39</v>
      </c>
      <c r="AA69" s="12" t="str">
        <f>"214.45"</f>
        <v>214.45</v>
      </c>
      <c r="AB69" s="12"/>
      <c r="AC69" s="12"/>
      <c r="AD69" s="12"/>
      <c r="AE69" s="12"/>
      <c r="AF69" s="12"/>
      <c r="AG69" s="12"/>
      <c r="AH69" s="12"/>
    </row>
    <row r="70" spans="1:34">
      <c r="A70" s="9">
        <v>68</v>
      </c>
      <c r="B70" s="9">
        <v>1356</v>
      </c>
      <c r="C70" s="9" t="s">
        <v>126</v>
      </c>
      <c r="D70" s="9" t="s">
        <v>127</v>
      </c>
      <c r="E70" s="10" t="str">
        <f>"165.77"</f>
        <v>165.77</v>
      </c>
      <c r="F70" s="11" t="s">
        <v>40</v>
      </c>
      <c r="G70" s="11">
        <v>2017</v>
      </c>
      <c r="H70" s="12" t="str">
        <f>"125.77"</f>
        <v>125.77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>
      <c r="A71" s="9">
        <v>69</v>
      </c>
      <c r="B71" s="9">
        <v>3668</v>
      </c>
      <c r="C71" s="9" t="s">
        <v>128</v>
      </c>
      <c r="D71" s="9" t="s">
        <v>129</v>
      </c>
      <c r="E71" s="10" t="str">
        <f>"167.55"</f>
        <v>167.55</v>
      </c>
      <c r="F71" s="11"/>
      <c r="G71" s="11">
        <v>2017</v>
      </c>
      <c r="H71" s="12" t="str">
        <f>"219.82"</f>
        <v>219.82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 t="str">
        <f>"222.78"</f>
        <v>222.78</v>
      </c>
      <c r="Y71" s="12" t="str">
        <f>"181.68"</f>
        <v>181.68</v>
      </c>
      <c r="Z71" s="12"/>
      <c r="AA71" s="12"/>
      <c r="AB71" s="12"/>
      <c r="AC71" s="12"/>
      <c r="AD71" s="12" t="str">
        <f>"153.41"</f>
        <v>153.41</v>
      </c>
      <c r="AE71" s="12"/>
      <c r="AF71" s="12"/>
      <c r="AG71" s="12"/>
      <c r="AH71" s="12"/>
    </row>
    <row r="72" spans="1:34">
      <c r="A72" s="9">
        <v>70</v>
      </c>
      <c r="B72" s="9">
        <v>5491</v>
      </c>
      <c r="C72" s="9" t="s">
        <v>130</v>
      </c>
      <c r="D72" s="9" t="s">
        <v>71</v>
      </c>
      <c r="E72" s="10" t="str">
        <f>"168.50"</f>
        <v>168.50</v>
      </c>
      <c r="F72" s="11"/>
      <c r="G72" s="11">
        <v>2017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 t="str">
        <f>"161.04"</f>
        <v>161.04</v>
      </c>
      <c r="S72" s="12"/>
      <c r="T72" s="12"/>
      <c r="U72" s="12"/>
      <c r="V72" s="12"/>
      <c r="W72" s="12" t="str">
        <f>"175.96"</f>
        <v>175.96</v>
      </c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>
      <c r="A73" s="9">
        <v>71</v>
      </c>
      <c r="B73" s="9">
        <v>2410</v>
      </c>
      <c r="C73" s="9" t="s">
        <v>131</v>
      </c>
      <c r="D73" s="9" t="s">
        <v>39</v>
      </c>
      <c r="E73" s="10" t="str">
        <f>"168.58"</f>
        <v>168.58</v>
      </c>
      <c r="F73" s="11" t="s">
        <v>40</v>
      </c>
      <c r="G73" s="11">
        <v>2017</v>
      </c>
      <c r="H73" s="12" t="str">
        <f>"128.58"</f>
        <v>128.58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>
      <c r="A74" s="9">
        <v>72</v>
      </c>
      <c r="B74" s="9">
        <v>5734</v>
      </c>
      <c r="C74" s="9" t="s">
        <v>132</v>
      </c>
      <c r="D74" s="9" t="s">
        <v>39</v>
      </c>
      <c r="E74" s="10" t="str">
        <f>"169.80"</f>
        <v>169.80</v>
      </c>
      <c r="F74" s="11"/>
      <c r="G74" s="11">
        <v>2017</v>
      </c>
      <c r="H74" s="12" t="str">
        <f>"177.78"</f>
        <v>177.78</v>
      </c>
      <c r="I74" s="12"/>
      <c r="J74" s="12"/>
      <c r="K74" s="12"/>
      <c r="L74" s="12"/>
      <c r="M74" s="12"/>
      <c r="N74" s="12" t="str">
        <f>"192.71"</f>
        <v>192.71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 t="str">
        <f>"201.26"</f>
        <v>201.26</v>
      </c>
      <c r="AB74" s="12"/>
      <c r="AC74" s="12"/>
      <c r="AD74" s="12"/>
      <c r="AE74" s="12"/>
      <c r="AF74" s="12"/>
      <c r="AG74" s="12"/>
      <c r="AH74" s="12" t="str">
        <f>"146.88"</f>
        <v>146.88</v>
      </c>
    </row>
    <row r="75" spans="1:34">
      <c r="A75" s="9">
        <v>73</v>
      </c>
      <c r="B75" s="9">
        <v>3875</v>
      </c>
      <c r="C75" s="9" t="s">
        <v>133</v>
      </c>
      <c r="D75" s="9" t="s">
        <v>134</v>
      </c>
      <c r="E75" s="10" t="str">
        <f>"170.14"</f>
        <v>170.14</v>
      </c>
      <c r="F75" s="11"/>
      <c r="G75" s="11">
        <v>2017</v>
      </c>
      <c r="H75" s="12" t="str">
        <f>"179.29"</f>
        <v>179.29</v>
      </c>
      <c r="I75" s="12"/>
      <c r="J75" s="12"/>
      <c r="K75" s="12"/>
      <c r="L75" s="12" t="str">
        <f>"200.05"</f>
        <v>200.05</v>
      </c>
      <c r="M75" s="12"/>
      <c r="N75" s="12"/>
      <c r="O75" s="12" t="str">
        <f>"140.23"</f>
        <v>140.23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>
      <c r="A76" s="9">
        <v>74</v>
      </c>
      <c r="B76" s="9">
        <v>7841</v>
      </c>
      <c r="C76" s="9" t="s">
        <v>135</v>
      </c>
      <c r="D76" s="9" t="s">
        <v>39</v>
      </c>
      <c r="E76" s="10" t="str">
        <f>"170.54"</f>
        <v>170.54</v>
      </c>
      <c r="F76" s="11" t="s">
        <v>40</v>
      </c>
      <c r="G76" s="11">
        <v>2017</v>
      </c>
      <c r="H76" s="12" t="str">
        <f>"130.54"</f>
        <v>130.54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>
      <c r="A77" s="9">
        <v>75</v>
      </c>
      <c r="B77" s="9">
        <v>11400</v>
      </c>
      <c r="C77" s="9" t="s">
        <v>138</v>
      </c>
      <c r="D77" s="9" t="s">
        <v>139</v>
      </c>
      <c r="E77" s="10" t="str">
        <f>"170.99"</f>
        <v>170.99</v>
      </c>
      <c r="F77" s="11" t="s">
        <v>37</v>
      </c>
      <c r="G77" s="11">
        <v>2017</v>
      </c>
      <c r="H77" s="12"/>
      <c r="I77" s="12" t="str">
        <f>"130.99"</f>
        <v>130.99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>
      <c r="A78" s="9">
        <v>76</v>
      </c>
      <c r="B78" s="9">
        <v>11107</v>
      </c>
      <c r="C78" s="9" t="s">
        <v>140</v>
      </c>
      <c r="D78" s="9" t="s">
        <v>39</v>
      </c>
      <c r="E78" s="10" t="str">
        <f>"172.32"</f>
        <v>172.32</v>
      </c>
      <c r="F78" s="11"/>
      <c r="G78" s="11">
        <v>2017</v>
      </c>
      <c r="H78" s="12"/>
      <c r="I78" s="12"/>
      <c r="J78" s="12"/>
      <c r="K78" s="12"/>
      <c r="L78" s="12"/>
      <c r="M78" s="12" t="str">
        <f>"214.59"</f>
        <v>214.59</v>
      </c>
      <c r="N78" s="12" t="str">
        <f>"255.93"</f>
        <v>255.93</v>
      </c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 t="str">
        <f>"147.38"</f>
        <v>147.38</v>
      </c>
      <c r="AA78" s="12" t="str">
        <f>"223.00"</f>
        <v>223.00</v>
      </c>
      <c r="AB78" s="12"/>
      <c r="AC78" s="12"/>
      <c r="AD78" s="12"/>
      <c r="AE78" s="12"/>
      <c r="AF78" s="12"/>
      <c r="AG78" s="12"/>
      <c r="AH78" s="12" t="str">
        <f>"197.25"</f>
        <v>197.25</v>
      </c>
    </row>
    <row r="79" spans="1:34">
      <c r="A79" s="9">
        <v>77</v>
      </c>
      <c r="B79" s="9">
        <v>10503</v>
      </c>
      <c r="C79" s="9" t="s">
        <v>141</v>
      </c>
      <c r="D79" s="9" t="s">
        <v>71</v>
      </c>
      <c r="E79" s="10" t="str">
        <f>"174.69"</f>
        <v>174.69</v>
      </c>
      <c r="F79" s="11"/>
      <c r="G79" s="11">
        <v>2017</v>
      </c>
      <c r="H79" s="12" t="str">
        <f>"298.84"</f>
        <v>298.84</v>
      </c>
      <c r="I79" s="12"/>
      <c r="J79" s="12"/>
      <c r="K79" s="12"/>
      <c r="L79" s="12"/>
      <c r="M79" s="12"/>
      <c r="N79" s="12"/>
      <c r="O79" s="12"/>
      <c r="P79" s="12"/>
      <c r="Q79" s="12"/>
      <c r="R79" s="12" t="str">
        <f>"338.21"</f>
        <v>338.21</v>
      </c>
      <c r="S79" s="12"/>
      <c r="T79" s="12"/>
      <c r="U79" s="12" t="str">
        <f>"267.24"</f>
        <v>267.24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 t="str">
        <f>"181.90"</f>
        <v>181.90</v>
      </c>
      <c r="AH79" s="12" t="str">
        <f>"167.47"</f>
        <v>167.47</v>
      </c>
    </row>
    <row r="80" spans="1:34">
      <c r="A80" s="9">
        <v>78</v>
      </c>
      <c r="B80" s="9">
        <v>3433</v>
      </c>
      <c r="C80" s="9" t="s">
        <v>142</v>
      </c>
      <c r="D80" s="9" t="s">
        <v>36</v>
      </c>
      <c r="E80" s="10" t="str">
        <f>"175.20"</f>
        <v>175.20</v>
      </c>
      <c r="F80" s="11"/>
      <c r="G80" s="11">
        <v>2017</v>
      </c>
      <c r="H80" s="12" t="str">
        <f>"203.53"</f>
        <v>203.53</v>
      </c>
      <c r="I80" s="12"/>
      <c r="J80" s="12"/>
      <c r="K80" s="12"/>
      <c r="L80" s="12"/>
      <c r="M80" s="12"/>
      <c r="N80" s="12"/>
      <c r="O80" s="12" t="str">
        <f>"155.28"</f>
        <v>155.28</v>
      </c>
      <c r="P80" s="12"/>
      <c r="Q80" s="12"/>
      <c r="R80" s="12"/>
      <c r="S80" s="12"/>
      <c r="T80" s="12"/>
      <c r="U80" s="12"/>
      <c r="V80" s="12"/>
      <c r="W80" s="12"/>
      <c r="X80" s="12" t="str">
        <f>"237.40"</f>
        <v>237.40</v>
      </c>
      <c r="Y80" s="12" t="str">
        <f>"195.11"</f>
        <v>195.11</v>
      </c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>
      <c r="A81" s="9">
        <v>79</v>
      </c>
      <c r="B81" s="9">
        <v>10814</v>
      </c>
      <c r="C81" s="9" t="s">
        <v>144</v>
      </c>
      <c r="D81" s="9" t="s">
        <v>71</v>
      </c>
      <c r="E81" s="10" t="str">
        <f>"175.56"</f>
        <v>175.56</v>
      </c>
      <c r="F81" s="11"/>
      <c r="G81" s="11">
        <v>2017</v>
      </c>
      <c r="H81" s="12" t="str">
        <f>"379.54"</f>
        <v>379.54</v>
      </c>
      <c r="I81" s="12"/>
      <c r="J81" s="12"/>
      <c r="K81" s="12"/>
      <c r="L81" s="12"/>
      <c r="M81" s="12"/>
      <c r="N81" s="12"/>
      <c r="O81" s="12"/>
      <c r="P81" s="12"/>
      <c r="Q81" s="12"/>
      <c r="R81" s="12" t="str">
        <f>"248.79"</f>
        <v>248.79</v>
      </c>
      <c r="S81" s="12"/>
      <c r="T81" s="12"/>
      <c r="U81" s="12" t="str">
        <f>"257.45"</f>
        <v>257.45</v>
      </c>
      <c r="V81" s="12"/>
      <c r="W81" s="12" t="str">
        <f>"263.22"</f>
        <v>263.22</v>
      </c>
      <c r="X81" s="12" t="str">
        <f>"218.18"</f>
        <v>218.18</v>
      </c>
      <c r="Y81" s="12" t="str">
        <f>"228.16"</f>
        <v>228.16</v>
      </c>
      <c r="Z81" s="12"/>
      <c r="AA81" s="12"/>
      <c r="AB81" s="12"/>
      <c r="AC81" s="12"/>
      <c r="AD81" s="12" t="str">
        <f>"132.93"</f>
        <v>132.93</v>
      </c>
      <c r="AE81" s="12"/>
      <c r="AF81" s="12"/>
      <c r="AG81" s="12"/>
      <c r="AH81" s="12"/>
    </row>
    <row r="82" spans="1:34">
      <c r="A82" s="9">
        <v>80</v>
      </c>
      <c r="B82" s="9">
        <v>5501</v>
      </c>
      <c r="C82" s="9" t="s">
        <v>145</v>
      </c>
      <c r="D82" s="9" t="s">
        <v>71</v>
      </c>
      <c r="E82" s="10" t="str">
        <f>"175.82"</f>
        <v>175.82</v>
      </c>
      <c r="F82" s="11"/>
      <c r="G82" s="11">
        <v>2017</v>
      </c>
      <c r="H82" s="12" t="str">
        <f>"166.87"</f>
        <v>166.87</v>
      </c>
      <c r="I82" s="12"/>
      <c r="J82" s="12"/>
      <c r="K82" s="12"/>
      <c r="L82" s="12"/>
      <c r="M82" s="12"/>
      <c r="N82" s="12"/>
      <c r="O82" s="12" t="str">
        <f>"145.67"</f>
        <v>145.67</v>
      </c>
      <c r="P82" s="12"/>
      <c r="Q82" s="12"/>
      <c r="R82" s="12" t="str">
        <f>"294.64"</f>
        <v>294.64</v>
      </c>
      <c r="S82" s="12"/>
      <c r="T82" s="12"/>
      <c r="U82" s="12"/>
      <c r="V82" s="12"/>
      <c r="W82" s="12" t="str">
        <f>"256.49"</f>
        <v>256.49</v>
      </c>
      <c r="X82" s="12"/>
      <c r="Y82" s="12"/>
      <c r="Z82" s="12"/>
      <c r="AA82" s="12"/>
      <c r="AB82" s="12"/>
      <c r="AC82" s="12"/>
      <c r="AD82" s="12" t="str">
        <f>"205.97"</f>
        <v>205.97</v>
      </c>
      <c r="AE82" s="12"/>
      <c r="AF82" s="12"/>
      <c r="AG82" s="12"/>
      <c r="AH82" s="12"/>
    </row>
    <row r="83" spans="1:34">
      <c r="A83" s="9">
        <v>81</v>
      </c>
      <c r="B83" s="9">
        <v>11074</v>
      </c>
      <c r="C83" s="9" t="s">
        <v>146</v>
      </c>
      <c r="D83" s="9" t="s">
        <v>147</v>
      </c>
      <c r="E83" s="10" t="str">
        <f>"179.03"</f>
        <v>179.03</v>
      </c>
      <c r="F83" s="11"/>
      <c r="G83" s="11">
        <v>2017</v>
      </c>
      <c r="H83" s="12" t="str">
        <f>"261.71"</f>
        <v>261.71</v>
      </c>
      <c r="I83" s="12"/>
      <c r="J83" s="12"/>
      <c r="K83" s="12"/>
      <c r="L83" s="12"/>
      <c r="M83" s="12"/>
      <c r="N83" s="12"/>
      <c r="O83" s="12"/>
      <c r="P83" s="12"/>
      <c r="Q83" s="12" t="str">
        <f>"177.37"</f>
        <v>177.37</v>
      </c>
      <c r="R83" s="12"/>
      <c r="S83" s="12"/>
      <c r="T83" s="12" t="str">
        <f>"180.69"</f>
        <v>180.69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>
      <c r="A84" s="9">
        <v>82</v>
      </c>
      <c r="B84" s="9">
        <v>10877</v>
      </c>
      <c r="C84" s="9" t="s">
        <v>148</v>
      </c>
      <c r="D84" s="9" t="s">
        <v>39</v>
      </c>
      <c r="E84" s="10" t="str">
        <f>"179.35"</f>
        <v>179.35</v>
      </c>
      <c r="F84" s="11"/>
      <c r="G84" s="11">
        <v>2017</v>
      </c>
      <c r="H84" s="12" t="str">
        <f>"434.42"</f>
        <v>434.42</v>
      </c>
      <c r="I84" s="12"/>
      <c r="J84" s="12"/>
      <c r="K84" s="12"/>
      <c r="L84" s="12"/>
      <c r="M84" s="12" t="str">
        <f>"215.26"</f>
        <v>215.26</v>
      </c>
      <c r="N84" s="12" t="str">
        <f>"260.06"</f>
        <v>260.06</v>
      </c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 t="str">
        <f>"181.12"</f>
        <v>181.12</v>
      </c>
      <c r="AA84" s="12" t="str">
        <f>"217.43"</f>
        <v>217.43</v>
      </c>
      <c r="AB84" s="12"/>
      <c r="AC84" s="12"/>
      <c r="AD84" s="12"/>
      <c r="AE84" s="12"/>
      <c r="AF84" s="12" t="str">
        <f>"184.74"</f>
        <v>184.74</v>
      </c>
      <c r="AG84" s="12"/>
      <c r="AH84" s="12" t="str">
        <f>"177.57"</f>
        <v>177.57</v>
      </c>
    </row>
    <row r="85" spans="1:34">
      <c r="A85" s="9">
        <v>83</v>
      </c>
      <c r="B85" s="9">
        <v>5736</v>
      </c>
      <c r="C85" s="9" t="s">
        <v>149</v>
      </c>
      <c r="D85" s="9" t="s">
        <v>53</v>
      </c>
      <c r="E85" s="10" t="str">
        <f>"179.80"</f>
        <v>179.80</v>
      </c>
      <c r="F85" s="11" t="s">
        <v>40</v>
      </c>
      <c r="G85" s="11">
        <v>2017</v>
      </c>
      <c r="H85" s="12" t="str">
        <f>"139.80"</f>
        <v>139.80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>
      <c r="A86" s="9">
        <v>84</v>
      </c>
      <c r="B86" s="9">
        <v>1835</v>
      </c>
      <c r="C86" s="9" t="s">
        <v>150</v>
      </c>
      <c r="D86" s="9" t="s">
        <v>151</v>
      </c>
      <c r="E86" s="10" t="str">
        <f>"179.98"</f>
        <v>179.98</v>
      </c>
      <c r="F86" s="11" t="s">
        <v>37</v>
      </c>
      <c r="G86" s="11">
        <v>2017</v>
      </c>
      <c r="H86" s="12" t="str">
        <f>"163.23"</f>
        <v>163.23</v>
      </c>
      <c r="I86" s="12"/>
      <c r="J86" s="12"/>
      <c r="K86" s="12"/>
      <c r="L86" s="12"/>
      <c r="M86" s="12"/>
      <c r="N86" s="12"/>
      <c r="O86" s="12" t="str">
        <f>"139.98"</f>
        <v>139.98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>
      <c r="A87" s="9">
        <v>85</v>
      </c>
      <c r="B87" s="9">
        <v>4331</v>
      </c>
      <c r="C87" s="9" t="s">
        <v>152</v>
      </c>
      <c r="D87" s="9" t="s">
        <v>153</v>
      </c>
      <c r="E87" s="10" t="str">
        <f>"181.23"</f>
        <v>181.23</v>
      </c>
      <c r="F87" s="11"/>
      <c r="G87" s="11">
        <v>2017</v>
      </c>
      <c r="H87" s="12" t="str">
        <f>"166.91"</f>
        <v>166.91</v>
      </c>
      <c r="I87" s="12"/>
      <c r="J87" s="12" t="str">
        <f>"208.28"</f>
        <v>208.28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 t="str">
        <f>"169.82"</f>
        <v>169.82</v>
      </c>
      <c r="W87" s="12"/>
      <c r="X87" s="12" t="str">
        <f>"210.57"</f>
        <v>210.57</v>
      </c>
      <c r="Y87" s="12" t="str">
        <f>"192.63"</f>
        <v>192.63</v>
      </c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>
      <c r="A88" s="9">
        <v>86</v>
      </c>
      <c r="B88" s="9">
        <v>11223</v>
      </c>
      <c r="C88" s="9" t="s">
        <v>154</v>
      </c>
      <c r="D88" s="9" t="s">
        <v>71</v>
      </c>
      <c r="E88" s="10" t="str">
        <f>"181.54"</f>
        <v>181.54</v>
      </c>
      <c r="F88" s="11"/>
      <c r="G88" s="11">
        <v>2017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 t="str">
        <f>"178.78"</f>
        <v>178.78</v>
      </c>
      <c r="S88" s="12"/>
      <c r="T88" s="12"/>
      <c r="U88" s="12" t="str">
        <f>"184.29"</f>
        <v>184.29</v>
      </c>
      <c r="V88" s="12"/>
      <c r="W88" s="12" t="str">
        <f>"200.81"</f>
        <v>200.81</v>
      </c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>
      <c r="A89" s="9">
        <v>87</v>
      </c>
      <c r="B89" s="9">
        <v>5095</v>
      </c>
      <c r="C89" s="9" t="s">
        <v>155</v>
      </c>
      <c r="D89" s="9" t="s">
        <v>156</v>
      </c>
      <c r="E89" s="10" t="str">
        <f>"182.44"</f>
        <v>182.44</v>
      </c>
      <c r="F89" s="11" t="s">
        <v>40</v>
      </c>
      <c r="G89" s="11">
        <v>2017</v>
      </c>
      <c r="H89" s="12" t="str">
        <f>"142.44"</f>
        <v>142.44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>
      <c r="A90" s="9">
        <v>88</v>
      </c>
      <c r="B90" s="9">
        <v>5486</v>
      </c>
      <c r="C90" s="9" t="s">
        <v>157</v>
      </c>
      <c r="D90" s="9" t="s">
        <v>71</v>
      </c>
      <c r="E90" s="10" t="str">
        <f>"182.70"</f>
        <v>182.70</v>
      </c>
      <c r="F90" s="11" t="s">
        <v>37</v>
      </c>
      <c r="G90" s="11">
        <v>2017</v>
      </c>
      <c r="H90" s="12" t="str">
        <f>"159.48"</f>
        <v>159.48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 t="str">
        <f>"142.70"</f>
        <v>142.70</v>
      </c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>
      <c r="A91" s="9">
        <v>89</v>
      </c>
      <c r="B91" s="9">
        <v>2419</v>
      </c>
      <c r="C91" s="9" t="s">
        <v>158</v>
      </c>
      <c r="D91" s="9" t="s">
        <v>159</v>
      </c>
      <c r="E91" s="10" t="str">
        <f>"183.33"</f>
        <v>183.33</v>
      </c>
      <c r="F91" s="11"/>
      <c r="G91" s="11">
        <v>2017</v>
      </c>
      <c r="H91" s="12" t="str">
        <f>"256.97"</f>
        <v>256.97</v>
      </c>
      <c r="I91" s="12"/>
      <c r="J91" s="12"/>
      <c r="K91" s="12"/>
      <c r="L91" s="12"/>
      <c r="M91" s="12"/>
      <c r="N91" s="12"/>
      <c r="O91" s="12" t="str">
        <f>"146.18"</f>
        <v>146.18</v>
      </c>
      <c r="P91" s="12"/>
      <c r="Q91" s="12"/>
      <c r="R91" s="12"/>
      <c r="S91" s="12"/>
      <c r="T91" s="12"/>
      <c r="U91" s="12"/>
      <c r="V91" s="12"/>
      <c r="W91" s="12"/>
      <c r="X91" s="12" t="str">
        <f>"288.26"</f>
        <v>288.26</v>
      </c>
      <c r="Y91" s="12" t="str">
        <f>"239.94"</f>
        <v>239.94</v>
      </c>
      <c r="Z91" s="12"/>
      <c r="AA91" s="12"/>
      <c r="AB91" s="12"/>
      <c r="AC91" s="12"/>
      <c r="AD91" s="12" t="str">
        <f>"220.48"</f>
        <v>220.48</v>
      </c>
      <c r="AE91" s="12"/>
      <c r="AF91" s="12" t="str">
        <f>"235.63"</f>
        <v>235.63</v>
      </c>
      <c r="AG91" s="12"/>
      <c r="AH91" s="12"/>
    </row>
    <row r="92" spans="1:34">
      <c r="A92" s="9">
        <v>90</v>
      </c>
      <c r="B92" s="9">
        <v>9953</v>
      </c>
      <c r="C92" s="9" t="s">
        <v>160</v>
      </c>
      <c r="D92" s="9" t="s">
        <v>71</v>
      </c>
      <c r="E92" s="10" t="str">
        <f>"183.57"</f>
        <v>183.57</v>
      </c>
      <c r="F92" s="11"/>
      <c r="G92" s="11">
        <v>2017</v>
      </c>
      <c r="H92" s="12" t="str">
        <f>"201.79"</f>
        <v>201.79</v>
      </c>
      <c r="I92" s="12"/>
      <c r="J92" s="12"/>
      <c r="K92" s="12"/>
      <c r="L92" s="12"/>
      <c r="M92" s="12"/>
      <c r="N92" s="12"/>
      <c r="O92" s="12"/>
      <c r="P92" s="12"/>
      <c r="Q92" s="12"/>
      <c r="R92" s="12" t="str">
        <f>"230.43"</f>
        <v>230.43</v>
      </c>
      <c r="S92" s="12"/>
      <c r="T92" s="12"/>
      <c r="U92" s="12" t="str">
        <f>"178.09"</f>
        <v>178.09</v>
      </c>
      <c r="V92" s="12"/>
      <c r="W92" s="12" t="str">
        <f>"189.04"</f>
        <v>189.04</v>
      </c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>
      <c r="A93" s="9">
        <v>91</v>
      </c>
      <c r="B93" s="9">
        <v>3604</v>
      </c>
      <c r="C93" s="9" t="s">
        <v>161</v>
      </c>
      <c r="D93" s="9" t="s">
        <v>162</v>
      </c>
      <c r="E93" s="10" t="str">
        <f>"184.32"</f>
        <v>184.32</v>
      </c>
      <c r="F93" s="11"/>
      <c r="G93" s="11">
        <v>2017</v>
      </c>
      <c r="H93" s="12" t="str">
        <f>"213.94"</f>
        <v>213.94</v>
      </c>
      <c r="I93" s="12"/>
      <c r="J93" s="12"/>
      <c r="K93" s="12" t="str">
        <f>"213.37"</f>
        <v>213.37</v>
      </c>
      <c r="L93" s="12" t="str">
        <f>"179.28"</f>
        <v>179.28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 t="str">
        <f>"189.36"</f>
        <v>189.36</v>
      </c>
      <c r="AF93" s="12"/>
      <c r="AG93" s="12"/>
      <c r="AH93" s="12"/>
    </row>
    <row r="94" spans="1:34">
      <c r="A94" s="9">
        <v>92</v>
      </c>
      <c r="B94" s="9">
        <v>10661</v>
      </c>
      <c r="C94" s="9" t="s">
        <v>163</v>
      </c>
      <c r="D94" s="9" t="s">
        <v>53</v>
      </c>
      <c r="E94" s="10" t="str">
        <f>"188.79"</f>
        <v>188.79</v>
      </c>
      <c r="F94" s="11"/>
      <c r="G94" s="11">
        <v>2017</v>
      </c>
      <c r="H94" s="12" t="str">
        <f>"103.20"</f>
        <v>103.20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 t="str">
        <f>"191.55"</f>
        <v>191.55</v>
      </c>
      <c r="Y94" s="12" t="str">
        <f>"186.02"</f>
        <v>186.02</v>
      </c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>
      <c r="A95" s="9">
        <v>93</v>
      </c>
      <c r="B95" s="9">
        <v>10421</v>
      </c>
      <c r="C95" s="9" t="s">
        <v>164</v>
      </c>
      <c r="D95" s="9" t="s">
        <v>71</v>
      </c>
      <c r="E95" s="10" t="str">
        <f>"189.83"</f>
        <v>189.83</v>
      </c>
      <c r="F95" s="11"/>
      <c r="G95" s="11">
        <v>2017</v>
      </c>
      <c r="H95" s="12" t="str">
        <f>"312.19"</f>
        <v>312.19</v>
      </c>
      <c r="I95" s="12"/>
      <c r="J95" s="12"/>
      <c r="K95" s="12"/>
      <c r="L95" s="12"/>
      <c r="M95" s="12"/>
      <c r="N95" s="12"/>
      <c r="O95" s="12"/>
      <c r="P95" s="12"/>
      <c r="Q95" s="12"/>
      <c r="R95" s="12" t="str">
        <f>"183.70"</f>
        <v>183.70</v>
      </c>
      <c r="S95" s="12"/>
      <c r="T95" s="12"/>
      <c r="U95" s="12"/>
      <c r="V95" s="12"/>
      <c r="W95" s="12" t="str">
        <f>"195.95"</f>
        <v>195.95</v>
      </c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>
      <c r="A96" s="9">
        <v>94</v>
      </c>
      <c r="B96" s="9">
        <v>6674</v>
      </c>
      <c r="C96" s="9" t="s">
        <v>165</v>
      </c>
      <c r="D96" s="9" t="s">
        <v>127</v>
      </c>
      <c r="E96" s="10" t="str">
        <f>"190.20"</f>
        <v>190.20</v>
      </c>
      <c r="F96" s="11"/>
      <c r="G96" s="11">
        <v>2017</v>
      </c>
      <c r="H96" s="12" t="str">
        <f>"223.92"</f>
        <v>223.92</v>
      </c>
      <c r="I96" s="12"/>
      <c r="J96" s="12"/>
      <c r="K96" s="12"/>
      <c r="L96" s="12"/>
      <c r="M96" s="12"/>
      <c r="N96" s="12"/>
      <c r="O96" s="12" t="str">
        <f>"141.50"</f>
        <v>141.50</v>
      </c>
      <c r="P96" s="12"/>
      <c r="Q96" s="12"/>
      <c r="R96" s="12"/>
      <c r="S96" s="12"/>
      <c r="T96" s="12"/>
      <c r="U96" s="12"/>
      <c r="V96" s="12"/>
      <c r="W96" s="12"/>
      <c r="X96" s="12" t="str">
        <f>"252.42"</f>
        <v>252.42</v>
      </c>
      <c r="Y96" s="12" t="str">
        <f>"238.90"</f>
        <v>238.90</v>
      </c>
      <c r="Z96" s="12"/>
      <c r="AA96" s="12"/>
      <c r="AB96" s="12"/>
      <c r="AC96" s="12"/>
      <c r="AD96" s="12"/>
      <c r="AE96" s="12"/>
      <c r="AF96" s="12" t="str">
        <f>"262.18"</f>
        <v>262.18</v>
      </c>
      <c r="AG96" s="12"/>
      <c r="AH96" s="12"/>
    </row>
    <row r="97" spans="1:34">
      <c r="A97" s="9">
        <v>95</v>
      </c>
      <c r="B97" s="9">
        <v>10667</v>
      </c>
      <c r="C97" s="9" t="s">
        <v>166</v>
      </c>
      <c r="D97" s="9" t="s">
        <v>53</v>
      </c>
      <c r="E97" s="10" t="str">
        <f>"191.49"</f>
        <v>191.49</v>
      </c>
      <c r="F97" s="11" t="s">
        <v>37</v>
      </c>
      <c r="G97" s="11">
        <v>2017</v>
      </c>
      <c r="H97" s="12" t="str">
        <f>"253.33"</f>
        <v>253.33</v>
      </c>
      <c r="I97" s="12"/>
      <c r="J97" s="12"/>
      <c r="K97" s="12"/>
      <c r="L97" s="12"/>
      <c r="M97" s="12"/>
      <c r="N97" s="12"/>
      <c r="O97" s="12" t="str">
        <f>"151.49"</f>
        <v>151.49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>
      <c r="A98" s="9">
        <v>96</v>
      </c>
      <c r="B98" s="9">
        <v>3285</v>
      </c>
      <c r="C98" s="9" t="s">
        <v>167</v>
      </c>
      <c r="D98" s="9" t="s">
        <v>168</v>
      </c>
      <c r="E98" s="10" t="str">
        <f>"192.70"</f>
        <v>192.70</v>
      </c>
      <c r="F98" s="11" t="s">
        <v>40</v>
      </c>
      <c r="G98" s="11">
        <v>2017</v>
      </c>
      <c r="H98" s="12" t="str">
        <f>"152.70"</f>
        <v>152.70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>
      <c r="A99" s="9">
        <v>97</v>
      </c>
      <c r="B99" s="9">
        <v>10964</v>
      </c>
      <c r="C99" s="9" t="s">
        <v>169</v>
      </c>
      <c r="D99" s="9" t="s">
        <v>170</v>
      </c>
      <c r="E99" s="10" t="str">
        <f>"194.21"</f>
        <v>194.21</v>
      </c>
      <c r="F99" s="11" t="s">
        <v>37</v>
      </c>
      <c r="G99" s="11">
        <v>2017</v>
      </c>
      <c r="H99" s="12" t="str">
        <f>"148.92"</f>
        <v>148.92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 t="str">
        <f>"154.21"</f>
        <v>154.21</v>
      </c>
      <c r="AE99" s="12"/>
      <c r="AF99" s="12"/>
      <c r="AG99" s="12"/>
      <c r="AH99" s="12"/>
    </row>
    <row r="100" spans="1:34">
      <c r="A100" s="9">
        <v>98</v>
      </c>
      <c r="B100" s="9">
        <v>4047</v>
      </c>
      <c r="C100" s="9" t="s">
        <v>171</v>
      </c>
      <c r="D100" s="9" t="s">
        <v>172</v>
      </c>
      <c r="E100" s="10" t="str">
        <f>"195.22"</f>
        <v>195.22</v>
      </c>
      <c r="F100" s="11"/>
      <c r="G100" s="11">
        <v>2017</v>
      </c>
      <c r="H100" s="12" t="str">
        <f>"270.17"</f>
        <v>270.17</v>
      </c>
      <c r="I100" s="12"/>
      <c r="J100" s="12"/>
      <c r="K100" s="12"/>
      <c r="L100" s="12"/>
      <c r="M100" s="12"/>
      <c r="N100" s="12"/>
      <c r="O100" s="12" t="str">
        <f>"209.78"</f>
        <v>209.78</v>
      </c>
      <c r="P100" s="12"/>
      <c r="Q100" s="12"/>
      <c r="R100" s="12"/>
      <c r="S100" s="12"/>
      <c r="T100" s="12"/>
      <c r="U100" s="12"/>
      <c r="V100" s="12" t="str">
        <f>"180.66"</f>
        <v>180.66</v>
      </c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>
      <c r="A101" s="9">
        <v>99</v>
      </c>
      <c r="B101" s="9">
        <v>7631</v>
      </c>
      <c r="C101" s="9" t="s">
        <v>173</v>
      </c>
      <c r="D101" s="9" t="s">
        <v>39</v>
      </c>
      <c r="E101" s="10" t="str">
        <f>"196.28"</f>
        <v>196.28</v>
      </c>
      <c r="F101" s="11"/>
      <c r="G101" s="11">
        <v>2017</v>
      </c>
      <c r="H101" s="12" t="str">
        <f>"302.93"</f>
        <v>302.93</v>
      </c>
      <c r="I101" s="12"/>
      <c r="J101" s="12"/>
      <c r="K101" s="12"/>
      <c r="L101" s="12"/>
      <c r="M101" s="12" t="str">
        <f>"217.13"</f>
        <v>217.13</v>
      </c>
      <c r="N101" s="12" t="str">
        <f>"238.45"</f>
        <v>238.45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 t="str">
        <f>"175.43"</f>
        <v>175.43</v>
      </c>
      <c r="AA101" s="12" t="str">
        <f>"224.86"</f>
        <v>224.86</v>
      </c>
      <c r="AB101" s="12"/>
      <c r="AC101" s="12"/>
      <c r="AD101" s="12"/>
      <c r="AE101" s="12"/>
      <c r="AF101" s="12"/>
      <c r="AG101" s="12"/>
      <c r="AH101" s="12" t="str">
        <f>"219.81"</f>
        <v>219.81</v>
      </c>
    </row>
    <row r="102" spans="1:34">
      <c r="A102" s="9">
        <v>100</v>
      </c>
      <c r="B102" s="9">
        <v>3207</v>
      </c>
      <c r="C102" s="9" t="s">
        <v>174</v>
      </c>
      <c r="D102" s="9" t="s">
        <v>175</v>
      </c>
      <c r="E102" s="10" t="str">
        <f>"197.39"</f>
        <v>197.39</v>
      </c>
      <c r="F102" s="11" t="s">
        <v>37</v>
      </c>
      <c r="G102" s="11">
        <v>2017</v>
      </c>
      <c r="H102" s="12" t="str">
        <f>"283.44"</f>
        <v>283.44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 t="str">
        <f>"157.39"</f>
        <v>157.39</v>
      </c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>
      <c r="A103" s="9">
        <v>101</v>
      </c>
      <c r="B103" s="9">
        <v>10825</v>
      </c>
      <c r="C103" s="9" t="s">
        <v>176</v>
      </c>
      <c r="D103" s="9" t="s">
        <v>71</v>
      </c>
      <c r="E103" s="10" t="str">
        <f>"198.80"</f>
        <v>198.80</v>
      </c>
      <c r="F103" s="11"/>
      <c r="G103" s="11">
        <v>2017</v>
      </c>
      <c r="H103" s="12" t="str">
        <f>"260.38"</f>
        <v>260.38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 t="str">
        <f>"236.23"</f>
        <v>236.23</v>
      </c>
      <c r="S103" s="12"/>
      <c r="T103" s="12"/>
      <c r="U103" s="12" t="str">
        <f>"213.41"</f>
        <v>213.41</v>
      </c>
      <c r="V103" s="12"/>
      <c r="W103" s="12" t="str">
        <f>"184.18"</f>
        <v>184.18</v>
      </c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>
      <c r="A104" s="9">
        <v>102</v>
      </c>
      <c r="B104" s="9">
        <v>8622</v>
      </c>
      <c r="C104" s="9" t="s">
        <v>177</v>
      </c>
      <c r="D104" s="9" t="s">
        <v>39</v>
      </c>
      <c r="E104" s="10" t="str">
        <f>"199.76"</f>
        <v>199.76</v>
      </c>
      <c r="F104" s="11"/>
      <c r="G104" s="11">
        <v>2017</v>
      </c>
      <c r="H104" s="12" t="str">
        <f>"175.70"</f>
        <v>175.70</v>
      </c>
      <c r="I104" s="12"/>
      <c r="J104" s="12"/>
      <c r="K104" s="12"/>
      <c r="L104" s="12"/>
      <c r="M104" s="12"/>
      <c r="N104" s="12" t="str">
        <f>"185.80"</f>
        <v>185.80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 t="str">
        <f>"213.71"</f>
        <v>213.71</v>
      </c>
      <c r="AB104" s="12"/>
      <c r="AC104" s="12"/>
      <c r="AD104" s="12"/>
      <c r="AE104" s="12"/>
      <c r="AF104" s="12"/>
      <c r="AG104" s="12"/>
      <c r="AH104" s="12"/>
    </row>
    <row r="105" spans="1:34">
      <c r="A105" s="9">
        <v>103</v>
      </c>
      <c r="B105" s="9">
        <v>1490</v>
      </c>
      <c r="C105" s="9" t="s">
        <v>178</v>
      </c>
      <c r="D105" s="9" t="s">
        <v>179</v>
      </c>
      <c r="E105" s="10" t="str">
        <f>"200.13"</f>
        <v>200.13</v>
      </c>
      <c r="F105" s="11" t="s">
        <v>40</v>
      </c>
      <c r="G105" s="11">
        <v>2017</v>
      </c>
      <c r="H105" s="12" t="str">
        <f>"160.13"</f>
        <v>160.13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>
      <c r="A106" s="9">
        <v>104</v>
      </c>
      <c r="B106" s="9">
        <v>2023</v>
      </c>
      <c r="C106" s="9" t="s">
        <v>180</v>
      </c>
      <c r="D106" s="9" t="s">
        <v>181</v>
      </c>
      <c r="E106" s="10" t="str">
        <f>"200.96"</f>
        <v>200.96</v>
      </c>
      <c r="F106" s="11"/>
      <c r="G106" s="11">
        <v>2017</v>
      </c>
      <c r="H106" s="12" t="str">
        <f>"229.69"</f>
        <v>229.69</v>
      </c>
      <c r="I106" s="12"/>
      <c r="J106" s="12"/>
      <c r="K106" s="12"/>
      <c r="L106" s="12"/>
      <c r="M106" s="12"/>
      <c r="N106" s="12"/>
      <c r="O106" s="12"/>
      <c r="P106" s="12" t="str">
        <f>"202.02"</f>
        <v>202.02</v>
      </c>
      <c r="Q106" s="12"/>
      <c r="R106" s="12"/>
      <c r="S106" s="12"/>
      <c r="T106" s="12"/>
      <c r="U106" s="12"/>
      <c r="V106" s="12" t="str">
        <f>"199.89"</f>
        <v>199.89</v>
      </c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>
      <c r="A107" s="9">
        <v>105</v>
      </c>
      <c r="B107" s="9">
        <v>11174</v>
      </c>
      <c r="C107" s="9" t="s">
        <v>182</v>
      </c>
      <c r="D107" s="9" t="s">
        <v>71</v>
      </c>
      <c r="E107" s="10" t="str">
        <f>"201.33"</f>
        <v>201.33</v>
      </c>
      <c r="F107" s="11"/>
      <c r="G107" s="11">
        <v>2017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 t="str">
        <f>"311.42"</f>
        <v>311.42</v>
      </c>
      <c r="X107" s="12"/>
      <c r="Y107" s="12"/>
      <c r="Z107" s="12"/>
      <c r="AA107" s="12"/>
      <c r="AB107" s="12"/>
      <c r="AC107" s="12"/>
      <c r="AD107" s="12"/>
      <c r="AE107" s="12" t="str">
        <f>"205.73"</f>
        <v>205.73</v>
      </c>
      <c r="AF107" s="12" t="str">
        <f>"196.92"</f>
        <v>196.92</v>
      </c>
      <c r="AG107" s="12"/>
      <c r="AH107" s="12"/>
    </row>
    <row r="108" spans="1:34">
      <c r="A108" s="9">
        <v>106</v>
      </c>
      <c r="B108" s="9">
        <v>9955</v>
      </c>
      <c r="C108" s="9" t="s">
        <v>183</v>
      </c>
      <c r="D108" s="9" t="s">
        <v>147</v>
      </c>
      <c r="E108" s="10" t="str">
        <f>"202.16"</f>
        <v>202.16</v>
      </c>
      <c r="F108" s="11"/>
      <c r="G108" s="11">
        <v>2017</v>
      </c>
      <c r="H108" s="12" t="str">
        <f>"218.00"</f>
        <v>218.00</v>
      </c>
      <c r="I108" s="12"/>
      <c r="J108" s="12"/>
      <c r="K108" s="12"/>
      <c r="L108" s="12"/>
      <c r="M108" s="12"/>
      <c r="N108" s="12"/>
      <c r="O108" s="12"/>
      <c r="P108" s="12"/>
      <c r="Q108" s="12" t="str">
        <f>"207.65"</f>
        <v>207.65</v>
      </c>
      <c r="R108" s="12"/>
      <c r="S108" s="12"/>
      <c r="T108" s="12" t="str">
        <f>"196.66"</f>
        <v>196.66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>
      <c r="A109" s="9">
        <v>107</v>
      </c>
      <c r="B109" s="9">
        <v>4381</v>
      </c>
      <c r="C109" s="9" t="s">
        <v>184</v>
      </c>
      <c r="D109" s="9" t="s">
        <v>185</v>
      </c>
      <c r="E109" s="10" t="str">
        <f>"202.92"</f>
        <v>202.92</v>
      </c>
      <c r="F109" s="11" t="s">
        <v>37</v>
      </c>
      <c r="G109" s="11">
        <v>2017</v>
      </c>
      <c r="H109" s="12" t="str">
        <f>"218.82"</f>
        <v>218.82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 t="str">
        <f>"162.92"</f>
        <v>162.92</v>
      </c>
      <c r="AE109" s="12"/>
      <c r="AF109" s="12"/>
      <c r="AG109" s="12"/>
      <c r="AH109" s="12"/>
    </row>
    <row r="110" spans="1:34">
      <c r="A110" s="9">
        <v>108</v>
      </c>
      <c r="B110" s="9">
        <v>6869</v>
      </c>
      <c r="C110" s="9" t="s">
        <v>186</v>
      </c>
      <c r="D110" s="9" t="s">
        <v>187</v>
      </c>
      <c r="E110" s="10" t="str">
        <f>"203.90"</f>
        <v>203.90</v>
      </c>
      <c r="F110" s="11"/>
      <c r="G110" s="11">
        <v>2017</v>
      </c>
      <c r="H110" s="12" t="str">
        <f>"300.76"</f>
        <v>300.76</v>
      </c>
      <c r="I110" s="12"/>
      <c r="J110" s="12"/>
      <c r="K110" s="12"/>
      <c r="L110" s="12"/>
      <c r="M110" s="12"/>
      <c r="N110" s="12"/>
      <c r="O110" s="12" t="str">
        <f>"213.96"</f>
        <v>213.96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 t="str">
        <f>"193.84"</f>
        <v>193.84</v>
      </c>
      <c r="AG110" s="12"/>
      <c r="AH110" s="12"/>
    </row>
    <row r="111" spans="1:34">
      <c r="A111" s="9">
        <v>109</v>
      </c>
      <c r="B111" s="9">
        <v>3902</v>
      </c>
      <c r="C111" s="9" t="s">
        <v>188</v>
      </c>
      <c r="D111" s="9" t="s">
        <v>189</v>
      </c>
      <c r="E111" s="10" t="str">
        <f>"204.08"</f>
        <v>204.08</v>
      </c>
      <c r="F111" s="11"/>
      <c r="G111" s="11">
        <v>2017</v>
      </c>
      <c r="H111" s="12" t="str">
        <f>"164.11"</f>
        <v>164.11</v>
      </c>
      <c r="I111" s="12"/>
      <c r="J111" s="12" t="str">
        <f>"191.15"</f>
        <v>191.15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 t="str">
        <f>"234.60"</f>
        <v>234.60</v>
      </c>
      <c r="Y111" s="12" t="str">
        <f>"217.01"</f>
        <v>217.01</v>
      </c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>
      <c r="A112" s="9">
        <v>110</v>
      </c>
      <c r="B112" s="9">
        <v>3075</v>
      </c>
      <c r="C112" s="9" t="s">
        <v>190</v>
      </c>
      <c r="D112" s="9" t="s">
        <v>191</v>
      </c>
      <c r="E112" s="10" t="str">
        <f>"204.30"</f>
        <v>204.30</v>
      </c>
      <c r="F112" s="11"/>
      <c r="G112" s="11">
        <v>2017</v>
      </c>
      <c r="H112" s="12" t="str">
        <f>"307.13"</f>
        <v>307.13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 t="str">
        <f>"232.00"</f>
        <v>232.00</v>
      </c>
      <c r="Y112" s="12" t="str">
        <f>"177.14"</f>
        <v>177.14</v>
      </c>
      <c r="Z112" s="12"/>
      <c r="AA112" s="12"/>
      <c r="AB112" s="12"/>
      <c r="AC112" s="12" t="str">
        <f>"231.45"</f>
        <v>231.45</v>
      </c>
      <c r="AD112" s="12"/>
      <c r="AE112" s="12"/>
      <c r="AF112" s="12"/>
      <c r="AG112" s="12"/>
      <c r="AH112" s="12"/>
    </row>
    <row r="113" spans="1:34">
      <c r="A113" s="9">
        <v>111</v>
      </c>
      <c r="B113" s="9">
        <v>6972</v>
      </c>
      <c r="C113" s="9" t="s">
        <v>192</v>
      </c>
      <c r="D113" s="9" t="s">
        <v>189</v>
      </c>
      <c r="E113" s="10" t="str">
        <f>"205.01"</f>
        <v>205.01</v>
      </c>
      <c r="F113" s="11"/>
      <c r="G113" s="11">
        <v>2017</v>
      </c>
      <c r="H113" s="12" t="str">
        <f>"198.61"</f>
        <v>198.61</v>
      </c>
      <c r="I113" s="12"/>
      <c r="J113" s="12"/>
      <c r="K113" s="12"/>
      <c r="L113" s="12"/>
      <c r="M113" s="12"/>
      <c r="N113" s="12"/>
      <c r="O113" s="12" t="str">
        <f>"229.64"</f>
        <v>229.64</v>
      </c>
      <c r="P113" s="12"/>
      <c r="Q113" s="12"/>
      <c r="R113" s="12"/>
      <c r="S113" s="12"/>
      <c r="T113" s="12"/>
      <c r="U113" s="12"/>
      <c r="V113" s="12" t="str">
        <f>"180.38"</f>
        <v>180.38</v>
      </c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9">
        <v>112</v>
      </c>
      <c r="B114" s="9">
        <v>5448</v>
      </c>
      <c r="C114" s="9" t="s">
        <v>193</v>
      </c>
      <c r="D114" s="9" t="s">
        <v>64</v>
      </c>
      <c r="E114" s="10" t="str">
        <f>"205.17"</f>
        <v>205.17</v>
      </c>
      <c r="F114" s="11"/>
      <c r="G114" s="11">
        <v>2017</v>
      </c>
      <c r="H114" s="12" t="str">
        <f>"172.23"</f>
        <v>172.23</v>
      </c>
      <c r="I114" s="12" t="str">
        <f>"214.06"</f>
        <v>214.06</v>
      </c>
      <c r="J114" s="12" t="str">
        <f>"234.87"</f>
        <v>234.87</v>
      </c>
      <c r="K114" s="12" t="str">
        <f>"228.49"</f>
        <v>228.49</v>
      </c>
      <c r="L114" s="12" t="str">
        <f>"209.63"</f>
        <v>209.63</v>
      </c>
      <c r="M114" s="12"/>
      <c r="N114" s="12"/>
      <c r="O114" s="12"/>
      <c r="P114" s="12" t="str">
        <f>"218.62"</f>
        <v>218.62</v>
      </c>
      <c r="Q114" s="12"/>
      <c r="R114" s="12"/>
      <c r="S114" s="12"/>
      <c r="T114" s="12"/>
      <c r="U114" s="12"/>
      <c r="V114" s="12" t="str">
        <f>"205.82"</f>
        <v>205.82</v>
      </c>
      <c r="W114" s="12"/>
      <c r="X114" s="12" t="str">
        <f>"259.23"</f>
        <v>259.23</v>
      </c>
      <c r="Y114" s="12" t="str">
        <f>"236.01"</f>
        <v>236.01</v>
      </c>
      <c r="Z114" s="12"/>
      <c r="AA114" s="12"/>
      <c r="AB114" s="12"/>
      <c r="AC114" s="12"/>
      <c r="AD114" s="12" t="str">
        <f>"204.52"</f>
        <v>204.52</v>
      </c>
      <c r="AE114" s="12"/>
      <c r="AF114" s="12"/>
      <c r="AG114" s="12"/>
      <c r="AH114" s="12"/>
    </row>
    <row r="115" spans="1:34">
      <c r="A115" s="9">
        <v>113</v>
      </c>
      <c r="B115" s="9">
        <v>10149</v>
      </c>
      <c r="C115" s="9" t="s">
        <v>194</v>
      </c>
      <c r="D115" s="9" t="s">
        <v>39</v>
      </c>
      <c r="E115" s="10" t="str">
        <f>"205.18"</f>
        <v>205.18</v>
      </c>
      <c r="F115" s="11"/>
      <c r="G115" s="11">
        <v>2017</v>
      </c>
      <c r="H115" s="12" t="str">
        <f>"314.34"</f>
        <v>314.34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 t="str">
        <f>"201.62"</f>
        <v>201.62</v>
      </c>
      <c r="AE115" s="12"/>
      <c r="AF115" s="12" t="str">
        <f>"239.74"</f>
        <v>239.74</v>
      </c>
      <c r="AG115" s="12" t="str">
        <f>"208.73"</f>
        <v>208.73</v>
      </c>
      <c r="AH115" s="12" t="str">
        <f>"224.14"</f>
        <v>224.14</v>
      </c>
    </row>
    <row r="116" spans="1:34">
      <c r="A116" s="9">
        <v>114</v>
      </c>
      <c r="B116" s="9">
        <v>11051</v>
      </c>
      <c r="C116" s="9" t="s">
        <v>195</v>
      </c>
      <c r="D116" s="9" t="s">
        <v>48</v>
      </c>
      <c r="E116" s="10" t="str">
        <f>"205.51"</f>
        <v>205.51</v>
      </c>
      <c r="F116" s="11"/>
      <c r="G116" s="11">
        <v>2017</v>
      </c>
      <c r="H116" s="12" t="str">
        <f>"520.79"</f>
        <v>520.79</v>
      </c>
      <c r="I116" s="12"/>
      <c r="J116" s="12"/>
      <c r="K116" s="12"/>
      <c r="L116" s="12"/>
      <c r="M116" s="12"/>
      <c r="N116" s="12"/>
      <c r="O116" s="12"/>
      <c r="P116" s="12"/>
      <c r="Q116" s="12" t="str">
        <f>"251.08"</f>
        <v>251.08</v>
      </c>
      <c r="R116" s="12"/>
      <c r="S116" s="12" t="str">
        <f>"159.93"</f>
        <v>159.93</v>
      </c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>
      <c r="A117" s="9">
        <v>115</v>
      </c>
      <c r="B117" s="9">
        <v>11155</v>
      </c>
      <c r="C117" s="9" t="s">
        <v>196</v>
      </c>
      <c r="D117" s="9" t="s">
        <v>71</v>
      </c>
      <c r="E117" s="10" t="str">
        <f>"208.02"</f>
        <v>208.02</v>
      </c>
      <c r="F117" s="11"/>
      <c r="G117" s="11">
        <v>2017</v>
      </c>
      <c r="H117" s="12"/>
      <c r="I117" s="12"/>
      <c r="J117" s="12"/>
      <c r="K117" s="12"/>
      <c r="L117" s="12"/>
      <c r="M117" s="12"/>
      <c r="N117" s="12"/>
      <c r="O117" s="12" t="str">
        <f>"166.28"</f>
        <v>166.28</v>
      </c>
      <c r="P117" s="12"/>
      <c r="Q117" s="12"/>
      <c r="R117" s="12"/>
      <c r="S117" s="12"/>
      <c r="T117" s="12"/>
      <c r="U117" s="12"/>
      <c r="V117" s="12"/>
      <c r="W117" s="12" t="str">
        <f>"249.76"</f>
        <v>249.76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>
      <c r="A118" s="9">
        <v>116</v>
      </c>
      <c r="B118" s="9">
        <v>11037</v>
      </c>
      <c r="C118" s="9" t="s">
        <v>197</v>
      </c>
      <c r="D118" s="9" t="s">
        <v>71</v>
      </c>
      <c r="E118" s="10" t="str">
        <f>"209.58"</f>
        <v>209.58</v>
      </c>
      <c r="F118" s="11"/>
      <c r="G118" s="11">
        <v>2017</v>
      </c>
      <c r="H118" s="12" t="str">
        <f>"223.42"</f>
        <v>223.42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 t="str">
        <f>"232.63"</f>
        <v>232.63</v>
      </c>
      <c r="S118" s="12"/>
      <c r="T118" s="12"/>
      <c r="U118" s="12" t="str">
        <f>"217.60"</f>
        <v>217.60</v>
      </c>
      <c r="V118" s="12"/>
      <c r="W118" s="12" t="str">
        <f>"201.56"</f>
        <v>201.56</v>
      </c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>
      <c r="A119" s="9">
        <v>117</v>
      </c>
      <c r="B119" s="9">
        <v>5462</v>
      </c>
      <c r="C119" s="9" t="s">
        <v>198</v>
      </c>
      <c r="D119" s="9" t="s">
        <v>189</v>
      </c>
      <c r="E119" s="10" t="str">
        <f>"212.03"</f>
        <v>212.03</v>
      </c>
      <c r="F119" s="11"/>
      <c r="G119" s="11">
        <v>2017</v>
      </c>
      <c r="H119" s="12" t="str">
        <f>"217.28"</f>
        <v>217.28</v>
      </c>
      <c r="I119" s="12"/>
      <c r="J119" s="12"/>
      <c r="K119" s="12"/>
      <c r="L119" s="12"/>
      <c r="M119" s="12"/>
      <c r="N119" s="12"/>
      <c r="O119" s="12" t="str">
        <f>"206.24"</f>
        <v>206.24</v>
      </c>
      <c r="P119" s="12"/>
      <c r="Q119" s="12"/>
      <c r="R119" s="12"/>
      <c r="S119" s="12"/>
      <c r="T119" s="12"/>
      <c r="U119" s="12"/>
      <c r="V119" s="12" t="str">
        <f>"217.82"</f>
        <v>217.82</v>
      </c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>
      <c r="A120" s="9">
        <v>118</v>
      </c>
      <c r="B120" s="9">
        <v>3870</v>
      </c>
      <c r="C120" s="9" t="s">
        <v>199</v>
      </c>
      <c r="D120" s="9" t="s">
        <v>137</v>
      </c>
      <c r="E120" s="10" t="str">
        <f>"212.72"</f>
        <v>212.72</v>
      </c>
      <c r="F120" s="11"/>
      <c r="G120" s="11">
        <v>2017</v>
      </c>
      <c r="H120" s="12" t="str">
        <f>"262.82"</f>
        <v>262.82</v>
      </c>
      <c r="I120" s="12"/>
      <c r="J120" s="12"/>
      <c r="K120" s="12"/>
      <c r="L120" s="12" t="str">
        <f>"226.72"</f>
        <v>226.72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 t="str">
        <f>"198.71"</f>
        <v>198.71</v>
      </c>
      <c r="AE120" s="12"/>
      <c r="AF120" s="12"/>
      <c r="AG120" s="12"/>
      <c r="AH120" s="12"/>
    </row>
    <row r="121" spans="1:34">
      <c r="A121" s="9">
        <v>119</v>
      </c>
      <c r="B121" s="9">
        <v>10324</v>
      </c>
      <c r="C121" s="9" t="s">
        <v>200</v>
      </c>
      <c r="D121" s="9" t="s">
        <v>201</v>
      </c>
      <c r="E121" s="10" t="str">
        <f>"213.15"</f>
        <v>213.15</v>
      </c>
      <c r="F121" s="11"/>
      <c r="G121" s="11">
        <v>2017</v>
      </c>
      <c r="H121" s="12" t="str">
        <f>"251.11"</f>
        <v>251.11</v>
      </c>
      <c r="I121" s="12"/>
      <c r="J121" s="12"/>
      <c r="K121" s="12"/>
      <c r="L121" s="12"/>
      <c r="M121" s="12"/>
      <c r="N121" s="12"/>
      <c r="O121" s="12"/>
      <c r="P121" s="12"/>
      <c r="Q121" s="12" t="str">
        <f>"255.90"</f>
        <v>255.90</v>
      </c>
      <c r="R121" s="12"/>
      <c r="S121" s="12" t="str">
        <f>"170.40"</f>
        <v>170.40</v>
      </c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>
      <c r="A122" s="9">
        <v>120</v>
      </c>
      <c r="B122" s="9">
        <v>7582</v>
      </c>
      <c r="C122" s="9" t="s">
        <v>202</v>
      </c>
      <c r="D122" s="9" t="s">
        <v>203</v>
      </c>
      <c r="E122" s="10" t="str">
        <f>"214.00"</f>
        <v>214.00</v>
      </c>
      <c r="F122" s="11" t="s">
        <v>40</v>
      </c>
      <c r="G122" s="11">
        <v>2017</v>
      </c>
      <c r="H122" s="12" t="str">
        <f>"174.00"</f>
        <v>174.00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>
      <c r="A123" s="9">
        <v>121</v>
      </c>
      <c r="B123" s="9">
        <v>5260</v>
      </c>
      <c r="C123" s="9" t="s">
        <v>204</v>
      </c>
      <c r="D123" s="9" t="s">
        <v>205</v>
      </c>
      <c r="E123" s="10" t="str">
        <f>"214.03"</f>
        <v>214.03</v>
      </c>
      <c r="F123" s="11"/>
      <c r="G123" s="11">
        <v>2017</v>
      </c>
      <c r="H123" s="12" t="str">
        <f>"171.60"</f>
        <v>171.60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 t="str">
        <f>"221.58"</f>
        <v>221.58</v>
      </c>
      <c r="Y123" s="12" t="str">
        <f>"206.47"</f>
        <v>206.47</v>
      </c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>
      <c r="A124" s="9">
        <v>122</v>
      </c>
      <c r="B124" s="9">
        <v>11101</v>
      </c>
      <c r="C124" s="9" t="s">
        <v>206</v>
      </c>
      <c r="D124" s="9" t="s">
        <v>71</v>
      </c>
      <c r="E124" s="10" t="str">
        <f>"215.71"</f>
        <v>215.71</v>
      </c>
      <c r="F124" s="11"/>
      <c r="G124" s="11">
        <v>2017</v>
      </c>
      <c r="H124" s="12" t="str">
        <f>"298.43"</f>
        <v>298.43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 t="str">
        <f>"244.22"</f>
        <v>244.22</v>
      </c>
      <c r="S124" s="12"/>
      <c r="T124" s="12"/>
      <c r="U124" s="12"/>
      <c r="V124" s="12"/>
      <c r="W124" s="12" t="str">
        <f>"254.81"</f>
        <v>254.81</v>
      </c>
      <c r="X124" s="12" t="str">
        <f>"226.59"</f>
        <v>226.59</v>
      </c>
      <c r="Y124" s="12" t="str">
        <f>"204.82"</f>
        <v>204.82</v>
      </c>
      <c r="Z124" s="12"/>
      <c r="AA124" s="12"/>
      <c r="AB124" s="12"/>
      <c r="AC124" s="12"/>
      <c r="AD124" s="12" t="str">
        <f>"243.21"</f>
        <v>243.21</v>
      </c>
      <c r="AE124" s="12"/>
      <c r="AF124" s="12"/>
      <c r="AG124" s="12"/>
      <c r="AH124" s="12"/>
    </row>
    <row r="125" spans="1:34">
      <c r="A125" s="9">
        <v>123</v>
      </c>
      <c r="B125" s="9">
        <v>2217</v>
      </c>
      <c r="C125" s="9" t="s">
        <v>207</v>
      </c>
      <c r="D125" s="9" t="s">
        <v>208</v>
      </c>
      <c r="E125" s="10" t="str">
        <f>"216.67"</f>
        <v>216.67</v>
      </c>
      <c r="F125" s="11" t="s">
        <v>40</v>
      </c>
      <c r="G125" s="11">
        <v>2017</v>
      </c>
      <c r="H125" s="12" t="str">
        <f>"176.67"</f>
        <v>176.67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>
      <c r="A126" s="9">
        <v>124</v>
      </c>
      <c r="B126" s="9">
        <v>5768</v>
      </c>
      <c r="C126" s="9" t="s">
        <v>209</v>
      </c>
      <c r="D126" s="9" t="s">
        <v>71</v>
      </c>
      <c r="E126" s="10" t="str">
        <f>"217.63"</f>
        <v>217.63</v>
      </c>
      <c r="F126" s="11"/>
      <c r="G126" s="11">
        <v>2017</v>
      </c>
      <c r="H126" s="12" t="str">
        <f>"245.21"</f>
        <v>245.21</v>
      </c>
      <c r="I126" s="12"/>
      <c r="J126" s="12"/>
      <c r="K126" s="12"/>
      <c r="L126" s="12"/>
      <c r="M126" s="12"/>
      <c r="N126" s="12"/>
      <c r="O126" s="12" t="str">
        <f>"200.43"</f>
        <v>200.43</v>
      </c>
      <c r="P126" s="12"/>
      <c r="Q126" s="12"/>
      <c r="R126" s="12" t="str">
        <f>"289.37"</f>
        <v>289.37</v>
      </c>
      <c r="S126" s="12"/>
      <c r="T126" s="12"/>
      <c r="U126" s="12" t="str">
        <f>"265.18"</f>
        <v>265.18</v>
      </c>
      <c r="V126" s="12"/>
      <c r="W126" s="12" t="str">
        <f>"234.82"</f>
        <v>234.82</v>
      </c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>
      <c r="A127" s="9">
        <v>125</v>
      </c>
      <c r="B127" s="9">
        <v>2469</v>
      </c>
      <c r="C127" s="9" t="s">
        <v>210</v>
      </c>
      <c r="D127" s="9" t="s">
        <v>211</v>
      </c>
      <c r="E127" s="10" t="str">
        <f>"224.32"</f>
        <v>224.32</v>
      </c>
      <c r="F127" s="11"/>
      <c r="G127" s="11">
        <v>2017</v>
      </c>
      <c r="H127" s="12" t="str">
        <f>"194.38"</f>
        <v>194.38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 t="str">
        <f>"230.19"</f>
        <v>230.19</v>
      </c>
      <c r="Y127" s="12" t="str">
        <f>"218.45"</f>
        <v>218.45</v>
      </c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>
      <c r="A128" s="9">
        <v>126</v>
      </c>
      <c r="B128" s="9">
        <v>5716</v>
      </c>
      <c r="C128" s="9" t="s">
        <v>212</v>
      </c>
      <c r="D128" s="9" t="s">
        <v>39</v>
      </c>
      <c r="E128" s="10" t="str">
        <f>"225.09"</f>
        <v>225.09</v>
      </c>
      <c r="F128" s="11" t="s">
        <v>37</v>
      </c>
      <c r="G128" s="11">
        <v>2017</v>
      </c>
      <c r="H128" s="12" t="str">
        <f>"206.68"</f>
        <v>206.68</v>
      </c>
      <c r="I128" s="12"/>
      <c r="J128" s="12"/>
      <c r="K128" s="12"/>
      <c r="L128" s="12"/>
      <c r="M128" s="12"/>
      <c r="N128" s="12" t="str">
        <f>"185.09"</f>
        <v>185.09</v>
      </c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>
      <c r="A129" s="9">
        <v>127</v>
      </c>
      <c r="B129" s="9">
        <v>10602</v>
      </c>
      <c r="C129" s="9" t="s">
        <v>213</v>
      </c>
      <c r="D129" s="9" t="s">
        <v>39</v>
      </c>
      <c r="E129" s="10" t="str">
        <f>"225.61"</f>
        <v>225.61</v>
      </c>
      <c r="F129" s="11"/>
      <c r="G129" s="11">
        <v>2017</v>
      </c>
      <c r="H129" s="12" t="str">
        <f>"239.36"</f>
        <v>239.36</v>
      </c>
      <c r="I129" s="12"/>
      <c r="J129" s="12"/>
      <c r="K129" s="12"/>
      <c r="L129" s="12"/>
      <c r="M129" s="12"/>
      <c r="N129" s="12" t="str">
        <f>"233.78"</f>
        <v>233.78</v>
      </c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 t="str">
        <f>"217.43"</f>
        <v>217.43</v>
      </c>
      <c r="AB129" s="12"/>
      <c r="AC129" s="12"/>
      <c r="AD129" s="12"/>
      <c r="AE129" s="12"/>
      <c r="AF129" s="12"/>
      <c r="AG129" s="12"/>
      <c r="AH129" s="12"/>
    </row>
    <row r="130" spans="1:34">
      <c r="A130" s="9">
        <v>128</v>
      </c>
      <c r="B130" s="9">
        <v>10713</v>
      </c>
      <c r="C130" s="9" t="s">
        <v>214</v>
      </c>
      <c r="D130" s="9" t="s">
        <v>215</v>
      </c>
      <c r="E130" s="10" t="str">
        <f>"225.74"</f>
        <v>225.74</v>
      </c>
      <c r="F130" s="11" t="s">
        <v>40</v>
      </c>
      <c r="G130" s="11">
        <v>2017</v>
      </c>
      <c r="H130" s="12" t="str">
        <f>"185.74"</f>
        <v>185.74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>
      <c r="A131" s="9">
        <v>129</v>
      </c>
      <c r="B131" s="9">
        <v>3058</v>
      </c>
      <c r="C131" s="9" t="s">
        <v>216</v>
      </c>
      <c r="D131" s="9" t="s">
        <v>217</v>
      </c>
      <c r="E131" s="10" t="str">
        <f>"226.49"</f>
        <v>226.49</v>
      </c>
      <c r="F131" s="11" t="s">
        <v>40</v>
      </c>
      <c r="G131" s="11">
        <v>2017</v>
      </c>
      <c r="H131" s="12" t="str">
        <f>"186.49"</f>
        <v>186.49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>
      <c r="A132" s="9">
        <v>130</v>
      </c>
      <c r="B132" s="9">
        <v>5479</v>
      </c>
      <c r="C132" s="9" t="s">
        <v>218</v>
      </c>
      <c r="D132" s="9" t="s">
        <v>53</v>
      </c>
      <c r="E132" s="10" t="str">
        <f>"227.69"</f>
        <v>227.69</v>
      </c>
      <c r="F132" s="11" t="s">
        <v>37</v>
      </c>
      <c r="G132" s="11">
        <v>2017</v>
      </c>
      <c r="H132" s="12" t="str">
        <f>"229.70"</f>
        <v>229.70</v>
      </c>
      <c r="I132" s="12"/>
      <c r="J132" s="12"/>
      <c r="K132" s="12"/>
      <c r="L132" s="12"/>
      <c r="M132" s="12"/>
      <c r="N132" s="12"/>
      <c r="O132" s="12"/>
      <c r="P132" s="12"/>
      <c r="Q132" s="12" t="str">
        <f>"187.69"</f>
        <v>187.69</v>
      </c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>
      <c r="A133" s="9">
        <v>131</v>
      </c>
      <c r="B133" s="9">
        <v>10846</v>
      </c>
      <c r="C133" s="9" t="s">
        <v>219</v>
      </c>
      <c r="D133" s="9" t="s">
        <v>39</v>
      </c>
      <c r="E133" s="10" t="str">
        <f>"227.81"</f>
        <v>227.81</v>
      </c>
      <c r="F133" s="11"/>
      <c r="G133" s="11">
        <v>2017</v>
      </c>
      <c r="H133" s="12" t="str">
        <f>"416.98"</f>
        <v>416.98</v>
      </c>
      <c r="I133" s="12" t="str">
        <f>"311.21"</f>
        <v>311.21</v>
      </c>
      <c r="J133" s="12" t="str">
        <f>"383.84"</f>
        <v>383.84</v>
      </c>
      <c r="K133" s="12"/>
      <c r="L133" s="12"/>
      <c r="M133" s="12" t="str">
        <f>"297.07"</f>
        <v>297.07</v>
      </c>
      <c r="N133" s="12" t="str">
        <f>"355.83"</f>
        <v>355.83</v>
      </c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 t="str">
        <f>"228.64"</f>
        <v>228.64</v>
      </c>
      <c r="AA133" s="12" t="str">
        <f>"272.07"</f>
        <v>272.07</v>
      </c>
      <c r="AB133" s="12"/>
      <c r="AC133" s="12"/>
      <c r="AD133" s="12"/>
      <c r="AE133" s="12"/>
      <c r="AF133" s="12"/>
      <c r="AG133" s="12" t="str">
        <f>"226.97"</f>
        <v>226.97</v>
      </c>
      <c r="AH133" s="12" t="str">
        <f>"258.64"</f>
        <v>258.64</v>
      </c>
    </row>
    <row r="134" spans="1:34">
      <c r="A134" s="9">
        <v>132</v>
      </c>
      <c r="B134" s="9">
        <v>10863</v>
      </c>
      <c r="C134" s="9" t="s">
        <v>220</v>
      </c>
      <c r="D134" s="9" t="s">
        <v>39</v>
      </c>
      <c r="E134" s="10" t="str">
        <f>"229.64"</f>
        <v>229.64</v>
      </c>
      <c r="F134" s="11"/>
      <c r="G134" s="11">
        <v>2017</v>
      </c>
      <c r="H134" s="12" t="str">
        <f>"292.83"</f>
        <v>292.83</v>
      </c>
      <c r="I134" s="12" t="str">
        <f>"219.49"</f>
        <v>219.49</v>
      </c>
      <c r="J134" s="12"/>
      <c r="K134" s="12"/>
      <c r="L134" s="12"/>
      <c r="M134" s="12" t="str">
        <f>"257.50"</f>
        <v>257.50</v>
      </c>
      <c r="N134" s="12" t="str">
        <f>"239.79"</f>
        <v>239.79</v>
      </c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>
      <c r="A135" s="9">
        <v>133</v>
      </c>
      <c r="B135" s="9">
        <v>2518</v>
      </c>
      <c r="C135" s="9" t="s">
        <v>221</v>
      </c>
      <c r="D135" s="9" t="s">
        <v>137</v>
      </c>
      <c r="E135" s="10" t="str">
        <f>"230.16"</f>
        <v>230.16</v>
      </c>
      <c r="F135" s="11"/>
      <c r="G135" s="11">
        <v>2017</v>
      </c>
      <c r="H135" s="12" t="str">
        <f>"219.92"</f>
        <v>219.92</v>
      </c>
      <c r="I135" s="12"/>
      <c r="J135" s="12"/>
      <c r="K135" s="12" t="str">
        <f>"303.31"</f>
        <v>303.31</v>
      </c>
      <c r="L135" s="12" t="str">
        <f>"234.68"</f>
        <v>234.68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 t="str">
        <f>"225.63"</f>
        <v>225.63</v>
      </c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>
      <c r="A136" s="9">
        <v>134</v>
      </c>
      <c r="B136" s="9">
        <v>10331</v>
      </c>
      <c r="C136" s="9" t="s">
        <v>222</v>
      </c>
      <c r="D136" s="9" t="s">
        <v>223</v>
      </c>
      <c r="E136" s="10" t="str">
        <f>"230.37"</f>
        <v>230.37</v>
      </c>
      <c r="F136" s="11"/>
      <c r="G136" s="11">
        <v>2017</v>
      </c>
      <c r="H136" s="12" t="str">
        <f>"361.57"</f>
        <v>361.57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 t="str">
        <f>"217.61"</f>
        <v>217.61</v>
      </c>
      <c r="S136" s="12"/>
      <c r="T136" s="12"/>
      <c r="U136" s="12" t="str">
        <f>"243.12"</f>
        <v>243.12</v>
      </c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>
      <c r="A137" s="9">
        <v>135</v>
      </c>
      <c r="B137" s="9">
        <v>10987</v>
      </c>
      <c r="C137" s="9" t="s">
        <v>224</v>
      </c>
      <c r="D137" s="9" t="s">
        <v>181</v>
      </c>
      <c r="E137" s="10" t="str">
        <f>"232.03"</f>
        <v>232.03</v>
      </c>
      <c r="F137" s="11"/>
      <c r="G137" s="11">
        <v>2017</v>
      </c>
      <c r="H137" s="12" t="str">
        <f>"252.54"</f>
        <v>252.54</v>
      </c>
      <c r="I137" s="12"/>
      <c r="J137" s="12"/>
      <c r="K137" s="12"/>
      <c r="L137" s="12"/>
      <c r="M137" s="12"/>
      <c r="N137" s="12"/>
      <c r="O137" s="12"/>
      <c r="P137" s="12"/>
      <c r="Q137" s="12" t="str">
        <f>"228.78"</f>
        <v>228.78</v>
      </c>
      <c r="R137" s="12"/>
      <c r="S137" s="12"/>
      <c r="T137" s="12" t="str">
        <f>"235.27"</f>
        <v>235.27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>
      <c r="A138" s="9">
        <v>136</v>
      </c>
      <c r="B138" s="9">
        <v>7634</v>
      </c>
      <c r="C138" s="9" t="s">
        <v>225</v>
      </c>
      <c r="D138" s="9" t="s">
        <v>226</v>
      </c>
      <c r="E138" s="10" t="str">
        <f>"232.52"</f>
        <v>232.52</v>
      </c>
      <c r="F138" s="11"/>
      <c r="G138" s="11">
        <v>2017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 t="str">
        <f>"276.05"</f>
        <v>276.05</v>
      </c>
      <c r="Y138" s="12" t="str">
        <f>"231.47"</f>
        <v>231.47</v>
      </c>
      <c r="Z138" s="12"/>
      <c r="AA138" s="12"/>
      <c r="AB138" s="12" t="str">
        <f>"233.56"</f>
        <v>233.56</v>
      </c>
      <c r="AC138" s="12"/>
      <c r="AD138" s="12" t="str">
        <f>"244.02"</f>
        <v>244.02</v>
      </c>
      <c r="AE138" s="12"/>
      <c r="AF138" s="12"/>
      <c r="AG138" s="12"/>
      <c r="AH138" s="12"/>
    </row>
    <row r="139" spans="1:34">
      <c r="A139" s="9">
        <v>137</v>
      </c>
      <c r="B139" s="9">
        <v>2208</v>
      </c>
      <c r="C139" s="9" t="s">
        <v>227</v>
      </c>
      <c r="D139" s="9" t="s">
        <v>39</v>
      </c>
      <c r="E139" s="10" t="str">
        <f>"234.21"</f>
        <v>234.21</v>
      </c>
      <c r="F139" s="11"/>
      <c r="G139" s="11">
        <v>2017</v>
      </c>
      <c r="H139" s="12" t="str">
        <f>"304.62"</f>
        <v>304.62</v>
      </c>
      <c r="I139" s="12"/>
      <c r="J139" s="12"/>
      <c r="K139" s="12"/>
      <c r="L139" s="12"/>
      <c r="M139" s="12" t="str">
        <f>"293.19"</f>
        <v>293.19</v>
      </c>
      <c r="N139" s="12" t="str">
        <f>"280.33"</f>
        <v>280.33</v>
      </c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 t="str">
        <f>"248.69"</f>
        <v>248.69</v>
      </c>
      <c r="AA139" s="12" t="str">
        <f>"275.78"</f>
        <v>275.78</v>
      </c>
      <c r="AB139" s="12"/>
      <c r="AC139" s="12"/>
      <c r="AD139" s="12"/>
      <c r="AE139" s="12"/>
      <c r="AF139" s="12"/>
      <c r="AG139" s="12" t="str">
        <f>"228.66"</f>
        <v>228.66</v>
      </c>
      <c r="AH139" s="12" t="str">
        <f>"239.75"</f>
        <v>239.75</v>
      </c>
    </row>
    <row r="140" spans="1:34">
      <c r="A140" s="9">
        <v>138</v>
      </c>
      <c r="B140" s="9">
        <v>1281</v>
      </c>
      <c r="C140" s="9" t="s">
        <v>228</v>
      </c>
      <c r="D140" s="9" t="s">
        <v>229</v>
      </c>
      <c r="E140" s="10" t="str">
        <f>"235.26"</f>
        <v>235.26</v>
      </c>
      <c r="F140" s="11" t="s">
        <v>40</v>
      </c>
      <c r="G140" s="11">
        <v>2017</v>
      </c>
      <c r="H140" s="12" t="str">
        <f>"195.26"</f>
        <v>195.26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>
      <c r="A141" s="9">
        <v>139</v>
      </c>
      <c r="B141" s="9">
        <v>2152</v>
      </c>
      <c r="C141" s="9" t="s">
        <v>230</v>
      </c>
      <c r="D141" s="9" t="s">
        <v>231</v>
      </c>
      <c r="E141" s="10" t="str">
        <f>"235.41"</f>
        <v>235.41</v>
      </c>
      <c r="F141" s="11" t="s">
        <v>40</v>
      </c>
      <c r="G141" s="11">
        <v>2017</v>
      </c>
      <c r="H141" s="12" t="str">
        <f>"195.41"</f>
        <v>195.41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>
      <c r="A142" s="9">
        <v>140</v>
      </c>
      <c r="B142" s="9">
        <v>10263</v>
      </c>
      <c r="C142" s="9" t="s">
        <v>232</v>
      </c>
      <c r="D142" s="9" t="s">
        <v>53</v>
      </c>
      <c r="E142" s="10" t="str">
        <f>"235.81"</f>
        <v>235.81</v>
      </c>
      <c r="F142" s="11"/>
      <c r="G142" s="11">
        <v>2017</v>
      </c>
      <c r="H142" s="12" t="str">
        <f>"243.15"</f>
        <v>243.15</v>
      </c>
      <c r="I142" s="12" t="str">
        <f>"254.75"</f>
        <v>254.75</v>
      </c>
      <c r="J142" s="12" t="str">
        <f>"289.87"</f>
        <v>289.87</v>
      </c>
      <c r="K142" s="12"/>
      <c r="L142" s="12"/>
      <c r="M142" s="12"/>
      <c r="N142" s="12"/>
      <c r="O142" s="12" t="str">
        <f>"216.86"</f>
        <v>216.86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 t="str">
        <f>"260.48"</f>
        <v>260.48</v>
      </c>
      <c r="AC142" s="12"/>
      <c r="AD142" s="12"/>
      <c r="AE142" s="12"/>
      <c r="AF142" s="12"/>
      <c r="AG142" s="12"/>
      <c r="AH142" s="12"/>
    </row>
    <row r="143" spans="1:34">
      <c r="A143" s="9">
        <v>141</v>
      </c>
      <c r="B143" s="9">
        <v>5747</v>
      </c>
      <c r="C143" s="9" t="s">
        <v>233</v>
      </c>
      <c r="D143" s="9" t="s">
        <v>151</v>
      </c>
      <c r="E143" s="10" t="str">
        <f>"238.71"</f>
        <v>238.71</v>
      </c>
      <c r="F143" s="11" t="s">
        <v>37</v>
      </c>
      <c r="G143" s="11">
        <v>2017</v>
      </c>
      <c r="H143" s="12" t="str">
        <f>"277.03"</f>
        <v>277.03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 t="str">
        <f>"198.71"</f>
        <v>198.71</v>
      </c>
      <c r="AE143" s="12"/>
      <c r="AF143" s="12"/>
      <c r="AG143" s="12"/>
      <c r="AH143" s="12"/>
    </row>
    <row r="144" spans="1:34">
      <c r="A144" s="9">
        <v>142</v>
      </c>
      <c r="B144" s="9">
        <v>11154</v>
      </c>
      <c r="C144" s="9" t="s">
        <v>234</v>
      </c>
      <c r="D144" s="9" t="s">
        <v>71</v>
      </c>
      <c r="E144" s="10" t="str">
        <f>"239.98"</f>
        <v>239.98</v>
      </c>
      <c r="F144" s="11"/>
      <c r="G144" s="11">
        <v>2017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 t="str">
        <f>"259.43"</f>
        <v>259.43</v>
      </c>
      <c r="Y144" s="12" t="str">
        <f>"220.52"</f>
        <v>220.52</v>
      </c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>
      <c r="A145" s="9">
        <v>143</v>
      </c>
      <c r="B145" s="9">
        <v>3728</v>
      </c>
      <c r="C145" s="9" t="s">
        <v>235</v>
      </c>
      <c r="D145" s="9" t="s">
        <v>236</v>
      </c>
      <c r="E145" s="10" t="str">
        <f>"240.15"</f>
        <v>240.15</v>
      </c>
      <c r="F145" s="11"/>
      <c r="G145" s="11">
        <v>2017</v>
      </c>
      <c r="H145" s="12" t="str">
        <f>"252.28"</f>
        <v>252.28</v>
      </c>
      <c r="I145" s="12"/>
      <c r="J145" s="12"/>
      <c r="K145" s="12"/>
      <c r="L145" s="12"/>
      <c r="M145" s="12"/>
      <c r="N145" s="12"/>
      <c r="O145" s="12" t="str">
        <f>"207.51"</f>
        <v>207.51</v>
      </c>
      <c r="P145" s="12"/>
      <c r="Q145" s="12"/>
      <c r="R145" s="12"/>
      <c r="S145" s="12"/>
      <c r="T145" s="12"/>
      <c r="U145" s="12"/>
      <c r="V145" s="12"/>
      <c r="W145" s="12"/>
      <c r="X145" s="12" t="str">
        <f>"305.89"</f>
        <v>305.89</v>
      </c>
      <c r="Y145" s="12" t="str">
        <f>"272.78"</f>
        <v>272.78</v>
      </c>
      <c r="Z145" s="12"/>
      <c r="AA145" s="12"/>
      <c r="AB145" s="12"/>
      <c r="AC145" s="12"/>
      <c r="AD145" s="12" t="str">
        <f>"280.78"</f>
        <v>280.78</v>
      </c>
      <c r="AE145" s="12"/>
      <c r="AF145" s="12"/>
      <c r="AG145" s="12"/>
      <c r="AH145" s="12"/>
    </row>
    <row r="146" spans="1:34">
      <c r="A146" s="9">
        <v>144</v>
      </c>
      <c r="B146" s="9">
        <v>11150</v>
      </c>
      <c r="C146" s="9" t="s">
        <v>237</v>
      </c>
      <c r="D146" s="9" t="s">
        <v>71</v>
      </c>
      <c r="E146" s="10" t="str">
        <f>"244.60"</f>
        <v>244.60</v>
      </c>
      <c r="F146" s="11"/>
      <c r="G146" s="11">
        <v>2017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 t="str">
        <f>"393.71"</f>
        <v>393.71</v>
      </c>
      <c r="V146" s="12"/>
      <c r="W146" s="12" t="str">
        <f>"396.44"</f>
        <v>396.44</v>
      </c>
      <c r="X146" s="12" t="str">
        <f>"322.11"</f>
        <v>322.11</v>
      </c>
      <c r="Y146" s="12" t="str">
        <f>"334.34"</f>
        <v>334.34</v>
      </c>
      <c r="Z146" s="12"/>
      <c r="AA146" s="12"/>
      <c r="AB146" s="12"/>
      <c r="AC146" s="12"/>
      <c r="AD146" s="12" t="str">
        <f>"234.35"</f>
        <v>234.35</v>
      </c>
      <c r="AE146" s="12"/>
      <c r="AF146" s="12" t="str">
        <f>"254.85"</f>
        <v>254.85</v>
      </c>
      <c r="AG146" s="12"/>
      <c r="AH146" s="12"/>
    </row>
    <row r="147" spans="1:34">
      <c r="A147" s="9">
        <v>145</v>
      </c>
      <c r="B147" s="9">
        <v>10711</v>
      </c>
      <c r="C147" s="9" t="s">
        <v>238</v>
      </c>
      <c r="D147" s="9" t="s">
        <v>71</v>
      </c>
      <c r="E147" s="10" t="str">
        <f>"244.77"</f>
        <v>244.77</v>
      </c>
      <c r="F147" s="11"/>
      <c r="G147" s="11">
        <v>2017</v>
      </c>
      <c r="H147" s="12" t="str">
        <f>"264.37"</f>
        <v>264.37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 t="str">
        <f>"223.33"</f>
        <v>223.33</v>
      </c>
      <c r="V147" s="12"/>
      <c r="W147" s="12" t="str">
        <f>"266.21"</f>
        <v>266.21</v>
      </c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>
      <c r="A148" s="9">
        <v>146</v>
      </c>
      <c r="B148" s="9">
        <v>7703</v>
      </c>
      <c r="C148" s="9" t="s">
        <v>239</v>
      </c>
      <c r="D148" s="9" t="s">
        <v>103</v>
      </c>
      <c r="E148" s="10" t="str">
        <f>"248.41"</f>
        <v>248.41</v>
      </c>
      <c r="F148" s="11" t="s">
        <v>40</v>
      </c>
      <c r="G148" s="11">
        <v>2017</v>
      </c>
      <c r="H148" s="12" t="str">
        <f>"208.41"</f>
        <v>208.41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>
      <c r="A149" s="9">
        <v>147</v>
      </c>
      <c r="B149" s="9">
        <v>8379</v>
      </c>
      <c r="C149" s="9" t="s">
        <v>240</v>
      </c>
      <c r="D149" s="9" t="s">
        <v>236</v>
      </c>
      <c r="E149" s="10" t="str">
        <f>"249.46"</f>
        <v>249.46</v>
      </c>
      <c r="F149" s="11"/>
      <c r="G149" s="11">
        <v>2017</v>
      </c>
      <c r="H149" s="12" t="str">
        <f>"204.01"</f>
        <v>204.01</v>
      </c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 t="str">
        <f>"267.24"</f>
        <v>267.24</v>
      </c>
      <c r="Y149" s="12" t="str">
        <f>"231.67"</f>
        <v>231.67</v>
      </c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>
      <c r="A150" s="9">
        <v>148</v>
      </c>
      <c r="B150" s="9">
        <v>3988</v>
      </c>
      <c r="C150" s="9" t="s">
        <v>241</v>
      </c>
      <c r="D150" s="9" t="s">
        <v>91</v>
      </c>
      <c r="E150" s="10" t="str">
        <f>"250.41"</f>
        <v>250.41</v>
      </c>
      <c r="F150" s="11"/>
      <c r="G150" s="11">
        <v>2017</v>
      </c>
      <c r="H150" s="12" t="str">
        <f>"228.80"</f>
        <v>228.80</v>
      </c>
      <c r="I150" s="12"/>
      <c r="J150" s="12"/>
      <c r="K150" s="12"/>
      <c r="L150" s="12"/>
      <c r="M150" s="12"/>
      <c r="N150" s="12"/>
      <c r="O150" s="12" t="str">
        <f>"250.25"</f>
        <v>250.25</v>
      </c>
      <c r="P150" s="12"/>
      <c r="Q150" s="12"/>
      <c r="R150" s="12"/>
      <c r="S150" s="12"/>
      <c r="T150" s="12"/>
      <c r="U150" s="12"/>
      <c r="V150" s="12"/>
      <c r="W150" s="12"/>
      <c r="X150" s="12" t="str">
        <f>"300.68"</f>
        <v>300.68</v>
      </c>
      <c r="Y150" s="12" t="str">
        <f>"272.58"</f>
        <v>272.58</v>
      </c>
      <c r="Z150" s="12"/>
      <c r="AA150" s="12"/>
      <c r="AB150" s="12" t="str">
        <f>"250.56"</f>
        <v>250.56</v>
      </c>
      <c r="AC150" s="12" t="str">
        <f>"298.34"</f>
        <v>298.34</v>
      </c>
      <c r="AD150" s="12" t="str">
        <f>"290.94"</f>
        <v>290.94</v>
      </c>
      <c r="AE150" s="12"/>
      <c r="AF150" s="12"/>
      <c r="AG150" s="12"/>
      <c r="AH150" s="12"/>
    </row>
    <row r="151" spans="1:34">
      <c r="A151" s="9">
        <v>149</v>
      </c>
      <c r="B151" s="9">
        <v>1164</v>
      </c>
      <c r="C151" s="9" t="s">
        <v>242</v>
      </c>
      <c r="D151" s="9" t="s">
        <v>243</v>
      </c>
      <c r="E151" s="10" t="str">
        <f>"251.66"</f>
        <v>251.66</v>
      </c>
      <c r="F151" s="11"/>
      <c r="G151" s="11">
        <v>2017</v>
      </c>
      <c r="H151" s="12" t="str">
        <f>"255.98"</f>
        <v>255.98</v>
      </c>
      <c r="I151" s="12"/>
      <c r="J151" s="12"/>
      <c r="K151" s="12" t="str">
        <f>"261.26"</f>
        <v>261.26</v>
      </c>
      <c r="L151" s="12" t="str">
        <f>"242.05"</f>
        <v>242.05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>
      <c r="A152" s="9">
        <v>150</v>
      </c>
      <c r="B152" s="9">
        <v>2223</v>
      </c>
      <c r="C152" s="9" t="s">
        <v>244</v>
      </c>
      <c r="D152" s="9" t="s">
        <v>48</v>
      </c>
      <c r="E152" s="10" t="str">
        <f>"253.94"</f>
        <v>253.94</v>
      </c>
      <c r="F152" s="11"/>
      <c r="G152" s="11">
        <v>2017</v>
      </c>
      <c r="H152" s="12" t="str">
        <f>"266.05"</f>
        <v>266.05</v>
      </c>
      <c r="I152" s="12"/>
      <c r="J152" s="12"/>
      <c r="K152" s="12" t="str">
        <f>"304.91"</f>
        <v>304.91</v>
      </c>
      <c r="L152" s="12" t="str">
        <f>"290.82"</f>
        <v>290.82</v>
      </c>
      <c r="M152" s="12"/>
      <c r="N152" s="12"/>
      <c r="O152" s="12" t="str">
        <f>"233.81"</f>
        <v>233.81</v>
      </c>
      <c r="P152" s="12"/>
      <c r="Q152" s="12"/>
      <c r="R152" s="12"/>
      <c r="S152" s="12"/>
      <c r="T152" s="12"/>
      <c r="U152" s="12"/>
      <c r="V152" s="12" t="str">
        <f>"274.07"</f>
        <v>274.07</v>
      </c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>
      <c r="A153" s="9">
        <v>151</v>
      </c>
      <c r="B153" s="9">
        <v>10322</v>
      </c>
      <c r="C153" s="9" t="s">
        <v>245</v>
      </c>
      <c r="D153" s="9" t="s">
        <v>236</v>
      </c>
      <c r="E153" s="10" t="str">
        <f>"254.85"</f>
        <v>254.85</v>
      </c>
      <c r="F153" s="11"/>
      <c r="G153" s="11">
        <v>2017</v>
      </c>
      <c r="H153" s="12" t="str">
        <f>"296.82"</f>
        <v>296.82</v>
      </c>
      <c r="I153" s="12"/>
      <c r="J153" s="12"/>
      <c r="K153" s="12"/>
      <c r="L153" s="12"/>
      <c r="M153" s="12"/>
      <c r="N153" s="12"/>
      <c r="O153" s="12" t="str">
        <f>"329.41"</f>
        <v>329.41</v>
      </c>
      <c r="P153" s="12"/>
      <c r="Q153" s="12"/>
      <c r="R153" s="12"/>
      <c r="S153" s="12"/>
      <c r="T153" s="12"/>
      <c r="U153" s="12"/>
      <c r="V153" s="12"/>
      <c r="W153" s="12"/>
      <c r="X153" s="12" t="str">
        <f>"329.31"</f>
        <v>329.31</v>
      </c>
      <c r="Y153" s="12" t="str">
        <f>"242.62"</f>
        <v>242.62</v>
      </c>
      <c r="Z153" s="12"/>
      <c r="AA153" s="12"/>
      <c r="AB153" s="12"/>
      <c r="AC153" s="12"/>
      <c r="AD153" s="12" t="str">
        <f>"267.08"</f>
        <v>267.08</v>
      </c>
      <c r="AE153" s="12"/>
      <c r="AF153" s="12"/>
      <c r="AG153" s="12"/>
      <c r="AH153" s="12"/>
    </row>
    <row r="154" spans="1:34">
      <c r="A154" s="9">
        <v>152</v>
      </c>
      <c r="B154" s="9">
        <v>10367</v>
      </c>
      <c r="C154" s="9" t="s">
        <v>246</v>
      </c>
      <c r="D154" s="9" t="s">
        <v>53</v>
      </c>
      <c r="E154" s="10" t="str">
        <f>"255.70"</f>
        <v>255.70</v>
      </c>
      <c r="F154" s="11"/>
      <c r="G154" s="11">
        <v>2017</v>
      </c>
      <c r="H154" s="12" t="str">
        <f>"255.67"</f>
        <v>255.67</v>
      </c>
      <c r="I154" s="12"/>
      <c r="J154" s="12"/>
      <c r="K154" s="12"/>
      <c r="L154" s="12"/>
      <c r="M154" s="12"/>
      <c r="N154" s="12"/>
      <c r="O154" s="12"/>
      <c r="P154" s="12"/>
      <c r="Q154" s="12" t="str">
        <f>"241.43"</f>
        <v>241.43</v>
      </c>
      <c r="R154" s="12"/>
      <c r="S154" s="12"/>
      <c r="T154" s="12" t="str">
        <f>"269.96"</f>
        <v>269.96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>
      <c r="A155" s="9">
        <v>153</v>
      </c>
      <c r="B155" s="9">
        <v>2876</v>
      </c>
      <c r="C155" s="9" t="s">
        <v>247</v>
      </c>
      <c r="D155" s="9" t="s">
        <v>248</v>
      </c>
      <c r="E155" s="10" t="str">
        <f>"255.81"</f>
        <v>255.81</v>
      </c>
      <c r="F155" s="11" t="s">
        <v>40</v>
      </c>
      <c r="G155" s="11">
        <v>2017</v>
      </c>
      <c r="H155" s="12" t="str">
        <f>"215.81"</f>
        <v>215.81</v>
      </c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>
      <c r="A156" s="9">
        <v>154</v>
      </c>
      <c r="B156" s="9">
        <v>3209</v>
      </c>
      <c r="C156" s="9" t="s">
        <v>249</v>
      </c>
      <c r="D156" s="9" t="s">
        <v>127</v>
      </c>
      <c r="E156" s="10" t="str">
        <f>"255.96"</f>
        <v>255.96</v>
      </c>
      <c r="F156" s="11" t="s">
        <v>40</v>
      </c>
      <c r="G156" s="11">
        <v>2017</v>
      </c>
      <c r="H156" s="12" t="str">
        <f>"215.96"</f>
        <v>215.96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>
      <c r="A157" s="9">
        <v>155</v>
      </c>
      <c r="B157" s="9">
        <v>10742</v>
      </c>
      <c r="C157" s="9" t="s">
        <v>250</v>
      </c>
      <c r="D157" s="9" t="s">
        <v>71</v>
      </c>
      <c r="E157" s="10" t="str">
        <f>"257.86"</f>
        <v>257.86</v>
      </c>
      <c r="F157" s="11"/>
      <c r="G157" s="11">
        <v>2017</v>
      </c>
      <c r="H157" s="12" t="str">
        <f>"312.88"</f>
        <v>312.88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 t="str">
        <f>"351.59"</f>
        <v>351.59</v>
      </c>
      <c r="X157" s="12" t="str">
        <f>"327.11"</f>
        <v>327.11</v>
      </c>
      <c r="Y157" s="12" t="str">
        <f>"280.22"</f>
        <v>280.22</v>
      </c>
      <c r="Z157" s="12"/>
      <c r="AA157" s="12"/>
      <c r="AB157" s="12"/>
      <c r="AC157" s="12"/>
      <c r="AD157" s="12"/>
      <c r="AE157" s="12"/>
      <c r="AF157" s="12" t="str">
        <f>"235.49"</f>
        <v>235.49</v>
      </c>
      <c r="AG157" s="12"/>
      <c r="AH157" s="12"/>
    </row>
    <row r="158" spans="1:34">
      <c r="A158" s="9">
        <v>156</v>
      </c>
      <c r="B158" s="9">
        <v>7791</v>
      </c>
      <c r="C158" s="9" t="s">
        <v>251</v>
      </c>
      <c r="D158" s="9" t="s">
        <v>48</v>
      </c>
      <c r="E158" s="10" t="str">
        <f>"258.46"</f>
        <v>258.46</v>
      </c>
      <c r="F158" s="11" t="s">
        <v>40</v>
      </c>
      <c r="G158" s="11">
        <v>2017</v>
      </c>
      <c r="H158" s="12" t="str">
        <f>"218.46"</f>
        <v>218.46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>
      <c r="A159" s="9">
        <v>157</v>
      </c>
      <c r="B159" s="9">
        <v>517</v>
      </c>
      <c r="C159" s="9" t="s">
        <v>252</v>
      </c>
      <c r="D159" s="9" t="s">
        <v>253</v>
      </c>
      <c r="E159" s="10" t="str">
        <f>"259.28"</f>
        <v>259.28</v>
      </c>
      <c r="F159" s="11"/>
      <c r="G159" s="11">
        <v>2017</v>
      </c>
      <c r="H159" s="12" t="str">
        <f>"273.99"</f>
        <v>273.99</v>
      </c>
      <c r="I159" s="12"/>
      <c r="J159" s="12"/>
      <c r="K159" s="12" t="str">
        <f>"282.09"</f>
        <v>282.09</v>
      </c>
      <c r="L159" s="12" t="str">
        <f>"284.19"</f>
        <v>284.19</v>
      </c>
      <c r="M159" s="12"/>
      <c r="N159" s="12"/>
      <c r="O159" s="12" t="str">
        <f>"236.46"</f>
        <v>236.46</v>
      </c>
      <c r="P159" s="12"/>
      <c r="Q159" s="12"/>
      <c r="R159" s="12"/>
      <c r="S159" s="12"/>
      <c r="T159" s="12"/>
      <c r="U159" s="12"/>
      <c r="V159" s="12"/>
      <c r="W159" s="12"/>
      <c r="X159" s="12" t="str">
        <f>"347.94"</f>
        <v>347.94</v>
      </c>
      <c r="Y159" s="12" t="str">
        <f>"290.76"</f>
        <v>290.76</v>
      </c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>
      <c r="A160" s="9">
        <v>158</v>
      </c>
      <c r="B160" s="9">
        <v>2336</v>
      </c>
      <c r="C160" s="9" t="s">
        <v>254</v>
      </c>
      <c r="D160" s="9" t="s">
        <v>255</v>
      </c>
      <c r="E160" s="10" t="str">
        <f>"259.70"</f>
        <v>259.70</v>
      </c>
      <c r="F160" s="11" t="s">
        <v>40</v>
      </c>
      <c r="G160" s="11">
        <v>2017</v>
      </c>
      <c r="H160" s="12" t="str">
        <f>"219.70"</f>
        <v>219.70</v>
      </c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>
      <c r="A161" s="9">
        <v>159</v>
      </c>
      <c r="B161" s="9">
        <v>10370</v>
      </c>
      <c r="C161" s="9" t="s">
        <v>256</v>
      </c>
      <c r="D161" s="9" t="s">
        <v>257</v>
      </c>
      <c r="E161" s="10" t="str">
        <f>"260.07"</f>
        <v>260.07</v>
      </c>
      <c r="F161" s="11"/>
      <c r="G161" s="11">
        <v>2017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 t="str">
        <f>"275.65"</f>
        <v>275.65</v>
      </c>
      <c r="Y161" s="12" t="str">
        <f>"244.48"</f>
        <v>244.48</v>
      </c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>
      <c r="A162" s="9">
        <v>160</v>
      </c>
      <c r="B162" s="9">
        <v>3679</v>
      </c>
      <c r="C162" s="9" t="s">
        <v>258</v>
      </c>
      <c r="D162" s="9" t="s">
        <v>259</v>
      </c>
      <c r="E162" s="10" t="str">
        <f>"260.86"</f>
        <v>260.86</v>
      </c>
      <c r="F162" s="11" t="s">
        <v>37</v>
      </c>
      <c r="G162" s="11">
        <v>2017</v>
      </c>
      <c r="H162" s="12" t="str">
        <f>"205.97"</f>
        <v>205.97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 t="str">
        <f>"220.86"</f>
        <v>220.86</v>
      </c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>
      <c r="A163" s="9">
        <v>161</v>
      </c>
      <c r="B163" s="9">
        <v>10970</v>
      </c>
      <c r="C163" s="9" t="s">
        <v>260</v>
      </c>
      <c r="D163" s="9" t="s">
        <v>53</v>
      </c>
      <c r="E163" s="10" t="str">
        <f>"261.65"</f>
        <v>261.65</v>
      </c>
      <c r="F163" s="11" t="s">
        <v>40</v>
      </c>
      <c r="G163" s="11">
        <v>2017</v>
      </c>
      <c r="H163" s="12" t="str">
        <f>"221.65"</f>
        <v>221.65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>
      <c r="A164" s="9">
        <v>162</v>
      </c>
      <c r="B164" s="9">
        <v>11042</v>
      </c>
      <c r="C164" s="9" t="s">
        <v>261</v>
      </c>
      <c r="D164" s="9" t="s">
        <v>48</v>
      </c>
      <c r="E164" s="10" t="str">
        <f>"263.96"</f>
        <v>263.96</v>
      </c>
      <c r="F164" s="11" t="s">
        <v>37</v>
      </c>
      <c r="G164" s="11">
        <v>2017</v>
      </c>
      <c r="H164" s="12" t="str">
        <f>"297.95"</f>
        <v>297.95</v>
      </c>
      <c r="I164" s="12"/>
      <c r="J164" s="12"/>
      <c r="K164" s="12"/>
      <c r="L164" s="12"/>
      <c r="M164" s="12"/>
      <c r="N164" s="12"/>
      <c r="O164" s="12"/>
      <c r="P164" s="12"/>
      <c r="Q164" s="12" t="str">
        <f>"223.96"</f>
        <v>223.96</v>
      </c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>
      <c r="A165" s="9">
        <v>163</v>
      </c>
      <c r="B165" s="9">
        <v>11015</v>
      </c>
      <c r="C165" s="9" t="s">
        <v>262</v>
      </c>
      <c r="D165" s="9" t="s">
        <v>53</v>
      </c>
      <c r="E165" s="10" t="str">
        <f>"265.04"</f>
        <v>265.04</v>
      </c>
      <c r="F165" s="11"/>
      <c r="G165" s="11">
        <v>2017</v>
      </c>
      <c r="H165" s="12" t="str">
        <f>"257.81"</f>
        <v>257.81</v>
      </c>
      <c r="I165" s="12"/>
      <c r="J165" s="12"/>
      <c r="K165" s="12"/>
      <c r="L165" s="12"/>
      <c r="M165" s="12"/>
      <c r="N165" s="12"/>
      <c r="O165" s="12"/>
      <c r="P165" s="12"/>
      <c r="Q165" s="12" t="str">
        <f>"316.13"</f>
        <v>316.13</v>
      </c>
      <c r="R165" s="12"/>
      <c r="S165" s="12"/>
      <c r="T165" s="12" t="str">
        <f>"213.94"</f>
        <v>213.94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>
      <c r="A166" s="9">
        <v>164</v>
      </c>
      <c r="B166" s="9">
        <v>1832</v>
      </c>
      <c r="C166" s="9" t="s">
        <v>263</v>
      </c>
      <c r="D166" s="9" t="s">
        <v>243</v>
      </c>
      <c r="E166" s="10" t="str">
        <f>"265.16"</f>
        <v>265.16</v>
      </c>
      <c r="F166" s="11"/>
      <c r="G166" s="11">
        <v>2017</v>
      </c>
      <c r="H166" s="12" t="str">
        <f>"268.90"</f>
        <v>268.90</v>
      </c>
      <c r="I166" s="12"/>
      <c r="J166" s="12"/>
      <c r="K166" s="12" t="str">
        <f>"290.18"</f>
        <v>290.18</v>
      </c>
      <c r="L166" s="12" t="str">
        <f>"240.13"</f>
        <v>240.13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>
      <c r="A167" s="9">
        <v>165</v>
      </c>
      <c r="B167" s="9">
        <v>11427</v>
      </c>
      <c r="C167" s="9" t="s">
        <v>264</v>
      </c>
      <c r="D167" s="9" t="s">
        <v>39</v>
      </c>
      <c r="E167" s="10" t="str">
        <f>"265.49"</f>
        <v>265.49</v>
      </c>
      <c r="F167" s="11"/>
      <c r="G167" s="11">
        <v>2017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 t="str">
        <f>"265.13"</f>
        <v>265.13</v>
      </c>
      <c r="AH167" s="12" t="str">
        <f>"265.85"</f>
        <v>265.85</v>
      </c>
    </row>
    <row r="168" spans="1:34">
      <c r="A168" s="9">
        <v>166</v>
      </c>
      <c r="B168" s="9">
        <v>10879</v>
      </c>
      <c r="C168" s="9" t="s">
        <v>265</v>
      </c>
      <c r="D168" s="9" t="s">
        <v>39</v>
      </c>
      <c r="E168" s="10" t="str">
        <f>"268.43"</f>
        <v>268.43</v>
      </c>
      <c r="F168" s="11"/>
      <c r="G168" s="11">
        <v>2017</v>
      </c>
      <c r="H168" s="12" t="str">
        <f>"371.49"</f>
        <v>371.49</v>
      </c>
      <c r="I168" s="12"/>
      <c r="J168" s="12"/>
      <c r="K168" s="12"/>
      <c r="L168" s="12"/>
      <c r="M168" s="12" t="str">
        <f>"357.09"</f>
        <v>357.09</v>
      </c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 t="str">
        <f>"325.33"</f>
        <v>325.33</v>
      </c>
      <c r="AA168" s="12" t="str">
        <f>"537.46"</f>
        <v>537.46</v>
      </c>
      <c r="AB168" s="12"/>
      <c r="AC168" s="12"/>
      <c r="AD168" s="12"/>
      <c r="AE168" s="12"/>
      <c r="AF168" s="12"/>
      <c r="AG168" s="12" t="str">
        <f>"269.43"</f>
        <v>269.43</v>
      </c>
      <c r="AH168" s="12" t="str">
        <f>"267.43"</f>
        <v>267.43</v>
      </c>
    </row>
    <row r="169" spans="1:34">
      <c r="A169" s="9">
        <v>167</v>
      </c>
      <c r="B169" s="9">
        <v>10746</v>
      </c>
      <c r="C169" s="9" t="s">
        <v>266</v>
      </c>
      <c r="D169" s="9" t="s">
        <v>71</v>
      </c>
      <c r="E169" s="10" t="str">
        <f>"268.74"</f>
        <v>268.74</v>
      </c>
      <c r="F169" s="11"/>
      <c r="G169" s="11">
        <v>2017</v>
      </c>
      <c r="H169" s="12" t="str">
        <f>"385.51"</f>
        <v>385.51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 t="str">
        <f>"359.73"</f>
        <v>359.73</v>
      </c>
      <c r="V169" s="12"/>
      <c r="W169" s="12" t="str">
        <f>"324.32"</f>
        <v>324.32</v>
      </c>
      <c r="X169" s="12" t="str">
        <f>"291.27"</f>
        <v>291.27</v>
      </c>
      <c r="Y169" s="12" t="str">
        <f>"279.39"</f>
        <v>279.39</v>
      </c>
      <c r="Z169" s="12"/>
      <c r="AA169" s="12"/>
      <c r="AB169" s="12"/>
      <c r="AC169" s="12"/>
      <c r="AD169" s="12" t="str">
        <f>"268.69"</f>
        <v>268.69</v>
      </c>
      <c r="AE169" s="12"/>
      <c r="AF169" s="12" t="str">
        <f>"268.78"</f>
        <v>268.78</v>
      </c>
      <c r="AG169" s="12"/>
      <c r="AH169" s="12"/>
    </row>
    <row r="170" spans="1:34">
      <c r="A170" s="9">
        <v>168</v>
      </c>
      <c r="B170" s="9">
        <v>7579</v>
      </c>
      <c r="C170" s="9" t="s">
        <v>267</v>
      </c>
      <c r="D170" s="9" t="s">
        <v>268</v>
      </c>
      <c r="E170" s="10" t="str">
        <f>"270.85"</f>
        <v>270.85</v>
      </c>
      <c r="F170" s="11" t="s">
        <v>40</v>
      </c>
      <c r="G170" s="11">
        <v>2017</v>
      </c>
      <c r="H170" s="12" t="str">
        <f>"230.85"</f>
        <v>230.85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>
      <c r="A171" s="9">
        <v>169</v>
      </c>
      <c r="B171" s="9">
        <v>10740</v>
      </c>
      <c r="C171" s="9" t="s">
        <v>269</v>
      </c>
      <c r="D171" s="9" t="s">
        <v>71</v>
      </c>
      <c r="E171" s="10" t="str">
        <f>"270.91"</f>
        <v>270.91</v>
      </c>
      <c r="F171" s="11"/>
      <c r="G171" s="11">
        <v>2017</v>
      </c>
      <c r="H171" s="12" t="str">
        <f>"264.69"</f>
        <v>264.69</v>
      </c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 t="str">
        <f>"303.58"</f>
        <v>303.58</v>
      </c>
      <c r="X171" s="12" t="str">
        <f>"288.66"</f>
        <v>288.66</v>
      </c>
      <c r="Y171" s="12" t="str">
        <f>"253.16"</f>
        <v>253.16</v>
      </c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>
      <c r="A172" s="9">
        <v>170</v>
      </c>
      <c r="B172" s="9">
        <v>8619</v>
      </c>
      <c r="C172" s="9" t="s">
        <v>270</v>
      </c>
      <c r="D172" s="9" t="s">
        <v>39</v>
      </c>
      <c r="E172" s="10" t="str">
        <f>"273.00"</f>
        <v>273.00</v>
      </c>
      <c r="F172" s="11" t="s">
        <v>40</v>
      </c>
      <c r="G172" s="11">
        <v>2017</v>
      </c>
      <c r="H172" s="12" t="str">
        <f>"233.00"</f>
        <v>233.00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>
      <c r="A173" s="9">
        <v>171</v>
      </c>
      <c r="B173" s="9">
        <v>8337</v>
      </c>
      <c r="C173" s="9" t="s">
        <v>271</v>
      </c>
      <c r="D173" s="9" t="s">
        <v>48</v>
      </c>
      <c r="E173" s="10" t="str">
        <f>"273.11"</f>
        <v>273.11</v>
      </c>
      <c r="F173" s="11" t="s">
        <v>37</v>
      </c>
      <c r="G173" s="11">
        <v>2017</v>
      </c>
      <c r="H173" s="12" t="str">
        <f>"232.38"</f>
        <v>232.38</v>
      </c>
      <c r="I173" s="12"/>
      <c r="J173" s="12"/>
      <c r="K173" s="12"/>
      <c r="L173" s="12"/>
      <c r="M173" s="12"/>
      <c r="N173" s="12"/>
      <c r="O173" s="12"/>
      <c r="P173" s="12"/>
      <c r="Q173" s="12" t="str">
        <f>"233.11"</f>
        <v>233.11</v>
      </c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>
      <c r="A174" s="9">
        <v>172</v>
      </c>
      <c r="B174" s="9">
        <v>7785</v>
      </c>
      <c r="C174" s="9" t="s">
        <v>272</v>
      </c>
      <c r="D174" s="9" t="s">
        <v>48</v>
      </c>
      <c r="E174" s="10" t="str">
        <f>"273.49"</f>
        <v>273.49</v>
      </c>
      <c r="F174" s="11" t="s">
        <v>40</v>
      </c>
      <c r="G174" s="11">
        <v>2017</v>
      </c>
      <c r="H174" s="12" t="str">
        <f>"233.49"</f>
        <v>233.49</v>
      </c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>
      <c r="A175" s="9">
        <v>173</v>
      </c>
      <c r="B175" s="9">
        <v>2717</v>
      </c>
      <c r="C175" s="9" t="s">
        <v>273</v>
      </c>
      <c r="D175" s="9" t="s">
        <v>181</v>
      </c>
      <c r="E175" s="10" t="str">
        <f>"273.58"</f>
        <v>273.58</v>
      </c>
      <c r="F175" s="11"/>
      <c r="G175" s="11">
        <v>2017</v>
      </c>
      <c r="H175" s="12" t="str">
        <f>"293.26"</f>
        <v>293.26</v>
      </c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 t="str">
        <f>"258.27"</f>
        <v>258.27</v>
      </c>
      <c r="AC175" s="12" t="str">
        <f>"288.89"</f>
        <v>288.89</v>
      </c>
      <c r="AD175" s="12"/>
      <c r="AE175" s="12" t="str">
        <f>"331.03"</f>
        <v>331.03</v>
      </c>
      <c r="AF175" s="12" t="str">
        <f>"310.43"</f>
        <v>310.43</v>
      </c>
      <c r="AG175" s="12"/>
      <c r="AH175" s="12"/>
    </row>
    <row r="176" spans="1:34">
      <c r="A176" s="9">
        <v>174</v>
      </c>
      <c r="B176" s="9">
        <v>4569</v>
      </c>
      <c r="C176" s="9" t="s">
        <v>274</v>
      </c>
      <c r="D176" s="9" t="s">
        <v>181</v>
      </c>
      <c r="E176" s="10" t="str">
        <f>"273.89"</f>
        <v>273.89</v>
      </c>
      <c r="F176" s="11"/>
      <c r="G176" s="11">
        <v>2017</v>
      </c>
      <c r="H176" s="12" t="str">
        <f>"191.06"</f>
        <v>191.06</v>
      </c>
      <c r="I176" s="12"/>
      <c r="J176" s="12"/>
      <c r="K176" s="12" t="str">
        <f>"273.60"</f>
        <v>273.60</v>
      </c>
      <c r="L176" s="12" t="str">
        <f>"284.48"</f>
        <v>284.48</v>
      </c>
      <c r="M176" s="12"/>
      <c r="N176" s="12"/>
      <c r="O176" s="12"/>
      <c r="P176" s="12" t="str">
        <f>"274.18"</f>
        <v>274.18</v>
      </c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>
      <c r="A177" s="9">
        <v>175</v>
      </c>
      <c r="B177" s="9">
        <v>2694</v>
      </c>
      <c r="C177" s="9" t="s">
        <v>275</v>
      </c>
      <c r="D177" s="9" t="s">
        <v>276</v>
      </c>
      <c r="E177" s="10" t="str">
        <f>"274.12"</f>
        <v>274.12</v>
      </c>
      <c r="F177" s="11"/>
      <c r="G177" s="11">
        <v>2017</v>
      </c>
      <c r="H177" s="12" t="str">
        <f>"345.73"</f>
        <v>345.73</v>
      </c>
      <c r="I177" s="12"/>
      <c r="J177" s="12"/>
      <c r="K177" s="12" t="str">
        <f>"345.77"</f>
        <v>345.77</v>
      </c>
      <c r="L177" s="12" t="str">
        <f>"295.24"</f>
        <v>295.24</v>
      </c>
      <c r="M177" s="12"/>
      <c r="N177" s="12"/>
      <c r="O177" s="12"/>
      <c r="P177" s="12" t="str">
        <f>"252.99"</f>
        <v>252.99</v>
      </c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 t="str">
        <f>"303.69"</f>
        <v>303.69</v>
      </c>
      <c r="AF177" s="12"/>
      <c r="AG177" s="12"/>
      <c r="AH177" s="12"/>
    </row>
    <row r="178" spans="1:34">
      <c r="A178" s="9">
        <v>176</v>
      </c>
      <c r="B178" s="9">
        <v>257</v>
      </c>
      <c r="C178" s="9" t="s">
        <v>277</v>
      </c>
      <c r="D178" s="9" t="s">
        <v>278</v>
      </c>
      <c r="E178" s="10" t="str">
        <f>"274.85"</f>
        <v>274.85</v>
      </c>
      <c r="F178" s="11"/>
      <c r="G178" s="11">
        <v>2017</v>
      </c>
      <c r="H178" s="12" t="str">
        <f>"253.63"</f>
        <v>253.63</v>
      </c>
      <c r="I178" s="12"/>
      <c r="J178" s="12"/>
      <c r="K178" s="12" t="str">
        <f>"270.81"</f>
        <v>270.81</v>
      </c>
      <c r="L178" s="12" t="str">
        <f>"278.88"</f>
        <v>278.88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>
      <c r="A179" s="9">
        <v>177</v>
      </c>
      <c r="B179" s="9">
        <v>3094</v>
      </c>
      <c r="C179" s="9" t="s">
        <v>279</v>
      </c>
      <c r="D179" s="9" t="s">
        <v>280</v>
      </c>
      <c r="E179" s="10" t="str">
        <f>"275.42"</f>
        <v>275.42</v>
      </c>
      <c r="F179" s="11" t="s">
        <v>40</v>
      </c>
      <c r="G179" s="11">
        <v>2017</v>
      </c>
      <c r="H179" s="12" t="str">
        <f>"235.42"</f>
        <v>235.42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>
      <c r="A180" s="9">
        <v>178</v>
      </c>
      <c r="B180" s="9">
        <v>5751</v>
      </c>
      <c r="C180" s="9" t="s">
        <v>281</v>
      </c>
      <c r="D180" s="9" t="s">
        <v>48</v>
      </c>
      <c r="E180" s="10" t="str">
        <f>"279.17"</f>
        <v>279.17</v>
      </c>
      <c r="F180" s="11" t="s">
        <v>40</v>
      </c>
      <c r="G180" s="11">
        <v>2017</v>
      </c>
      <c r="H180" s="12" t="str">
        <f>"239.17"</f>
        <v>239.17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>
      <c r="A181" s="9">
        <v>179</v>
      </c>
      <c r="B181" s="9">
        <v>7601</v>
      </c>
      <c r="C181" s="9" t="s">
        <v>282</v>
      </c>
      <c r="D181" s="9" t="s">
        <v>283</v>
      </c>
      <c r="E181" s="10" t="str">
        <f>"280.30"</f>
        <v>280.30</v>
      </c>
      <c r="F181" s="11" t="s">
        <v>40</v>
      </c>
      <c r="G181" s="11">
        <v>2017</v>
      </c>
      <c r="H181" s="12" t="str">
        <f>"240.30"</f>
        <v>240.30</v>
      </c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>
      <c r="A182" s="9">
        <v>180</v>
      </c>
      <c r="B182" s="9">
        <v>5489</v>
      </c>
      <c r="C182" s="9" t="s">
        <v>284</v>
      </c>
      <c r="D182" s="9" t="s">
        <v>39</v>
      </c>
      <c r="E182" s="10" t="str">
        <f>"280.94"</f>
        <v>280.94</v>
      </c>
      <c r="F182" s="11" t="s">
        <v>40</v>
      </c>
      <c r="G182" s="11">
        <v>2017</v>
      </c>
      <c r="H182" s="12" t="str">
        <f>"240.94"</f>
        <v>240.94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>
      <c r="A183" s="9">
        <v>181</v>
      </c>
      <c r="B183" s="9">
        <v>10581</v>
      </c>
      <c r="C183" s="9" t="s">
        <v>285</v>
      </c>
      <c r="D183" s="9" t="s">
        <v>39</v>
      </c>
      <c r="E183" s="10" t="str">
        <f>"281.88"</f>
        <v>281.88</v>
      </c>
      <c r="F183" s="11" t="s">
        <v>40</v>
      </c>
      <c r="G183" s="11">
        <v>2017</v>
      </c>
      <c r="H183" s="12" t="str">
        <f>"241.88"</f>
        <v>241.88</v>
      </c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>
      <c r="A184" s="9">
        <v>182</v>
      </c>
      <c r="B184" s="9">
        <v>11421</v>
      </c>
      <c r="C184" s="9" t="s">
        <v>286</v>
      </c>
      <c r="D184" s="9" t="s">
        <v>147</v>
      </c>
      <c r="E184" s="10" t="str">
        <f>"284.22"</f>
        <v>284.22</v>
      </c>
      <c r="F184" s="11" t="s">
        <v>37</v>
      </c>
      <c r="G184" s="11">
        <v>2017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 t="str">
        <f>"244.22"</f>
        <v>244.22</v>
      </c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>
      <c r="A185" s="9">
        <v>183</v>
      </c>
      <c r="B185" s="9">
        <v>2398</v>
      </c>
      <c r="C185" s="9" t="s">
        <v>287</v>
      </c>
      <c r="D185" s="9" t="s">
        <v>39</v>
      </c>
      <c r="E185" s="10" t="str">
        <f>"286.32"</f>
        <v>286.32</v>
      </c>
      <c r="F185" s="11"/>
      <c r="G185" s="11">
        <v>2017</v>
      </c>
      <c r="H185" s="12" t="str">
        <f>"241.54"</f>
        <v>241.54</v>
      </c>
      <c r="I185" s="12"/>
      <c r="J185" s="12"/>
      <c r="K185" s="12"/>
      <c r="L185" s="12"/>
      <c r="M185" s="12"/>
      <c r="N185" s="12" t="str">
        <f>"296.29"</f>
        <v>296.29</v>
      </c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 t="str">
        <f>"276.34"</f>
        <v>276.34</v>
      </c>
      <c r="AB185" s="12"/>
      <c r="AC185" s="12"/>
      <c r="AD185" s="12"/>
      <c r="AE185" s="12"/>
      <c r="AF185" s="12"/>
      <c r="AG185" s="12"/>
      <c r="AH185" s="12"/>
    </row>
    <row r="186" spans="1:34">
      <c r="A186" s="9">
        <v>184</v>
      </c>
      <c r="B186" s="9">
        <v>10605</v>
      </c>
      <c r="C186" s="9" t="s">
        <v>288</v>
      </c>
      <c r="D186" s="9" t="s">
        <v>39</v>
      </c>
      <c r="E186" s="10" t="str">
        <f>"287.47"</f>
        <v>287.47</v>
      </c>
      <c r="F186" s="11"/>
      <c r="G186" s="11">
        <v>2017</v>
      </c>
      <c r="H186" s="12" t="str">
        <f>"244.99"</f>
        <v>244.99</v>
      </c>
      <c r="I186" s="12"/>
      <c r="J186" s="12"/>
      <c r="K186" s="12"/>
      <c r="L186" s="12"/>
      <c r="M186" s="12"/>
      <c r="N186" s="12" t="str">
        <f>"283.73"</f>
        <v>283.73</v>
      </c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 t="str">
        <f>"291.21"</f>
        <v>291.21</v>
      </c>
      <c r="AB186" s="12"/>
      <c r="AC186" s="12"/>
      <c r="AD186" s="12"/>
      <c r="AE186" s="12"/>
      <c r="AF186" s="12"/>
      <c r="AG186" s="12"/>
      <c r="AH186" s="12"/>
    </row>
    <row r="187" spans="1:34">
      <c r="A187" s="9">
        <v>185</v>
      </c>
      <c r="B187" s="9">
        <v>2643</v>
      </c>
      <c r="C187" s="9" t="s">
        <v>289</v>
      </c>
      <c r="D187" s="9" t="s">
        <v>223</v>
      </c>
      <c r="E187" s="10" t="str">
        <f>"290.15"</f>
        <v>290.15</v>
      </c>
      <c r="F187" s="11" t="s">
        <v>40</v>
      </c>
      <c r="G187" s="11">
        <v>2017</v>
      </c>
      <c r="H187" s="12" t="str">
        <f>"250.15"</f>
        <v>250.15</v>
      </c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>
      <c r="A188" s="9">
        <v>186</v>
      </c>
      <c r="B188" s="9">
        <v>8620</v>
      </c>
      <c r="C188" s="9" t="s">
        <v>290</v>
      </c>
      <c r="D188" s="9" t="s">
        <v>39</v>
      </c>
      <c r="E188" s="10" t="str">
        <f>"290.47"</f>
        <v>290.47</v>
      </c>
      <c r="F188" s="11" t="s">
        <v>40</v>
      </c>
      <c r="G188" s="11">
        <v>2017</v>
      </c>
      <c r="H188" s="12" t="str">
        <f>"250.47"</f>
        <v>250.47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>
      <c r="A189" s="9">
        <v>187</v>
      </c>
      <c r="B189" s="9">
        <v>10603</v>
      </c>
      <c r="C189" s="9" t="s">
        <v>291</v>
      </c>
      <c r="D189" s="9" t="s">
        <v>39</v>
      </c>
      <c r="E189" s="10" t="str">
        <f>"291.18"</f>
        <v>291.18</v>
      </c>
      <c r="F189" s="11"/>
      <c r="G189" s="11">
        <v>2017</v>
      </c>
      <c r="H189" s="12" t="str">
        <f>"381.49"</f>
        <v>381.49</v>
      </c>
      <c r="I189" s="12"/>
      <c r="J189" s="12"/>
      <c r="K189" s="12"/>
      <c r="L189" s="12"/>
      <c r="M189" s="12" t="str">
        <f>"276.21"</f>
        <v>276.21</v>
      </c>
      <c r="N189" s="12" t="str">
        <f>"323.37"</f>
        <v>323.37</v>
      </c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 t="str">
        <f>"306.15"</f>
        <v>306.15</v>
      </c>
      <c r="AA189" s="12" t="str">
        <f>"399.37"</f>
        <v>399.37</v>
      </c>
      <c r="AB189" s="12"/>
      <c r="AC189" s="12"/>
      <c r="AD189" s="12"/>
      <c r="AE189" s="12"/>
      <c r="AF189" s="12"/>
      <c r="AG189" s="12"/>
      <c r="AH189" s="12"/>
    </row>
    <row r="190" spans="1:34">
      <c r="A190" s="9">
        <v>188</v>
      </c>
      <c r="B190" s="9">
        <v>10359</v>
      </c>
      <c r="C190" s="9" t="s">
        <v>292</v>
      </c>
      <c r="D190" s="9" t="s">
        <v>48</v>
      </c>
      <c r="E190" s="10" t="str">
        <f>"291.49"</f>
        <v>291.49</v>
      </c>
      <c r="F190" s="11"/>
      <c r="G190" s="11">
        <v>2017</v>
      </c>
      <c r="H190" s="12" t="str">
        <f>"400.43"</f>
        <v>400.43</v>
      </c>
      <c r="I190" s="12"/>
      <c r="J190" s="12"/>
      <c r="K190" s="12"/>
      <c r="L190" s="12"/>
      <c r="M190" s="12"/>
      <c r="N190" s="12"/>
      <c r="O190" s="12"/>
      <c r="P190" s="12"/>
      <c r="Q190" s="12" t="str">
        <f>"342.42"</f>
        <v>342.42</v>
      </c>
      <c r="R190" s="12"/>
      <c r="S190" s="12" t="str">
        <f>"240.56"</f>
        <v>240.56</v>
      </c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>
      <c r="A191" s="9">
        <v>189</v>
      </c>
      <c r="B191" s="9">
        <v>10465</v>
      </c>
      <c r="C191" s="9" t="s">
        <v>293</v>
      </c>
      <c r="D191" s="9" t="s">
        <v>71</v>
      </c>
      <c r="E191" s="10" t="str">
        <f>"291.82"</f>
        <v>291.82</v>
      </c>
      <c r="F191" s="11"/>
      <c r="G191" s="11">
        <v>2017</v>
      </c>
      <c r="H191" s="12" t="str">
        <f>"756.16"</f>
        <v>756.16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 t="str">
        <f>"459.40"</f>
        <v>459.40</v>
      </c>
      <c r="X191" s="12"/>
      <c r="Y191" s="12"/>
      <c r="Z191" s="12"/>
      <c r="AA191" s="12"/>
      <c r="AB191" s="12"/>
      <c r="AC191" s="12"/>
      <c r="AD191" s="12"/>
      <c r="AE191" s="12"/>
      <c r="AF191" s="12" t="str">
        <f>"364.84"</f>
        <v>364.84</v>
      </c>
      <c r="AG191" s="12" t="str">
        <f>"295.35"</f>
        <v>295.35</v>
      </c>
      <c r="AH191" s="12" t="str">
        <f>"288.28"</f>
        <v>288.28</v>
      </c>
    </row>
    <row r="192" spans="1:34">
      <c r="A192" s="9">
        <v>190</v>
      </c>
      <c r="B192" s="9">
        <v>2233</v>
      </c>
      <c r="C192" s="9" t="s">
        <v>294</v>
      </c>
      <c r="D192" s="9" t="s">
        <v>159</v>
      </c>
      <c r="E192" s="10" t="str">
        <f>"292.17"</f>
        <v>292.17</v>
      </c>
      <c r="F192" s="11" t="s">
        <v>40</v>
      </c>
      <c r="G192" s="11">
        <v>2017</v>
      </c>
      <c r="H192" s="12" t="str">
        <f>"252.17"</f>
        <v>252.17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>
      <c r="A193" s="9">
        <v>191</v>
      </c>
      <c r="B193" s="9">
        <v>4176</v>
      </c>
      <c r="C193" s="9" t="s">
        <v>295</v>
      </c>
      <c r="D193" s="9" t="s">
        <v>296</v>
      </c>
      <c r="E193" s="10" t="str">
        <f>"293.42"</f>
        <v>293.42</v>
      </c>
      <c r="F193" s="11" t="s">
        <v>40</v>
      </c>
      <c r="G193" s="11">
        <v>2017</v>
      </c>
      <c r="H193" s="12" t="str">
        <f>"253.42"</f>
        <v>253.42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>
      <c r="A194" s="9">
        <v>192</v>
      </c>
      <c r="B194" s="9">
        <v>11341</v>
      </c>
      <c r="C194" s="9" t="s">
        <v>297</v>
      </c>
      <c r="D194" s="9" t="s">
        <v>298</v>
      </c>
      <c r="E194" s="10" t="str">
        <f>"293.48"</f>
        <v>293.48</v>
      </c>
      <c r="F194" s="11"/>
      <c r="G194" s="11">
        <v>2017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 t="str">
        <f>"230.40"</f>
        <v>230.40</v>
      </c>
      <c r="W194" s="12"/>
      <c r="X194" s="12" t="str">
        <f>"356.55"</f>
        <v>356.55</v>
      </c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>
      <c r="A195" s="9">
        <v>193</v>
      </c>
      <c r="B195" s="9">
        <v>1253</v>
      </c>
      <c r="C195" s="9" t="s">
        <v>299</v>
      </c>
      <c r="D195" s="9" t="s">
        <v>300</v>
      </c>
      <c r="E195" s="10" t="str">
        <f>"293.96"</f>
        <v>293.96</v>
      </c>
      <c r="F195" s="11" t="s">
        <v>37</v>
      </c>
      <c r="G195" s="11">
        <v>2017</v>
      </c>
      <c r="H195" s="12" t="str">
        <f>"313.80"</f>
        <v>313.80</v>
      </c>
      <c r="I195" s="12"/>
      <c r="J195" s="12"/>
      <c r="K195" s="12" t="str">
        <f>"253.96"</f>
        <v>253.96</v>
      </c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>
      <c r="A196" s="9">
        <v>194</v>
      </c>
      <c r="B196" s="9">
        <v>8275</v>
      </c>
      <c r="C196" s="9" t="s">
        <v>301</v>
      </c>
      <c r="D196" s="9" t="s">
        <v>302</v>
      </c>
      <c r="E196" s="10" t="str">
        <f>"294.79"</f>
        <v>294.79</v>
      </c>
      <c r="F196" s="11"/>
      <c r="G196" s="11">
        <v>2017</v>
      </c>
      <c r="H196" s="12" t="str">
        <f>"215.51"</f>
        <v>215.51</v>
      </c>
      <c r="I196" s="12"/>
      <c r="J196" s="12"/>
      <c r="K196" s="12" t="str">
        <f>"307.69"</f>
        <v>307.69</v>
      </c>
      <c r="L196" s="12" t="str">
        <f>"284.93"</f>
        <v>284.93</v>
      </c>
      <c r="M196" s="12"/>
      <c r="N196" s="12"/>
      <c r="O196" s="12"/>
      <c r="P196" s="12" t="str">
        <f>"304.64"</f>
        <v>304.64</v>
      </c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>
      <c r="A197" s="9">
        <v>195</v>
      </c>
      <c r="B197" s="9">
        <v>3103</v>
      </c>
      <c r="C197" s="9" t="s">
        <v>303</v>
      </c>
      <c r="D197" s="9" t="s">
        <v>170</v>
      </c>
      <c r="E197" s="10" t="str">
        <f>"295.74"</f>
        <v>295.74</v>
      </c>
      <c r="F197" s="11" t="s">
        <v>40</v>
      </c>
      <c r="G197" s="11">
        <v>2017</v>
      </c>
      <c r="H197" s="12" t="str">
        <f>"255.74"</f>
        <v>255.74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>
      <c r="A198" s="9">
        <v>196</v>
      </c>
      <c r="B198" s="9">
        <v>10463</v>
      </c>
      <c r="C198" s="9" t="s">
        <v>304</v>
      </c>
      <c r="D198" s="9" t="s">
        <v>39</v>
      </c>
      <c r="E198" s="10" t="str">
        <f>"299.28"</f>
        <v>299.28</v>
      </c>
      <c r="F198" s="11"/>
      <c r="G198" s="11">
        <v>2017</v>
      </c>
      <c r="H198" s="12" t="str">
        <f>"410.20"</f>
        <v>410.20</v>
      </c>
      <c r="I198" s="12"/>
      <c r="J198" s="12"/>
      <c r="K198" s="12"/>
      <c r="L198" s="12"/>
      <c r="M198" s="12" t="str">
        <f>"302.01"</f>
        <v>302.01</v>
      </c>
      <c r="N198" s="12" t="str">
        <f>"396.28"</f>
        <v>396.28</v>
      </c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 t="str">
        <f>"315.28"</f>
        <v>315.28</v>
      </c>
      <c r="AH198" s="12" t="str">
        <f>"296.55"</f>
        <v>296.55</v>
      </c>
    </row>
    <row r="199" spans="1:34">
      <c r="A199" s="9">
        <v>197</v>
      </c>
      <c r="B199" s="9">
        <v>2390</v>
      </c>
      <c r="C199" s="9" t="s">
        <v>305</v>
      </c>
      <c r="D199" s="9" t="s">
        <v>39</v>
      </c>
      <c r="E199" s="10" t="str">
        <f>"299.58"</f>
        <v>299.58</v>
      </c>
      <c r="F199" s="11" t="s">
        <v>40</v>
      </c>
      <c r="G199" s="11">
        <v>2017</v>
      </c>
      <c r="H199" s="12" t="str">
        <f>"259.58"</f>
        <v>259.58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>
      <c r="A200" s="9">
        <v>198</v>
      </c>
      <c r="B200" s="9">
        <v>10700</v>
      </c>
      <c r="C200" s="9" t="s">
        <v>306</v>
      </c>
      <c r="D200" s="9" t="s">
        <v>53</v>
      </c>
      <c r="E200" s="10" t="str">
        <f>"299.67"</f>
        <v>299.67</v>
      </c>
      <c r="F200" s="11"/>
      <c r="G200" s="11">
        <v>2017</v>
      </c>
      <c r="H200" s="12" t="str">
        <f>"453.25"</f>
        <v>453.25</v>
      </c>
      <c r="I200" s="12"/>
      <c r="J200" s="12"/>
      <c r="K200" s="12"/>
      <c r="L200" s="12"/>
      <c r="M200" s="12"/>
      <c r="N200" s="12"/>
      <c r="O200" s="12"/>
      <c r="P200" s="12"/>
      <c r="Q200" s="12" t="str">
        <f>"367.05"</f>
        <v>367.05</v>
      </c>
      <c r="R200" s="12"/>
      <c r="S200" s="12" t="str">
        <f>"232.28"</f>
        <v>232.28</v>
      </c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>
      <c r="A201" s="9">
        <v>199</v>
      </c>
      <c r="B201" s="9">
        <v>10466</v>
      </c>
      <c r="C201" s="9" t="s">
        <v>307</v>
      </c>
      <c r="D201" s="9" t="s">
        <v>71</v>
      </c>
      <c r="E201" s="10" t="str">
        <f>"299.73"</f>
        <v>299.73</v>
      </c>
      <c r="F201" s="11"/>
      <c r="G201" s="11">
        <v>2017</v>
      </c>
      <c r="H201" s="12" t="str">
        <f>"497.02"</f>
        <v>497.02</v>
      </c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 t="str">
        <f>"381.12"</f>
        <v>381.12</v>
      </c>
      <c r="X201" s="12"/>
      <c r="Y201" s="12"/>
      <c r="Z201" s="12"/>
      <c r="AA201" s="12"/>
      <c r="AB201" s="12"/>
      <c r="AC201" s="12"/>
      <c r="AD201" s="12"/>
      <c r="AE201" s="12"/>
      <c r="AF201" s="12" t="str">
        <f>"218.33"</f>
        <v>218.33</v>
      </c>
      <c r="AG201" s="12"/>
      <c r="AH201" s="12"/>
    </row>
    <row r="202" spans="1:34">
      <c r="A202" s="9">
        <v>200</v>
      </c>
      <c r="B202" s="9">
        <v>10738</v>
      </c>
      <c r="C202" s="9" t="s">
        <v>308</v>
      </c>
      <c r="D202" s="9" t="s">
        <v>71</v>
      </c>
      <c r="E202" s="10" t="str">
        <f>"302.68"</f>
        <v>302.68</v>
      </c>
      <c r="F202" s="11"/>
      <c r="G202" s="11">
        <v>2017</v>
      </c>
      <c r="H202" s="12" t="str">
        <f>"491.54"</f>
        <v>491.54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 t="str">
        <f>"454.41"</f>
        <v>454.41</v>
      </c>
      <c r="V202" s="12"/>
      <c r="W202" s="12" t="str">
        <f>"377.01"</f>
        <v>377.01</v>
      </c>
      <c r="X202" s="12" t="str">
        <f>"353.74"</f>
        <v>353.74</v>
      </c>
      <c r="Y202" s="12" t="str">
        <f>"315.75"</f>
        <v>315.75</v>
      </c>
      <c r="Z202" s="12"/>
      <c r="AA202" s="12"/>
      <c r="AB202" s="12"/>
      <c r="AC202" s="12"/>
      <c r="AD202" s="12" t="str">
        <f>"336.57"</f>
        <v>336.57</v>
      </c>
      <c r="AE202" s="12"/>
      <c r="AF202" s="12" t="str">
        <f>"289.61"</f>
        <v>289.61</v>
      </c>
      <c r="AG202" s="12"/>
      <c r="AH202" s="12"/>
    </row>
    <row r="203" spans="1:34">
      <c r="A203" s="9">
        <v>201</v>
      </c>
      <c r="B203" s="9">
        <v>8172</v>
      </c>
      <c r="C203" s="9" t="s">
        <v>309</v>
      </c>
      <c r="D203" s="9" t="s">
        <v>310</v>
      </c>
      <c r="E203" s="10" t="str">
        <f>"303.24"</f>
        <v>303.24</v>
      </c>
      <c r="F203" s="11" t="s">
        <v>40</v>
      </c>
      <c r="G203" s="11">
        <v>2017</v>
      </c>
      <c r="H203" s="12" t="str">
        <f>"263.24"</f>
        <v>263.24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>
      <c r="A204" s="9">
        <v>202</v>
      </c>
      <c r="B204" s="9">
        <v>4499</v>
      </c>
      <c r="C204" s="9" t="s">
        <v>311</v>
      </c>
      <c r="D204" s="9" t="s">
        <v>64</v>
      </c>
      <c r="E204" s="10" t="str">
        <f>"303.85"</f>
        <v>303.85</v>
      </c>
      <c r="F204" s="11" t="s">
        <v>40</v>
      </c>
      <c r="G204" s="11">
        <v>2017</v>
      </c>
      <c r="H204" s="12" t="str">
        <f>"263.85"</f>
        <v>263.85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>
      <c r="A205" s="9">
        <v>203</v>
      </c>
      <c r="B205" s="9">
        <v>10366</v>
      </c>
      <c r="C205" s="9" t="s">
        <v>312</v>
      </c>
      <c r="D205" s="9" t="s">
        <v>223</v>
      </c>
      <c r="E205" s="10" t="str">
        <f>"304.45"</f>
        <v>304.45</v>
      </c>
      <c r="F205" s="11"/>
      <c r="G205" s="11">
        <v>2017</v>
      </c>
      <c r="H205" s="12" t="str">
        <f>"403.28"</f>
        <v>403.28</v>
      </c>
      <c r="I205" s="12"/>
      <c r="J205" s="12"/>
      <c r="K205" s="12"/>
      <c r="L205" s="12"/>
      <c r="M205" s="12"/>
      <c r="N205" s="12"/>
      <c r="O205" s="12"/>
      <c r="P205" s="12"/>
      <c r="Q205" s="12" t="str">
        <f>"342.26"</f>
        <v>342.26</v>
      </c>
      <c r="R205" s="12"/>
      <c r="S205" s="12" t="str">
        <f>"266.63"</f>
        <v>266.63</v>
      </c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>
      <c r="A206" s="9">
        <v>204</v>
      </c>
      <c r="B206" s="9">
        <v>6064</v>
      </c>
      <c r="C206" s="9" t="s">
        <v>313</v>
      </c>
      <c r="D206" s="9" t="s">
        <v>314</v>
      </c>
      <c r="E206" s="10" t="str">
        <f>"305.09"</f>
        <v>305.09</v>
      </c>
      <c r="F206" s="11"/>
      <c r="G206" s="11">
        <v>2017</v>
      </c>
      <c r="H206" s="12" t="str">
        <f>"293.44"</f>
        <v>293.44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 t="str">
        <f>"330.52"</f>
        <v>330.52</v>
      </c>
      <c r="Y206" s="12"/>
      <c r="Z206" s="12"/>
      <c r="AA206" s="12"/>
      <c r="AB206" s="12"/>
      <c r="AC206" s="12"/>
      <c r="AD206" s="12" t="str">
        <f>"279.65"</f>
        <v>279.65</v>
      </c>
      <c r="AE206" s="12"/>
      <c r="AF206" s="12"/>
      <c r="AG206" s="12"/>
      <c r="AH206" s="12"/>
    </row>
    <row r="207" spans="1:34">
      <c r="A207" s="9">
        <v>205</v>
      </c>
      <c r="B207" s="9">
        <v>3302</v>
      </c>
      <c r="C207" s="9" t="s">
        <v>315</v>
      </c>
      <c r="D207" s="9" t="s">
        <v>156</v>
      </c>
      <c r="E207" s="10" t="str">
        <f>"305.92"</f>
        <v>305.92</v>
      </c>
      <c r="F207" s="11" t="s">
        <v>40</v>
      </c>
      <c r="G207" s="11">
        <v>2017</v>
      </c>
      <c r="H207" s="12" t="str">
        <f>"265.92"</f>
        <v>265.92</v>
      </c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>
      <c r="A208" s="9">
        <v>206</v>
      </c>
      <c r="B208" s="9">
        <v>10959</v>
      </c>
      <c r="C208" s="9" t="s">
        <v>316</v>
      </c>
      <c r="D208" s="9" t="s">
        <v>71</v>
      </c>
      <c r="E208" s="10" t="str">
        <f>"307.94"</f>
        <v>307.94</v>
      </c>
      <c r="F208" s="11"/>
      <c r="G208" s="11">
        <v>2017</v>
      </c>
      <c r="H208" s="12" t="str">
        <f>"689.51"</f>
        <v>689.51</v>
      </c>
      <c r="I208" s="12"/>
      <c r="J208" s="12"/>
      <c r="K208" s="12"/>
      <c r="L208" s="12"/>
      <c r="M208" s="12"/>
      <c r="N208" s="12"/>
      <c r="O208" s="12" t="str">
        <f>"339.90"</f>
        <v>339.90</v>
      </c>
      <c r="P208" s="12"/>
      <c r="Q208" s="12"/>
      <c r="R208" s="12"/>
      <c r="S208" s="12"/>
      <c r="T208" s="12"/>
      <c r="U208" s="12"/>
      <c r="V208" s="12"/>
      <c r="W208" s="12" t="str">
        <f>"368.97"</f>
        <v>368.97</v>
      </c>
      <c r="X208" s="12"/>
      <c r="Y208" s="12"/>
      <c r="Z208" s="12"/>
      <c r="AA208" s="12"/>
      <c r="AB208" s="12"/>
      <c r="AC208" s="12"/>
      <c r="AD208" s="12"/>
      <c r="AE208" s="12"/>
      <c r="AF208" s="12" t="str">
        <f>"275.97"</f>
        <v>275.97</v>
      </c>
      <c r="AG208" s="12"/>
      <c r="AH208" s="12"/>
    </row>
    <row r="209" spans="1:34">
      <c r="A209" s="9">
        <v>207</v>
      </c>
      <c r="B209" s="9">
        <v>10847</v>
      </c>
      <c r="C209" s="9" t="s">
        <v>317</v>
      </c>
      <c r="D209" s="9" t="s">
        <v>39</v>
      </c>
      <c r="E209" s="10" t="str">
        <f>"308.39"</f>
        <v>308.39</v>
      </c>
      <c r="F209" s="11"/>
      <c r="G209" s="11">
        <v>2017</v>
      </c>
      <c r="H209" s="12" t="str">
        <f>"354.77"</f>
        <v>354.77</v>
      </c>
      <c r="I209" s="12"/>
      <c r="J209" s="12"/>
      <c r="K209" s="12"/>
      <c r="L209" s="12"/>
      <c r="M209" s="12" t="str">
        <f>"406.02"</f>
        <v>406.02</v>
      </c>
      <c r="N209" s="12" t="str">
        <f>"425.87"</f>
        <v>425.87</v>
      </c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 t="str">
        <f>"307.11"</f>
        <v>307.11</v>
      </c>
      <c r="AA209" s="12" t="str">
        <f>"429.11"</f>
        <v>429.11</v>
      </c>
      <c r="AB209" s="12"/>
      <c r="AC209" s="12"/>
      <c r="AD209" s="12"/>
      <c r="AE209" s="12"/>
      <c r="AF209" s="12"/>
      <c r="AG209" s="12" t="str">
        <f>"324.27"</f>
        <v>324.27</v>
      </c>
      <c r="AH209" s="12" t="str">
        <f>"309.67"</f>
        <v>309.67</v>
      </c>
    </row>
    <row r="210" spans="1:34">
      <c r="A210" s="9">
        <v>208</v>
      </c>
      <c r="B210" s="9">
        <v>11070</v>
      </c>
      <c r="C210" s="9" t="s">
        <v>318</v>
      </c>
      <c r="D210" s="9" t="s">
        <v>48</v>
      </c>
      <c r="E210" s="10" t="str">
        <f>"309.89"</f>
        <v>309.89</v>
      </c>
      <c r="F210" s="11"/>
      <c r="G210" s="11">
        <v>2017</v>
      </c>
      <c r="H210" s="12" t="str">
        <f>"457.65"</f>
        <v>457.65</v>
      </c>
      <c r="I210" s="12"/>
      <c r="J210" s="12"/>
      <c r="K210" s="12"/>
      <c r="L210" s="12"/>
      <c r="M210" s="12"/>
      <c r="N210" s="12"/>
      <c r="O210" s="12"/>
      <c r="P210" s="12"/>
      <c r="Q210" s="12" t="str">
        <f>"370.21"</f>
        <v>370.21</v>
      </c>
      <c r="R210" s="12"/>
      <c r="S210" s="12" t="str">
        <f>"249.57"</f>
        <v>249.57</v>
      </c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>
      <c r="A211" s="9">
        <v>209</v>
      </c>
      <c r="B211" s="9">
        <v>6769</v>
      </c>
      <c r="C211" s="9" t="s">
        <v>319</v>
      </c>
      <c r="D211" s="9" t="s">
        <v>320</v>
      </c>
      <c r="E211" s="10" t="str">
        <f>"310.17"</f>
        <v>310.17</v>
      </c>
      <c r="F211" s="11" t="s">
        <v>40</v>
      </c>
      <c r="G211" s="11">
        <v>2017</v>
      </c>
      <c r="H211" s="12" t="str">
        <f>"270.17"</f>
        <v>270.17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>
      <c r="A212" s="9">
        <v>210</v>
      </c>
      <c r="B212" s="9">
        <v>3047</v>
      </c>
      <c r="C212" s="9" t="s">
        <v>321</v>
      </c>
      <c r="D212" s="9" t="s">
        <v>153</v>
      </c>
      <c r="E212" s="10" t="str">
        <f>"310.82"</f>
        <v>310.82</v>
      </c>
      <c r="F212" s="11"/>
      <c r="G212" s="11">
        <v>2017</v>
      </c>
      <c r="H212" s="12" t="str">
        <f>"331.63"</f>
        <v>331.63</v>
      </c>
      <c r="I212" s="12"/>
      <c r="J212" s="12" t="str">
        <f>"365.05"</f>
        <v>365.05</v>
      </c>
      <c r="K212" s="12"/>
      <c r="L212" s="12"/>
      <c r="M212" s="12"/>
      <c r="N212" s="12"/>
      <c r="O212" s="12" t="str">
        <f>"311.83"</f>
        <v>311.83</v>
      </c>
      <c r="P212" s="12"/>
      <c r="Q212" s="12"/>
      <c r="R212" s="12"/>
      <c r="S212" s="12"/>
      <c r="T212" s="12"/>
      <c r="U212" s="12"/>
      <c r="V212" s="12" t="str">
        <f>"330.60"</f>
        <v>330.60</v>
      </c>
      <c r="W212" s="12"/>
      <c r="X212" s="12" t="str">
        <f>"332.52"</f>
        <v>332.52</v>
      </c>
      <c r="Y212" s="12" t="str">
        <f>"334.76"</f>
        <v>334.76</v>
      </c>
      <c r="Z212" s="12"/>
      <c r="AA212" s="12"/>
      <c r="AB212" s="12"/>
      <c r="AC212" s="12"/>
      <c r="AD212" s="12" t="str">
        <f>"309.81"</f>
        <v>309.81</v>
      </c>
      <c r="AE212" s="12"/>
      <c r="AF212" s="12" t="str">
        <f>"376.14"</f>
        <v>376.14</v>
      </c>
      <c r="AG212" s="12"/>
      <c r="AH212" s="12"/>
    </row>
    <row r="213" spans="1:34">
      <c r="A213" s="9">
        <v>211</v>
      </c>
      <c r="B213" s="9">
        <v>10668</v>
      </c>
      <c r="C213" s="9" t="s">
        <v>322</v>
      </c>
      <c r="D213" s="9" t="s">
        <v>323</v>
      </c>
      <c r="E213" s="10" t="str">
        <f>"310.88"</f>
        <v>310.88</v>
      </c>
      <c r="F213" s="11" t="s">
        <v>40</v>
      </c>
      <c r="G213" s="11">
        <v>2017</v>
      </c>
      <c r="H213" s="12" t="str">
        <f>"270.88"</f>
        <v>270.88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>
      <c r="A214" s="9">
        <v>212</v>
      </c>
      <c r="B214" s="9">
        <v>8344</v>
      </c>
      <c r="C214" s="9" t="s">
        <v>324</v>
      </c>
      <c r="D214" s="9" t="s">
        <v>71</v>
      </c>
      <c r="E214" s="10" t="str">
        <f>"310.92"</f>
        <v>310.92</v>
      </c>
      <c r="F214" s="11" t="s">
        <v>40</v>
      </c>
      <c r="G214" s="11">
        <v>2017</v>
      </c>
      <c r="H214" s="12" t="str">
        <f>"270.92"</f>
        <v>270.92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>
      <c r="A215" s="9">
        <v>213</v>
      </c>
      <c r="B215" s="9">
        <v>2201</v>
      </c>
      <c r="C215" s="9" t="s">
        <v>325</v>
      </c>
      <c r="D215" s="9" t="s">
        <v>39</v>
      </c>
      <c r="E215" s="10" t="str">
        <f>"313.54"</f>
        <v>313.54</v>
      </c>
      <c r="F215" s="11" t="s">
        <v>40</v>
      </c>
      <c r="G215" s="11">
        <v>2017</v>
      </c>
      <c r="H215" s="12" t="str">
        <f>"273.54"</f>
        <v>273.54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>
      <c r="A216" s="9">
        <v>214</v>
      </c>
      <c r="B216" s="9">
        <v>10972</v>
      </c>
      <c r="C216" s="9" t="s">
        <v>326</v>
      </c>
      <c r="D216" s="9" t="s">
        <v>53</v>
      </c>
      <c r="E216" s="10" t="str">
        <f>"314.01"</f>
        <v>314.01</v>
      </c>
      <c r="F216" s="11"/>
      <c r="G216" s="11">
        <v>2017</v>
      </c>
      <c r="H216" s="12" t="str">
        <f>"506.59"</f>
        <v>506.59</v>
      </c>
      <c r="I216" s="12"/>
      <c r="J216" s="12"/>
      <c r="K216" s="12"/>
      <c r="L216" s="12"/>
      <c r="M216" s="12"/>
      <c r="N216" s="12"/>
      <c r="O216" s="12"/>
      <c r="P216" s="12"/>
      <c r="Q216" s="12" t="str">
        <f>"368.21"</f>
        <v>368.21</v>
      </c>
      <c r="R216" s="12"/>
      <c r="S216" s="12" t="str">
        <f>"259.81"</f>
        <v>259.81</v>
      </c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>
      <c r="A217" s="9">
        <v>215</v>
      </c>
      <c r="B217" s="9">
        <v>11075</v>
      </c>
      <c r="C217" s="9" t="s">
        <v>327</v>
      </c>
      <c r="D217" s="9" t="s">
        <v>179</v>
      </c>
      <c r="E217" s="10" t="str">
        <f>"314.07"</f>
        <v>314.07</v>
      </c>
      <c r="F217" s="11" t="s">
        <v>37</v>
      </c>
      <c r="G217" s="11">
        <v>2017</v>
      </c>
      <c r="H217" s="12" t="str">
        <f>"322.04"</f>
        <v>322.04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 t="str">
        <f>"274.07"</f>
        <v>274.07</v>
      </c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>
      <c r="A218" s="9">
        <v>216</v>
      </c>
      <c r="B218" s="9">
        <v>9985</v>
      </c>
      <c r="C218" s="9" t="s">
        <v>328</v>
      </c>
      <c r="D218" s="9" t="s">
        <v>48</v>
      </c>
      <c r="E218" s="10" t="str">
        <f>"316.14"</f>
        <v>316.14</v>
      </c>
      <c r="F218" s="11"/>
      <c r="G218" s="11">
        <v>2017</v>
      </c>
      <c r="H218" s="12" t="str">
        <f>"327.00"</f>
        <v>327.00</v>
      </c>
      <c r="I218" s="12"/>
      <c r="J218" s="12"/>
      <c r="K218" s="12"/>
      <c r="L218" s="12"/>
      <c r="M218" s="12"/>
      <c r="N218" s="12"/>
      <c r="O218" s="12"/>
      <c r="P218" s="12"/>
      <c r="Q218" s="12" t="str">
        <f>"295.17"</f>
        <v>295.17</v>
      </c>
      <c r="R218" s="12"/>
      <c r="S218" s="12"/>
      <c r="T218" s="12" t="str">
        <f>"337.11"</f>
        <v>337.11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>
      <c r="A219" s="9">
        <v>217</v>
      </c>
      <c r="B219" s="9">
        <v>10358</v>
      </c>
      <c r="C219" s="9" t="s">
        <v>329</v>
      </c>
      <c r="D219" s="9" t="s">
        <v>48</v>
      </c>
      <c r="E219" s="10" t="str">
        <f>"318.21"</f>
        <v>318.21</v>
      </c>
      <c r="F219" s="11"/>
      <c r="G219" s="11">
        <v>2017</v>
      </c>
      <c r="H219" s="12" t="str">
        <f>"441.69"</f>
        <v>441.69</v>
      </c>
      <c r="I219" s="12"/>
      <c r="J219" s="12"/>
      <c r="K219" s="12"/>
      <c r="L219" s="12"/>
      <c r="M219" s="12"/>
      <c r="N219" s="12"/>
      <c r="O219" s="12"/>
      <c r="P219" s="12"/>
      <c r="Q219" s="12" t="str">
        <f>"345.92"</f>
        <v>345.92</v>
      </c>
      <c r="R219" s="12"/>
      <c r="S219" s="12" t="str">
        <f>"290.50"</f>
        <v>290.50</v>
      </c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>
      <c r="A220" s="9">
        <v>218</v>
      </c>
      <c r="B220" s="9">
        <v>10873</v>
      </c>
      <c r="C220" s="9" t="s">
        <v>330</v>
      </c>
      <c r="D220" s="9" t="s">
        <v>39</v>
      </c>
      <c r="E220" s="10" t="str">
        <f>"321.48"</f>
        <v>321.48</v>
      </c>
      <c r="F220" s="11"/>
      <c r="G220" s="11">
        <v>2017</v>
      </c>
      <c r="H220" s="12"/>
      <c r="I220" s="12"/>
      <c r="J220" s="12"/>
      <c r="K220" s="12"/>
      <c r="L220" s="12"/>
      <c r="M220" s="12" t="str">
        <f>"415.37"</f>
        <v>415.37</v>
      </c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 t="str">
        <f>"328.32"</f>
        <v>328.32</v>
      </c>
      <c r="AA220" s="12" t="str">
        <f>"411.46"</f>
        <v>411.46</v>
      </c>
      <c r="AB220" s="12"/>
      <c r="AC220" s="12"/>
      <c r="AD220" s="12"/>
      <c r="AE220" s="12"/>
      <c r="AF220" s="12" t="str">
        <f>"358.39"</f>
        <v>358.39</v>
      </c>
      <c r="AG220" s="12" t="str">
        <f>"314.63"</f>
        <v>314.63</v>
      </c>
      <c r="AH220" s="12" t="str">
        <f>"370.79"</f>
        <v>370.79</v>
      </c>
    </row>
    <row r="221" spans="1:34">
      <c r="A221" s="9">
        <v>219</v>
      </c>
      <c r="B221" s="9">
        <v>5703</v>
      </c>
      <c r="C221" s="9" t="s">
        <v>331</v>
      </c>
      <c r="D221" s="9" t="s">
        <v>51</v>
      </c>
      <c r="E221" s="10" t="str">
        <f>"322.07"</f>
        <v>322.07</v>
      </c>
      <c r="F221" s="11" t="s">
        <v>40</v>
      </c>
      <c r="G221" s="11">
        <v>2017</v>
      </c>
      <c r="H221" s="12" t="str">
        <f>"282.07"</f>
        <v>282.07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>
      <c r="A222" s="9">
        <v>220</v>
      </c>
      <c r="B222" s="9">
        <v>6372</v>
      </c>
      <c r="C222" s="9" t="s">
        <v>332</v>
      </c>
      <c r="D222" s="9" t="s">
        <v>129</v>
      </c>
      <c r="E222" s="10" t="str">
        <f>"324.63"</f>
        <v>324.63</v>
      </c>
      <c r="F222" s="11" t="s">
        <v>40</v>
      </c>
      <c r="G222" s="11">
        <v>2017</v>
      </c>
      <c r="H222" s="12" t="str">
        <f>"284.63"</f>
        <v>284.63</v>
      </c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>
      <c r="A223" s="9">
        <v>221</v>
      </c>
      <c r="B223" s="9">
        <v>10330</v>
      </c>
      <c r="C223" s="9" t="s">
        <v>333</v>
      </c>
      <c r="D223" s="9" t="s">
        <v>231</v>
      </c>
      <c r="E223" s="10" t="str">
        <f>"325.38"</f>
        <v>325.38</v>
      </c>
      <c r="F223" s="11" t="s">
        <v>40</v>
      </c>
      <c r="G223" s="11">
        <v>2017</v>
      </c>
      <c r="H223" s="12" t="str">
        <f>"285.38"</f>
        <v>285.38</v>
      </c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>
      <c r="A224" s="9">
        <v>222</v>
      </c>
      <c r="B224" s="9">
        <v>9813</v>
      </c>
      <c r="C224" s="9" t="s">
        <v>334</v>
      </c>
      <c r="D224" s="9" t="s">
        <v>335</v>
      </c>
      <c r="E224" s="10" t="str">
        <f>"326.45"</f>
        <v>326.45</v>
      </c>
      <c r="F224" s="11" t="s">
        <v>40</v>
      </c>
      <c r="G224" s="11">
        <v>2017</v>
      </c>
      <c r="H224" s="12" t="str">
        <f>"286.45"</f>
        <v>286.45</v>
      </c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>
      <c r="A225" s="9">
        <v>223</v>
      </c>
      <c r="B225" s="9">
        <v>10848</v>
      </c>
      <c r="C225" s="9" t="s">
        <v>336</v>
      </c>
      <c r="D225" s="9" t="s">
        <v>39</v>
      </c>
      <c r="E225" s="10" t="str">
        <f>"327.50"</f>
        <v>327.50</v>
      </c>
      <c r="F225" s="11"/>
      <c r="G225" s="11">
        <v>2017</v>
      </c>
      <c r="H225" s="12" t="str">
        <f>"431.01"</f>
        <v>431.01</v>
      </c>
      <c r="I225" s="12" t="str">
        <f>"382.91"</f>
        <v>382.91</v>
      </c>
      <c r="J225" s="12" t="str">
        <f>"522.79"</f>
        <v>522.79</v>
      </c>
      <c r="K225" s="12"/>
      <c r="L225" s="12"/>
      <c r="M225" s="12" t="str">
        <f>"442.51"</f>
        <v>442.51</v>
      </c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 t="str">
        <f>"324.08"</f>
        <v>324.08</v>
      </c>
      <c r="AA225" s="12"/>
      <c r="AB225" s="12"/>
      <c r="AC225" s="12"/>
      <c r="AD225" s="12"/>
      <c r="AE225" s="12"/>
      <c r="AF225" s="12"/>
      <c r="AG225" s="12" t="str">
        <f>"330.91"</f>
        <v>330.91</v>
      </c>
      <c r="AH225" s="12"/>
    </row>
    <row r="226" spans="1:34">
      <c r="A226" s="9">
        <v>224</v>
      </c>
      <c r="B226" s="9">
        <v>10741</v>
      </c>
      <c r="C226" s="9" t="s">
        <v>337</v>
      </c>
      <c r="D226" s="9" t="s">
        <v>71</v>
      </c>
      <c r="E226" s="10" t="str">
        <f>"328.83"</f>
        <v>328.83</v>
      </c>
      <c r="F226" s="11"/>
      <c r="G226" s="11">
        <v>2017</v>
      </c>
      <c r="H226" s="12" t="str">
        <f>"372.38"</f>
        <v>372.38</v>
      </c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 t="str">
        <f>"387.28"</f>
        <v>387.28</v>
      </c>
      <c r="X226" s="12" t="str">
        <f>"329.31"</f>
        <v>329.31</v>
      </c>
      <c r="Y226" s="12" t="str">
        <f>"333.31"</f>
        <v>333.31</v>
      </c>
      <c r="Z226" s="12"/>
      <c r="AA226" s="12"/>
      <c r="AB226" s="12"/>
      <c r="AC226" s="12"/>
      <c r="AD226" s="12" t="str">
        <f>"328.35"</f>
        <v>328.35</v>
      </c>
      <c r="AE226" s="12"/>
      <c r="AF226" s="12"/>
      <c r="AG226" s="12"/>
      <c r="AH226" s="12"/>
    </row>
    <row r="227" spans="1:34">
      <c r="A227" s="9">
        <v>225</v>
      </c>
      <c r="B227" s="9">
        <v>3118</v>
      </c>
      <c r="C227" s="9" t="s">
        <v>338</v>
      </c>
      <c r="D227" s="9" t="s">
        <v>339</v>
      </c>
      <c r="E227" s="10" t="str">
        <f>"329.30"</f>
        <v>329.30</v>
      </c>
      <c r="F227" s="11" t="s">
        <v>40</v>
      </c>
      <c r="G227" s="11">
        <v>2017</v>
      </c>
      <c r="H227" s="12" t="str">
        <f>"289.30"</f>
        <v>289.30</v>
      </c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>
      <c r="A228" s="9">
        <v>226</v>
      </c>
      <c r="B228" s="9">
        <v>11387</v>
      </c>
      <c r="C228" s="9" t="s">
        <v>340</v>
      </c>
      <c r="D228" s="9" t="s">
        <v>48</v>
      </c>
      <c r="E228" s="10" t="str">
        <f>"329.52"</f>
        <v>329.52</v>
      </c>
      <c r="F228" s="11" t="s">
        <v>37</v>
      </c>
      <c r="G228" s="11">
        <v>2017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 t="str">
        <f>"289.52"</f>
        <v>289.52</v>
      </c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>
      <c r="A229" s="9">
        <v>227</v>
      </c>
      <c r="B229" s="9">
        <v>10353</v>
      </c>
      <c r="C229" s="9" t="s">
        <v>341</v>
      </c>
      <c r="D229" s="9" t="s">
        <v>71</v>
      </c>
      <c r="E229" s="10" t="str">
        <f>"329.75"</f>
        <v>329.75</v>
      </c>
      <c r="F229" s="11" t="s">
        <v>37</v>
      </c>
      <c r="G229" s="11">
        <v>2017</v>
      </c>
      <c r="H229" s="12" t="str">
        <f>"347.81"</f>
        <v>347.81</v>
      </c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 t="str">
        <f>"289.75"</f>
        <v>289.75</v>
      </c>
      <c r="AG229" s="12"/>
      <c r="AH229" s="12"/>
    </row>
    <row r="230" spans="1:34">
      <c r="A230" s="9">
        <v>228</v>
      </c>
      <c r="B230" s="9">
        <v>3955</v>
      </c>
      <c r="C230" s="9" t="s">
        <v>342</v>
      </c>
      <c r="D230" s="9" t="s">
        <v>343</v>
      </c>
      <c r="E230" s="10" t="str">
        <f>"332.21"</f>
        <v>332.21</v>
      </c>
      <c r="F230" s="11"/>
      <c r="G230" s="11">
        <v>2017</v>
      </c>
      <c r="H230" s="12" t="str">
        <f>"333.67"</f>
        <v>333.67</v>
      </c>
      <c r="I230" s="12"/>
      <c r="J230" s="12"/>
      <c r="K230" s="12" t="str">
        <f>"319.50"</f>
        <v>319.50</v>
      </c>
      <c r="L230" s="12"/>
      <c r="M230" s="12"/>
      <c r="N230" s="12"/>
      <c r="O230" s="12"/>
      <c r="P230" s="12" t="str">
        <f>"402.46"</f>
        <v>402.46</v>
      </c>
      <c r="Q230" s="12"/>
      <c r="R230" s="12"/>
      <c r="S230" s="12"/>
      <c r="T230" s="12"/>
      <c r="U230" s="12"/>
      <c r="V230" s="12" t="str">
        <f>"344.91"</f>
        <v>344.91</v>
      </c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>
      <c r="A231" s="9">
        <v>229</v>
      </c>
      <c r="B231" s="9">
        <v>7580</v>
      </c>
      <c r="C231" s="9" t="s">
        <v>344</v>
      </c>
      <c r="D231" s="9" t="s">
        <v>111</v>
      </c>
      <c r="E231" s="10" t="str">
        <f>"334.85"</f>
        <v>334.85</v>
      </c>
      <c r="F231" s="11" t="s">
        <v>40</v>
      </c>
      <c r="G231" s="11">
        <v>2017</v>
      </c>
      <c r="H231" s="12" t="str">
        <f>"294.85"</f>
        <v>294.85</v>
      </c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>
      <c r="A232" s="9">
        <v>230</v>
      </c>
      <c r="B232" s="9">
        <v>10243</v>
      </c>
      <c r="C232" s="9" t="s">
        <v>345</v>
      </c>
      <c r="D232" s="9" t="s">
        <v>346</v>
      </c>
      <c r="E232" s="10" t="str">
        <f>"335.30"</f>
        <v>335.30</v>
      </c>
      <c r="F232" s="11" t="s">
        <v>40</v>
      </c>
      <c r="G232" s="11">
        <v>2017</v>
      </c>
      <c r="H232" s="12" t="str">
        <f>"295.30"</f>
        <v>295.30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>
      <c r="A233" s="9">
        <v>231</v>
      </c>
      <c r="B233" s="9">
        <v>2241</v>
      </c>
      <c r="C233" s="9" t="s">
        <v>347</v>
      </c>
      <c r="D233" s="9" t="s">
        <v>39</v>
      </c>
      <c r="E233" s="10" t="str">
        <f>"335.61"</f>
        <v>335.61</v>
      </c>
      <c r="F233" s="11"/>
      <c r="G233" s="11">
        <v>2017</v>
      </c>
      <c r="H233" s="12" t="str">
        <f>"247.35"</f>
        <v>247.35</v>
      </c>
      <c r="I233" s="12"/>
      <c r="J233" s="12"/>
      <c r="K233" s="12"/>
      <c r="L233" s="12"/>
      <c r="M233" s="12"/>
      <c r="N233" s="12" t="str">
        <f>"350.09"</f>
        <v>350.09</v>
      </c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 t="str">
        <f>"321.13"</f>
        <v>321.13</v>
      </c>
      <c r="AB233" s="12"/>
      <c r="AC233" s="12"/>
      <c r="AD233" s="12"/>
      <c r="AE233" s="12"/>
      <c r="AF233" s="12"/>
      <c r="AG233" s="12"/>
      <c r="AH233" s="12"/>
    </row>
    <row r="234" spans="1:34">
      <c r="A234" s="9">
        <v>232</v>
      </c>
      <c r="B234" s="9">
        <v>10658</v>
      </c>
      <c r="C234" s="9" t="s">
        <v>348</v>
      </c>
      <c r="D234" s="9" t="s">
        <v>53</v>
      </c>
      <c r="E234" s="10" t="str">
        <f>"335.67"</f>
        <v>335.67</v>
      </c>
      <c r="F234" s="11" t="s">
        <v>37</v>
      </c>
      <c r="G234" s="11">
        <v>2017</v>
      </c>
      <c r="H234" s="12" t="str">
        <f>"351.76"</f>
        <v>351.76</v>
      </c>
      <c r="I234" s="12"/>
      <c r="J234" s="12"/>
      <c r="K234" s="12"/>
      <c r="L234" s="12"/>
      <c r="M234" s="12"/>
      <c r="N234" s="12"/>
      <c r="O234" s="12"/>
      <c r="P234" s="12"/>
      <c r="Q234" s="12" t="str">
        <f>"295.67"</f>
        <v>295.67</v>
      </c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>
      <c r="A235" s="9">
        <v>233</v>
      </c>
      <c r="B235" s="9">
        <v>3826</v>
      </c>
      <c r="C235" s="9" t="s">
        <v>349</v>
      </c>
      <c r="D235" s="9" t="s">
        <v>181</v>
      </c>
      <c r="E235" s="10" t="str">
        <f>"341.99"</f>
        <v>341.99</v>
      </c>
      <c r="F235" s="11" t="s">
        <v>37</v>
      </c>
      <c r="G235" s="11">
        <v>2017</v>
      </c>
      <c r="H235" s="12" t="str">
        <f>"308.74"</f>
        <v>308.74</v>
      </c>
      <c r="I235" s="12"/>
      <c r="J235" s="12"/>
      <c r="K235" s="12" t="str">
        <f>"301.99"</f>
        <v>301.99</v>
      </c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>
      <c r="A236" s="9">
        <v>234</v>
      </c>
      <c r="B236" s="9">
        <v>3434</v>
      </c>
      <c r="C236" s="9" t="s">
        <v>350</v>
      </c>
      <c r="D236" s="9" t="s">
        <v>36</v>
      </c>
      <c r="E236" s="10" t="str">
        <f>"342.30"</f>
        <v>342.30</v>
      </c>
      <c r="F236" s="11" t="s">
        <v>40</v>
      </c>
      <c r="G236" s="11">
        <v>2017</v>
      </c>
      <c r="H236" s="12" t="str">
        <f>"302.30"</f>
        <v>302.30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>
      <c r="A237" s="9">
        <v>235</v>
      </c>
      <c r="B237" s="9">
        <v>11104</v>
      </c>
      <c r="C237" s="9" t="s">
        <v>351</v>
      </c>
      <c r="D237" s="9" t="s">
        <v>48</v>
      </c>
      <c r="E237" s="10" t="str">
        <f>"342.56"</f>
        <v>342.56</v>
      </c>
      <c r="F237" s="11" t="s">
        <v>37</v>
      </c>
      <c r="G237" s="11">
        <v>2017</v>
      </c>
      <c r="H237" s="12" t="str">
        <f>"334.59"</f>
        <v>334.59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 t="str">
        <f>"302.56"</f>
        <v>302.56</v>
      </c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>
      <c r="A238" s="9">
        <v>236</v>
      </c>
      <c r="B238" s="9">
        <v>10968</v>
      </c>
      <c r="C238" s="9" t="s">
        <v>352</v>
      </c>
      <c r="D238" s="9" t="s">
        <v>53</v>
      </c>
      <c r="E238" s="10" t="str">
        <f>"345.37"</f>
        <v>345.37</v>
      </c>
      <c r="F238" s="11" t="s">
        <v>40</v>
      </c>
      <c r="G238" s="11">
        <v>2017</v>
      </c>
      <c r="H238" s="12" t="str">
        <f>"305.37"</f>
        <v>305.37</v>
      </c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>
      <c r="A239" s="9">
        <v>237</v>
      </c>
      <c r="B239" s="9">
        <v>11385</v>
      </c>
      <c r="C239" s="9" t="s">
        <v>353</v>
      </c>
      <c r="D239" s="9" t="s">
        <v>48</v>
      </c>
      <c r="E239" s="10" t="str">
        <f>"346.33"</f>
        <v>346.33</v>
      </c>
      <c r="F239" s="11" t="s">
        <v>37</v>
      </c>
      <c r="G239" s="11">
        <v>2017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 t="str">
        <f>"306.33"</f>
        <v>306.33</v>
      </c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>
      <c r="A240" s="9">
        <v>238</v>
      </c>
      <c r="B240" s="9">
        <v>1378</v>
      </c>
      <c r="C240" s="9" t="s">
        <v>354</v>
      </c>
      <c r="D240" s="9" t="s">
        <v>181</v>
      </c>
      <c r="E240" s="10" t="str">
        <f>"346.38"</f>
        <v>346.38</v>
      </c>
      <c r="F240" s="11" t="s">
        <v>40</v>
      </c>
      <c r="G240" s="11">
        <v>2017</v>
      </c>
      <c r="H240" s="12" t="str">
        <f>"306.38"</f>
        <v>306.38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>
      <c r="A241" s="9">
        <v>239</v>
      </c>
      <c r="B241" s="9">
        <v>11088</v>
      </c>
      <c r="C241" s="9" t="s">
        <v>355</v>
      </c>
      <c r="D241" s="9" t="s">
        <v>71</v>
      </c>
      <c r="E241" s="10" t="str">
        <f>"346.54"</f>
        <v>346.54</v>
      </c>
      <c r="F241" s="11"/>
      <c r="G241" s="11">
        <v>2017</v>
      </c>
      <c r="H241" s="12" t="str">
        <f>"444.24"</f>
        <v>444.24</v>
      </c>
      <c r="I241" s="12"/>
      <c r="J241" s="12"/>
      <c r="K241" s="12"/>
      <c r="L241" s="12"/>
      <c r="M241" s="12"/>
      <c r="N241" s="12"/>
      <c r="O241" s="12"/>
      <c r="P241" s="12"/>
      <c r="Q241" s="12"/>
      <c r="R241" s="12" t="str">
        <f>"389.51"</f>
        <v>389.51</v>
      </c>
      <c r="S241" s="12"/>
      <c r="T241" s="12"/>
      <c r="U241" s="12"/>
      <c r="V241" s="12"/>
      <c r="W241" s="12" t="str">
        <f>"376.63"</f>
        <v>376.63</v>
      </c>
      <c r="X241" s="12"/>
      <c r="Y241" s="12"/>
      <c r="Z241" s="12"/>
      <c r="AA241" s="12"/>
      <c r="AB241" s="12"/>
      <c r="AC241" s="12"/>
      <c r="AD241" s="12"/>
      <c r="AE241" s="12"/>
      <c r="AF241" s="12" t="str">
        <f>"316.45"</f>
        <v>316.45</v>
      </c>
      <c r="AG241" s="12"/>
      <c r="AH241" s="12"/>
    </row>
    <row r="242" spans="1:34">
      <c r="A242" s="9">
        <v>240</v>
      </c>
      <c r="B242" s="9">
        <v>11367</v>
      </c>
      <c r="C242" s="9" t="s">
        <v>356</v>
      </c>
      <c r="D242" s="9" t="s">
        <v>357</v>
      </c>
      <c r="E242" s="10" t="str">
        <f>"346.93"</f>
        <v>346.93</v>
      </c>
      <c r="F242" s="11" t="s">
        <v>37</v>
      </c>
      <c r="G242" s="11">
        <v>2017</v>
      </c>
      <c r="H242" s="12"/>
      <c r="I242" s="12"/>
      <c r="J242" s="12"/>
      <c r="K242" s="12"/>
      <c r="L242" s="12"/>
      <c r="M242" s="12"/>
      <c r="N242" s="12"/>
      <c r="O242" s="12"/>
      <c r="P242" s="12" t="str">
        <f>"306.93"</f>
        <v>306.93</v>
      </c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>
      <c r="A243" s="9">
        <v>241</v>
      </c>
      <c r="B243" s="9">
        <v>8898</v>
      </c>
      <c r="C243" s="9" t="s">
        <v>358</v>
      </c>
      <c r="D243" s="9" t="s">
        <v>127</v>
      </c>
      <c r="E243" s="10" t="str">
        <f>"347.71"</f>
        <v>347.71</v>
      </c>
      <c r="F243" s="11" t="s">
        <v>40</v>
      </c>
      <c r="G243" s="11">
        <v>2017</v>
      </c>
      <c r="H243" s="12" t="str">
        <f>"307.71"</f>
        <v>307.71</v>
      </c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>
      <c r="A244" s="9">
        <v>242</v>
      </c>
      <c r="B244" s="9">
        <v>10767</v>
      </c>
      <c r="C244" s="9" t="s">
        <v>359</v>
      </c>
      <c r="D244" s="9" t="s">
        <v>71</v>
      </c>
      <c r="E244" s="10" t="str">
        <f>"348.06"</f>
        <v>348.06</v>
      </c>
      <c r="F244" s="11" t="s">
        <v>37</v>
      </c>
      <c r="G244" s="11">
        <v>2017</v>
      </c>
      <c r="H244" s="12" t="str">
        <f>"425.99"</f>
        <v>425.99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 t="str">
        <f>"308.06"</f>
        <v>308.06</v>
      </c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>
      <c r="A245" s="9">
        <v>243</v>
      </c>
      <c r="B245" s="9">
        <v>10374</v>
      </c>
      <c r="C245" s="9" t="s">
        <v>360</v>
      </c>
      <c r="D245" s="9" t="s">
        <v>226</v>
      </c>
      <c r="E245" s="10" t="str">
        <f>"349.08"</f>
        <v>349.08</v>
      </c>
      <c r="F245" s="11" t="s">
        <v>40</v>
      </c>
      <c r="G245" s="11">
        <v>2017</v>
      </c>
      <c r="H245" s="12" t="str">
        <f>"309.08"</f>
        <v>309.08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>
      <c r="A246" s="9">
        <v>244</v>
      </c>
      <c r="B246" s="9">
        <v>7029</v>
      </c>
      <c r="C246" s="9" t="s">
        <v>361</v>
      </c>
      <c r="D246" s="9" t="s">
        <v>362</v>
      </c>
      <c r="E246" s="10" t="str">
        <f>"352.75"</f>
        <v>352.75</v>
      </c>
      <c r="F246" s="11" t="s">
        <v>40</v>
      </c>
      <c r="G246" s="11">
        <v>2017</v>
      </c>
      <c r="H246" s="12" t="str">
        <f>"312.75"</f>
        <v>312.75</v>
      </c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>
      <c r="A247" s="9">
        <v>245</v>
      </c>
      <c r="B247" s="9">
        <v>8355</v>
      </c>
      <c r="C247" s="9" t="s">
        <v>363</v>
      </c>
      <c r="D247" s="9" t="s">
        <v>364</v>
      </c>
      <c r="E247" s="10" t="str">
        <f>"357.47"</f>
        <v>357.47</v>
      </c>
      <c r="F247" s="11" t="s">
        <v>37</v>
      </c>
      <c r="G247" s="11">
        <v>2017</v>
      </c>
      <c r="H247" s="12" t="str">
        <f>"345.67"</f>
        <v>345.67</v>
      </c>
      <c r="I247" s="12"/>
      <c r="J247" s="12"/>
      <c r="K247" s="12"/>
      <c r="L247" s="12"/>
      <c r="M247" s="12"/>
      <c r="N247" s="12"/>
      <c r="O247" s="12"/>
      <c r="P247" s="12"/>
      <c r="Q247" s="12" t="str">
        <f>"317.47"</f>
        <v>317.47</v>
      </c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>
      <c r="A248" s="9">
        <v>246</v>
      </c>
      <c r="B248" s="9">
        <v>11374</v>
      </c>
      <c r="C248" s="9" t="s">
        <v>365</v>
      </c>
      <c r="D248" s="9" t="s">
        <v>185</v>
      </c>
      <c r="E248" s="10" t="str">
        <f>"358.01"</f>
        <v>358.01</v>
      </c>
      <c r="F248" s="11"/>
      <c r="G248" s="11">
        <v>2017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 t="str">
        <f>"355.75"</f>
        <v>355.75</v>
      </c>
      <c r="Y248" s="12"/>
      <c r="Z248" s="12"/>
      <c r="AA248" s="12"/>
      <c r="AB248" s="12"/>
      <c r="AC248" s="12"/>
      <c r="AD248" s="12" t="str">
        <f>"360.27"</f>
        <v>360.27</v>
      </c>
      <c r="AE248" s="12"/>
      <c r="AF248" s="12"/>
      <c r="AG248" s="12"/>
      <c r="AH248" s="12"/>
    </row>
    <row r="249" spans="1:34">
      <c r="A249" s="9">
        <v>247</v>
      </c>
      <c r="B249" s="9">
        <v>10973</v>
      </c>
      <c r="C249" s="9" t="s">
        <v>366</v>
      </c>
      <c r="D249" s="9" t="s">
        <v>53</v>
      </c>
      <c r="E249" s="10" t="str">
        <f>"360.28"</f>
        <v>360.28</v>
      </c>
      <c r="F249" s="11" t="s">
        <v>40</v>
      </c>
      <c r="G249" s="11">
        <v>2017</v>
      </c>
      <c r="H249" s="12" t="str">
        <f>"320.28"</f>
        <v>320.28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>
      <c r="A250" s="9">
        <v>248</v>
      </c>
      <c r="B250" s="9">
        <v>11262</v>
      </c>
      <c r="C250" s="9" t="s">
        <v>367</v>
      </c>
      <c r="D250" s="9" t="s">
        <v>39</v>
      </c>
      <c r="E250" s="10" t="str">
        <f>"361.00"</f>
        <v>361.00</v>
      </c>
      <c r="F250" s="11"/>
      <c r="G250" s="11">
        <v>2017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 t="str">
        <f>"392.91"</f>
        <v>392.91</v>
      </c>
      <c r="AA250" s="12"/>
      <c r="AB250" s="12"/>
      <c r="AC250" s="12"/>
      <c r="AD250" s="12"/>
      <c r="AE250" s="12"/>
      <c r="AF250" s="12"/>
      <c r="AG250" s="12" t="str">
        <f>"329.08"</f>
        <v>329.08</v>
      </c>
      <c r="AH250" s="12"/>
    </row>
    <row r="251" spans="1:34">
      <c r="A251" s="9">
        <v>249</v>
      </c>
      <c r="B251" s="9">
        <v>11014</v>
      </c>
      <c r="C251" s="9" t="s">
        <v>368</v>
      </c>
      <c r="D251" s="9" t="s">
        <v>53</v>
      </c>
      <c r="E251" s="10" t="str">
        <f>"361.29"</f>
        <v>361.29</v>
      </c>
      <c r="F251" s="11" t="s">
        <v>37</v>
      </c>
      <c r="G251" s="11">
        <v>2017</v>
      </c>
      <c r="H251" s="12" t="str">
        <f>"441.65"</f>
        <v>441.65</v>
      </c>
      <c r="I251" s="12"/>
      <c r="J251" s="12"/>
      <c r="K251" s="12"/>
      <c r="L251" s="12"/>
      <c r="M251" s="12"/>
      <c r="N251" s="12"/>
      <c r="O251" s="12"/>
      <c r="P251" s="12"/>
      <c r="Q251" s="12" t="str">
        <f>"321.29"</f>
        <v>321.29</v>
      </c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>
      <c r="A252" s="9">
        <v>250</v>
      </c>
      <c r="B252" s="9">
        <v>8489</v>
      </c>
      <c r="C252" s="9" t="s">
        <v>369</v>
      </c>
      <c r="D252" s="9" t="s">
        <v>39</v>
      </c>
      <c r="E252" s="10" t="str">
        <f>"362.13"</f>
        <v>362.13</v>
      </c>
      <c r="F252" s="11"/>
      <c r="G252" s="11">
        <v>2017</v>
      </c>
      <c r="H252" s="12" t="str">
        <f>"312.87"</f>
        <v>312.87</v>
      </c>
      <c r="I252" s="12"/>
      <c r="J252" s="12"/>
      <c r="K252" s="12"/>
      <c r="L252" s="12"/>
      <c r="M252" s="12" t="str">
        <f>"343.59"</f>
        <v>343.59</v>
      </c>
      <c r="N252" s="12" t="str">
        <f>"380.67"</f>
        <v>380.67</v>
      </c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>
      <c r="A253" s="9">
        <v>251</v>
      </c>
      <c r="B253" s="9">
        <v>5403</v>
      </c>
      <c r="C253" s="9" t="s">
        <v>370</v>
      </c>
      <c r="D253" s="9" t="s">
        <v>71</v>
      </c>
      <c r="E253" s="10" t="str">
        <f>"363.38"</f>
        <v>363.38</v>
      </c>
      <c r="F253" s="11" t="s">
        <v>37</v>
      </c>
      <c r="G253" s="11">
        <v>2017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 t="str">
        <f>"323.38"</f>
        <v>323.38</v>
      </c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>
      <c r="A254" s="9">
        <v>252</v>
      </c>
      <c r="B254" s="9">
        <v>10429</v>
      </c>
      <c r="C254" s="9" t="s">
        <v>371</v>
      </c>
      <c r="D254" s="9" t="s">
        <v>71</v>
      </c>
      <c r="E254" s="10" t="str">
        <f>"365.06"</f>
        <v>365.06</v>
      </c>
      <c r="F254" s="11" t="s">
        <v>37</v>
      </c>
      <c r="G254" s="11">
        <v>2017</v>
      </c>
      <c r="H254" s="12" t="str">
        <f>"515.00"</f>
        <v>515.00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 t="str">
        <f>"325.06"</f>
        <v>325.06</v>
      </c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>
      <c r="A255" s="9">
        <v>253</v>
      </c>
      <c r="B255" s="9">
        <v>2187</v>
      </c>
      <c r="C255" s="9" t="s">
        <v>372</v>
      </c>
      <c r="D255" s="9" t="s">
        <v>179</v>
      </c>
      <c r="E255" s="10" t="str">
        <f>"365.07"</f>
        <v>365.07</v>
      </c>
      <c r="F255" s="11"/>
      <c r="G255" s="11">
        <v>2017</v>
      </c>
      <c r="H255" s="12"/>
      <c r="I255" s="12"/>
      <c r="J255" s="12"/>
      <c r="K255" s="12" t="str">
        <f>"356.65"</f>
        <v>356.65</v>
      </c>
      <c r="L255" s="12" t="str">
        <f>"373.48"</f>
        <v>373.48</v>
      </c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9">
        <v>254</v>
      </c>
      <c r="B256" s="9">
        <v>11203</v>
      </c>
      <c r="C256" s="9" t="s">
        <v>373</v>
      </c>
      <c r="D256" s="9" t="s">
        <v>71</v>
      </c>
      <c r="E256" s="10" t="str">
        <f>"366.93"</f>
        <v>366.93</v>
      </c>
      <c r="F256" s="11" t="s">
        <v>37</v>
      </c>
      <c r="G256" s="11">
        <v>2017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 t="str">
        <f>"326.93"</f>
        <v>326.93</v>
      </c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9">
        <v>255</v>
      </c>
      <c r="B257" s="9">
        <v>4380</v>
      </c>
      <c r="C257" s="9" t="s">
        <v>374</v>
      </c>
      <c r="D257" s="9" t="s">
        <v>159</v>
      </c>
      <c r="E257" s="10" t="str">
        <f>"370.29"</f>
        <v>370.29</v>
      </c>
      <c r="F257" s="11"/>
      <c r="G257" s="11">
        <v>2017</v>
      </c>
      <c r="H257" s="12" t="str">
        <f>"253.74"</f>
        <v>253.74</v>
      </c>
      <c r="I257" s="12"/>
      <c r="J257" s="12"/>
      <c r="K257" s="12"/>
      <c r="L257" s="12" t="str">
        <f>"368.47"</f>
        <v>368.47</v>
      </c>
      <c r="M257" s="12"/>
      <c r="N257" s="12"/>
      <c r="O257" s="12"/>
      <c r="P257" s="12"/>
      <c r="Q257" s="12"/>
      <c r="R257" s="12"/>
      <c r="S257" s="12"/>
      <c r="T257" s="12"/>
      <c r="U257" s="12"/>
      <c r="V257" s="12" t="str">
        <f>"372.10"</f>
        <v>372.10</v>
      </c>
      <c r="W257" s="12"/>
      <c r="X257" s="12"/>
      <c r="Y257" s="12"/>
      <c r="Z257" s="12"/>
      <c r="AA257" s="12"/>
      <c r="AB257" s="12"/>
      <c r="AC257" s="12" t="str">
        <f>"392.66"</f>
        <v>392.66</v>
      </c>
      <c r="AD257" s="12"/>
      <c r="AE257" s="12"/>
      <c r="AF257" s="12"/>
      <c r="AG257" s="12"/>
      <c r="AH257" s="12"/>
    </row>
    <row r="258" spans="1:34">
      <c r="A258" s="9">
        <v>256</v>
      </c>
      <c r="B258" s="9">
        <v>10676</v>
      </c>
      <c r="C258" s="9" t="s">
        <v>375</v>
      </c>
      <c r="D258" s="9" t="s">
        <v>376</v>
      </c>
      <c r="E258" s="10" t="str">
        <f>"370.82"</f>
        <v>370.82</v>
      </c>
      <c r="F258" s="11" t="s">
        <v>37</v>
      </c>
      <c r="G258" s="11">
        <v>2017</v>
      </c>
      <c r="H258" s="12" t="str">
        <f>"387.37"</f>
        <v>387.37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 t="str">
        <f>"330.82"</f>
        <v>330.82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>
      <c r="A259" s="9">
        <v>257</v>
      </c>
      <c r="B259" s="9">
        <v>479</v>
      </c>
      <c r="C259" s="9" t="s">
        <v>377</v>
      </c>
      <c r="D259" s="9" t="s">
        <v>187</v>
      </c>
      <c r="E259" s="10" t="str">
        <f>"372.27"</f>
        <v>372.27</v>
      </c>
      <c r="F259" s="11"/>
      <c r="G259" s="11">
        <v>2017</v>
      </c>
      <c r="H259" s="12" t="str">
        <f>"365.08"</f>
        <v>365.08</v>
      </c>
      <c r="I259" s="12"/>
      <c r="J259" s="12"/>
      <c r="K259" s="12"/>
      <c r="L259" s="12" t="str">
        <f>"441.26"</f>
        <v>441.26</v>
      </c>
      <c r="M259" s="12"/>
      <c r="N259" s="12"/>
      <c r="O259" s="12"/>
      <c r="P259" s="12" t="str">
        <f>"388.94"</f>
        <v>388.94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 t="str">
        <f>"355.60"</f>
        <v>355.60</v>
      </c>
      <c r="AG259" s="12"/>
      <c r="AH259" s="12"/>
    </row>
    <row r="260" spans="1:34">
      <c r="A260" s="9">
        <v>258</v>
      </c>
      <c r="B260" s="9">
        <v>11025</v>
      </c>
      <c r="C260" s="9" t="s">
        <v>378</v>
      </c>
      <c r="D260" s="9" t="s">
        <v>223</v>
      </c>
      <c r="E260" s="10" t="str">
        <f>"373.17"</f>
        <v>373.17</v>
      </c>
      <c r="F260" s="11"/>
      <c r="G260" s="11">
        <v>2017</v>
      </c>
      <c r="H260" s="12" t="str">
        <f>"664.72"</f>
        <v>664.72</v>
      </c>
      <c r="I260" s="12"/>
      <c r="J260" s="12"/>
      <c r="K260" s="12"/>
      <c r="L260" s="12"/>
      <c r="M260" s="12"/>
      <c r="N260" s="12"/>
      <c r="O260" s="12"/>
      <c r="P260" s="12"/>
      <c r="Q260" s="12" t="str">
        <f>"419.79"</f>
        <v>419.79</v>
      </c>
      <c r="R260" s="12"/>
      <c r="S260" s="12" t="str">
        <f>"326.55"</f>
        <v>326.55</v>
      </c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>
      <c r="A261" s="9">
        <v>259</v>
      </c>
      <c r="B261" s="9">
        <v>10480</v>
      </c>
      <c r="C261" s="9" t="s">
        <v>379</v>
      </c>
      <c r="D261" s="9" t="s">
        <v>71</v>
      </c>
      <c r="E261" s="10" t="str">
        <f>"375.34"</f>
        <v>375.34</v>
      </c>
      <c r="F261" s="11" t="s">
        <v>37</v>
      </c>
      <c r="G261" s="11">
        <v>2017</v>
      </c>
      <c r="H261" s="12" t="str">
        <f>"349.26"</f>
        <v>349.26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 t="str">
        <f>"335.34"</f>
        <v>335.34</v>
      </c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>
      <c r="A262" s="9">
        <v>260</v>
      </c>
      <c r="B262" s="9">
        <v>2261</v>
      </c>
      <c r="C262" s="9" t="s">
        <v>392</v>
      </c>
      <c r="D262" s="9" t="s">
        <v>393</v>
      </c>
      <c r="E262" s="10">
        <v>375.66</v>
      </c>
      <c r="F262" s="11" t="s">
        <v>489</v>
      </c>
      <c r="G262" s="11">
        <v>2017</v>
      </c>
      <c r="H262" s="12" t="str">
        <f>"355.66"</f>
        <v>355.66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>
      <c r="A263" s="9">
        <v>261</v>
      </c>
      <c r="B263" s="9">
        <v>10769</v>
      </c>
      <c r="C263" s="9" t="s">
        <v>380</v>
      </c>
      <c r="D263" s="9" t="s">
        <v>71</v>
      </c>
      <c r="E263" s="10" t="str">
        <f>"376.46"</f>
        <v>376.46</v>
      </c>
      <c r="F263" s="11" t="s">
        <v>37</v>
      </c>
      <c r="G263" s="11">
        <v>2017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 t="str">
        <f>"336.46"</f>
        <v>336.46</v>
      </c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>
      <c r="A264" s="9">
        <v>262</v>
      </c>
      <c r="B264" s="9">
        <v>8649</v>
      </c>
      <c r="C264" s="9" t="s">
        <v>381</v>
      </c>
      <c r="D264" s="9" t="s">
        <v>382</v>
      </c>
      <c r="E264" s="10" t="str">
        <f>"376.95"</f>
        <v>376.95</v>
      </c>
      <c r="F264" s="11" t="s">
        <v>40</v>
      </c>
      <c r="G264" s="11">
        <v>2017</v>
      </c>
      <c r="H264" s="12" t="str">
        <f>"336.95"</f>
        <v>336.95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>
      <c r="A265" s="9">
        <v>263</v>
      </c>
      <c r="B265" s="9">
        <v>11080</v>
      </c>
      <c r="C265" s="9" t="s">
        <v>383</v>
      </c>
      <c r="D265" s="9" t="s">
        <v>384</v>
      </c>
      <c r="E265" s="10" t="str">
        <f>"377.34"</f>
        <v>377.34</v>
      </c>
      <c r="F265" s="11" t="s">
        <v>40</v>
      </c>
      <c r="G265" s="11">
        <v>2017</v>
      </c>
      <c r="H265" s="12" t="str">
        <f>"337.34"</f>
        <v>337.34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>
      <c r="A266" s="9">
        <v>264</v>
      </c>
      <c r="B266" s="9">
        <v>11046</v>
      </c>
      <c r="C266" s="9" t="s">
        <v>385</v>
      </c>
      <c r="D266" s="9" t="s">
        <v>48</v>
      </c>
      <c r="E266" s="10" t="str">
        <f>"378.00"</f>
        <v>378.00</v>
      </c>
      <c r="F266" s="11" t="s">
        <v>37</v>
      </c>
      <c r="G266" s="11">
        <v>2017</v>
      </c>
      <c r="H266" s="12" t="str">
        <f>"539.40"</f>
        <v>539.40</v>
      </c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 t="str">
        <f>"338.00"</f>
        <v>338.00</v>
      </c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>
      <c r="A267" s="9">
        <v>265</v>
      </c>
      <c r="B267" s="9">
        <v>10768</v>
      </c>
      <c r="C267" s="9" t="s">
        <v>386</v>
      </c>
      <c r="D267" s="9" t="s">
        <v>71</v>
      </c>
      <c r="E267" s="10" t="str">
        <f>"380.36"</f>
        <v>380.36</v>
      </c>
      <c r="F267" s="11"/>
      <c r="G267" s="11">
        <v>2017</v>
      </c>
      <c r="H267" s="12" t="str">
        <f>"484.02"</f>
        <v>484.02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 t="str">
        <f>"424.62"</f>
        <v>424.62</v>
      </c>
      <c r="V267" s="12"/>
      <c r="W267" s="12" t="str">
        <f>"336.09"</f>
        <v>336.09</v>
      </c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>
      <c r="A268" s="9">
        <v>266</v>
      </c>
      <c r="B268" s="9">
        <v>7578</v>
      </c>
      <c r="C268" s="9" t="s">
        <v>387</v>
      </c>
      <c r="D268" s="9" t="s">
        <v>268</v>
      </c>
      <c r="E268" s="10" t="str">
        <f>"385.35"</f>
        <v>385.35</v>
      </c>
      <c r="F268" s="11" t="s">
        <v>40</v>
      </c>
      <c r="G268" s="11">
        <v>2017</v>
      </c>
      <c r="H268" s="12" t="str">
        <f>"345.35"</f>
        <v>345.35</v>
      </c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>
      <c r="A269" s="9">
        <v>267</v>
      </c>
      <c r="B269" s="9">
        <v>10712</v>
      </c>
      <c r="C269" s="9" t="s">
        <v>388</v>
      </c>
      <c r="D269" s="9" t="s">
        <v>48</v>
      </c>
      <c r="E269" s="10" t="str">
        <f>"385.49"</f>
        <v>385.49</v>
      </c>
      <c r="F269" s="11" t="s">
        <v>40</v>
      </c>
      <c r="G269" s="11">
        <v>2017</v>
      </c>
      <c r="H269" s="12" t="str">
        <f>"345.49"</f>
        <v>345.49</v>
      </c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>
      <c r="A270" s="9">
        <v>268</v>
      </c>
      <c r="B270" s="9">
        <v>11064</v>
      </c>
      <c r="C270" s="9" t="s">
        <v>389</v>
      </c>
      <c r="D270" s="9" t="s">
        <v>201</v>
      </c>
      <c r="E270" s="10" t="str">
        <f>"385.58"</f>
        <v>385.58</v>
      </c>
      <c r="F270" s="11"/>
      <c r="G270" s="11">
        <v>2017</v>
      </c>
      <c r="H270" s="12" t="str">
        <f>"521.08"</f>
        <v>521.08</v>
      </c>
      <c r="I270" s="12"/>
      <c r="J270" s="12"/>
      <c r="K270" s="12"/>
      <c r="L270" s="12"/>
      <c r="M270" s="12"/>
      <c r="N270" s="12"/>
      <c r="O270" s="12"/>
      <c r="P270" s="12"/>
      <c r="Q270" s="12" t="str">
        <f>"476.03"</f>
        <v>476.03</v>
      </c>
      <c r="R270" s="12"/>
      <c r="S270" s="12" t="str">
        <f>"295.13"</f>
        <v>295.13</v>
      </c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>
      <c r="A271" s="9">
        <v>269</v>
      </c>
      <c r="B271" s="9">
        <v>1385</v>
      </c>
      <c r="C271" s="9" t="s">
        <v>390</v>
      </c>
      <c r="D271" s="9" t="s">
        <v>181</v>
      </c>
      <c r="E271" s="10" t="str">
        <f>"389.64"</f>
        <v>389.64</v>
      </c>
      <c r="F271" s="11"/>
      <c r="G271" s="11">
        <v>2017</v>
      </c>
      <c r="H271" s="12" t="str">
        <f>"338.78"</f>
        <v>338.78</v>
      </c>
      <c r="I271" s="12"/>
      <c r="J271" s="12"/>
      <c r="K271" s="12" t="str">
        <f>"441.15"</f>
        <v>441.15</v>
      </c>
      <c r="L271" s="12" t="str">
        <f>"381.59"</f>
        <v>381.59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 t="str">
        <f>"397.69"</f>
        <v>397.69</v>
      </c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>
      <c r="A272" s="9">
        <v>270</v>
      </c>
      <c r="B272" s="9">
        <v>10637</v>
      </c>
      <c r="C272" s="9" t="s">
        <v>391</v>
      </c>
      <c r="D272" s="9" t="s">
        <v>39</v>
      </c>
      <c r="E272" s="10" t="str">
        <f>"392.43"</f>
        <v>392.43</v>
      </c>
      <c r="F272" s="11"/>
      <c r="G272" s="11">
        <v>2017</v>
      </c>
      <c r="H272" s="12" t="str">
        <f>"665.33"</f>
        <v>665.33</v>
      </c>
      <c r="I272" s="12"/>
      <c r="J272" s="12"/>
      <c r="K272" s="12"/>
      <c r="L272" s="12"/>
      <c r="M272" s="12" t="str">
        <f>"406.02"</f>
        <v>406.02</v>
      </c>
      <c r="N272" s="12" t="str">
        <f>"491.96"</f>
        <v>491.96</v>
      </c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 t="str">
        <f>"378.83"</f>
        <v>378.83</v>
      </c>
      <c r="AA272" s="12" t="str">
        <f>"515.16"</f>
        <v>515.16</v>
      </c>
      <c r="AB272" s="12"/>
      <c r="AC272" s="12"/>
      <c r="AD272" s="12"/>
      <c r="AE272" s="12"/>
      <c r="AF272" s="12"/>
      <c r="AG272" s="12"/>
      <c r="AH272" s="12"/>
    </row>
    <row r="273" spans="1:34">
      <c r="A273" s="9">
        <v>271</v>
      </c>
      <c r="B273" s="9">
        <v>10697</v>
      </c>
      <c r="C273" s="9" t="s">
        <v>394</v>
      </c>
      <c r="D273" s="9" t="s">
        <v>71</v>
      </c>
      <c r="E273" s="10" t="str">
        <f>"398.69"</f>
        <v>398.69</v>
      </c>
      <c r="F273" s="11" t="s">
        <v>37</v>
      </c>
      <c r="G273" s="11">
        <v>2017</v>
      </c>
      <c r="H273" s="12" t="str">
        <f>"428.62"</f>
        <v>428.62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 t="str">
        <f>"358.69"</f>
        <v>358.69</v>
      </c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>
      <c r="A274" s="9">
        <v>272</v>
      </c>
      <c r="B274" s="9">
        <v>11094</v>
      </c>
      <c r="C274" s="9" t="s">
        <v>395</v>
      </c>
      <c r="D274" s="9" t="s">
        <v>201</v>
      </c>
      <c r="E274" s="10" t="str">
        <f>"404.67"</f>
        <v>404.67</v>
      </c>
      <c r="F274" s="11"/>
      <c r="G274" s="11">
        <v>2017</v>
      </c>
      <c r="H274" s="12" t="str">
        <f>"495.31"</f>
        <v>495.31</v>
      </c>
      <c r="I274" s="12"/>
      <c r="J274" s="12"/>
      <c r="K274" s="12"/>
      <c r="L274" s="12"/>
      <c r="M274" s="12"/>
      <c r="N274" s="12"/>
      <c r="O274" s="12"/>
      <c r="P274" s="12"/>
      <c r="Q274" s="12" t="str">
        <f>"429.44"</f>
        <v>429.44</v>
      </c>
      <c r="R274" s="12"/>
      <c r="S274" s="12" t="str">
        <f>"379.90"</f>
        <v>379.90</v>
      </c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>
      <c r="A275" s="9">
        <v>273</v>
      </c>
      <c r="B275" s="9">
        <v>10802</v>
      </c>
      <c r="C275" s="9" t="s">
        <v>396</v>
      </c>
      <c r="D275" s="9" t="s">
        <v>71</v>
      </c>
      <c r="E275" s="10" t="str">
        <f>"405.04"</f>
        <v>405.04</v>
      </c>
      <c r="F275" s="11" t="s">
        <v>40</v>
      </c>
      <c r="G275" s="11">
        <v>2017</v>
      </c>
      <c r="H275" s="12" t="str">
        <f>"365.04"</f>
        <v>365.04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>
      <c r="A276" s="9">
        <v>274</v>
      </c>
      <c r="B276" s="9">
        <v>7202</v>
      </c>
      <c r="C276" s="9" t="s">
        <v>397</v>
      </c>
      <c r="D276" s="9" t="s">
        <v>231</v>
      </c>
      <c r="E276" s="10" t="str">
        <f>"406.95"</f>
        <v>406.95</v>
      </c>
      <c r="F276" s="11" t="s">
        <v>40</v>
      </c>
      <c r="G276" s="11">
        <v>2017</v>
      </c>
      <c r="H276" s="12" t="str">
        <f>"366.95"</f>
        <v>366.95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>
      <c r="A277" s="9">
        <v>275</v>
      </c>
      <c r="B277" s="9">
        <v>10782</v>
      </c>
      <c r="C277" s="9" t="s">
        <v>398</v>
      </c>
      <c r="D277" s="9" t="s">
        <v>71</v>
      </c>
      <c r="E277" s="10" t="str">
        <f>"411.22"</f>
        <v>411.22</v>
      </c>
      <c r="F277" s="11"/>
      <c r="G277" s="11">
        <v>2017</v>
      </c>
      <c r="H277" s="12" t="str">
        <f>"783.35"</f>
        <v>783.35</v>
      </c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 t="str">
        <f>"504.81"</f>
        <v>504.81</v>
      </c>
      <c r="X277" s="12"/>
      <c r="Y277" s="12"/>
      <c r="Z277" s="12"/>
      <c r="AA277" s="12"/>
      <c r="AB277" s="12"/>
      <c r="AC277" s="12"/>
      <c r="AD277" s="12"/>
      <c r="AE277" s="12"/>
      <c r="AF277" s="12" t="str">
        <f>"317.62"</f>
        <v>317.62</v>
      </c>
      <c r="AG277" s="12"/>
      <c r="AH277" s="12"/>
    </row>
    <row r="278" spans="1:34">
      <c r="A278" s="9">
        <v>276</v>
      </c>
      <c r="B278" s="9">
        <v>10743</v>
      </c>
      <c r="C278" s="9" t="s">
        <v>399</v>
      </c>
      <c r="D278" s="9" t="s">
        <v>71</v>
      </c>
      <c r="E278" s="10" t="str">
        <f>"418.49"</f>
        <v>418.49</v>
      </c>
      <c r="F278" s="11" t="s">
        <v>37</v>
      </c>
      <c r="G278" s="11">
        <v>2017</v>
      </c>
      <c r="H278" s="12" t="str">
        <f>"543.50"</f>
        <v>543.50</v>
      </c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 t="str">
        <f>"378.49"</f>
        <v>378.49</v>
      </c>
      <c r="AE278" s="12"/>
      <c r="AF278" s="12"/>
      <c r="AG278" s="12"/>
      <c r="AH278" s="12"/>
    </row>
    <row r="279" spans="1:34">
      <c r="A279" s="9">
        <v>277</v>
      </c>
      <c r="B279" s="9">
        <v>11149</v>
      </c>
      <c r="C279" s="9" t="s">
        <v>400</v>
      </c>
      <c r="D279" s="9" t="s">
        <v>71</v>
      </c>
      <c r="E279" s="10" t="str">
        <f>"419.03"</f>
        <v>419.03</v>
      </c>
      <c r="F279" s="11"/>
      <c r="G279" s="11">
        <v>2017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 t="str">
        <f>"525.64"</f>
        <v>525.64</v>
      </c>
      <c r="V279" s="12"/>
      <c r="W279" s="12" t="str">
        <f>"491.35"</f>
        <v>491.35</v>
      </c>
      <c r="X279" s="12" t="str">
        <f>"493.11"</f>
        <v>493.11</v>
      </c>
      <c r="Y279" s="12" t="str">
        <f>"408.09"</f>
        <v>408.09</v>
      </c>
      <c r="Z279" s="12"/>
      <c r="AA279" s="12"/>
      <c r="AB279" s="12"/>
      <c r="AC279" s="12"/>
      <c r="AD279" s="12" t="str">
        <f>"440.41"</f>
        <v>440.41</v>
      </c>
      <c r="AE279" s="12"/>
      <c r="AF279" s="12" t="str">
        <f>"429.96"</f>
        <v>429.96</v>
      </c>
      <c r="AG279" s="12"/>
      <c r="AH279" s="12"/>
    </row>
    <row r="280" spans="1:34">
      <c r="A280" s="9">
        <v>278</v>
      </c>
      <c r="B280" s="9">
        <v>8425</v>
      </c>
      <c r="C280" s="9" t="s">
        <v>401</v>
      </c>
      <c r="D280" s="9" t="s">
        <v>89</v>
      </c>
      <c r="E280" s="10" t="str">
        <f>"420.79"</f>
        <v>420.79</v>
      </c>
      <c r="F280" s="11" t="s">
        <v>37</v>
      </c>
      <c r="G280" s="11">
        <v>2017</v>
      </c>
      <c r="H280" s="12" t="str">
        <f>"368.52"</f>
        <v>368.52</v>
      </c>
      <c r="I280" s="12"/>
      <c r="J280" s="12"/>
      <c r="K280" s="12" t="str">
        <f>"380.79"</f>
        <v>380.79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>
      <c r="A281" s="9">
        <v>279</v>
      </c>
      <c r="B281" s="9">
        <v>1000</v>
      </c>
      <c r="C281" s="9" t="s">
        <v>402</v>
      </c>
      <c r="D281" s="9" t="s">
        <v>403</v>
      </c>
      <c r="E281" s="10" t="str">
        <f>"423.12"</f>
        <v>423.12</v>
      </c>
      <c r="F281" s="11" t="s">
        <v>40</v>
      </c>
      <c r="G281" s="11">
        <v>2017</v>
      </c>
      <c r="H281" s="12" t="str">
        <f>"383.12"</f>
        <v>383.12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>
      <c r="A282" s="9">
        <v>280</v>
      </c>
      <c r="B282" s="9">
        <v>10864</v>
      </c>
      <c r="C282" s="9" t="s">
        <v>404</v>
      </c>
      <c r="D282" s="9" t="s">
        <v>39</v>
      </c>
      <c r="E282" s="10" t="str">
        <f>"424.18"</f>
        <v>424.18</v>
      </c>
      <c r="F282" s="11"/>
      <c r="G282" s="11">
        <v>2017</v>
      </c>
      <c r="H282" s="12" t="str">
        <f>"764.78"</f>
        <v>764.78</v>
      </c>
      <c r="I282" s="12"/>
      <c r="J282" s="12"/>
      <c r="K282" s="12"/>
      <c r="L282" s="12"/>
      <c r="M282" s="12" t="str">
        <f>"614.82"</f>
        <v>614.82</v>
      </c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 t="str">
        <f>"423.66"</f>
        <v>423.66</v>
      </c>
      <c r="AA282" s="12"/>
      <c r="AB282" s="12"/>
      <c r="AC282" s="12"/>
      <c r="AD282" s="12"/>
      <c r="AE282" s="12"/>
      <c r="AF282" s="12"/>
      <c r="AG282" s="12" t="str">
        <f>"424.69"</f>
        <v>424.69</v>
      </c>
      <c r="AH282" s="12"/>
    </row>
    <row r="283" spans="1:34">
      <c r="A283" s="9">
        <v>281</v>
      </c>
      <c r="B283" s="9">
        <v>10878</v>
      </c>
      <c r="C283" s="9" t="s">
        <v>405</v>
      </c>
      <c r="D283" s="9" t="s">
        <v>39</v>
      </c>
      <c r="E283" s="10" t="str">
        <f>"427.36"</f>
        <v>427.36</v>
      </c>
      <c r="F283" s="11"/>
      <c r="G283" s="11">
        <v>2017</v>
      </c>
      <c r="H283" s="12" t="str">
        <f>"514.88"</f>
        <v>514.88</v>
      </c>
      <c r="I283" s="12"/>
      <c r="J283" s="12"/>
      <c r="K283" s="12"/>
      <c r="L283" s="12"/>
      <c r="M283" s="12" t="str">
        <f>"500.26"</f>
        <v>500.26</v>
      </c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 t="str">
        <f>"448.53"</f>
        <v>448.53</v>
      </c>
      <c r="AA283" s="12"/>
      <c r="AB283" s="12"/>
      <c r="AC283" s="12"/>
      <c r="AD283" s="12"/>
      <c r="AE283" s="12"/>
      <c r="AF283" s="12"/>
      <c r="AG283" s="12" t="str">
        <f>"406.19"</f>
        <v>406.19</v>
      </c>
      <c r="AH283" s="12"/>
    </row>
    <row r="284" spans="1:34">
      <c r="A284" s="9">
        <v>282</v>
      </c>
      <c r="B284" s="9">
        <v>11249</v>
      </c>
      <c r="C284" s="9" t="s">
        <v>406</v>
      </c>
      <c r="D284" s="9" t="s">
        <v>39</v>
      </c>
      <c r="E284" s="10" t="str">
        <f>"429.07"</f>
        <v>429.07</v>
      </c>
      <c r="F284" s="11"/>
      <c r="G284" s="11">
        <v>2017</v>
      </c>
      <c r="H284" s="12"/>
      <c r="I284" s="12"/>
      <c r="J284" s="12"/>
      <c r="K284" s="12"/>
      <c r="L284" s="12"/>
      <c r="M284" s="12" t="str">
        <f>"522.18"</f>
        <v>522.18</v>
      </c>
      <c r="N284" s="12"/>
      <c r="O284" s="12"/>
      <c r="P284" s="12"/>
      <c r="Q284" s="12"/>
      <c r="R284" s="12"/>
      <c r="S284" s="12"/>
      <c r="T284" s="12"/>
      <c r="U284" s="12" t="str">
        <f>"632.31"</f>
        <v>632.31</v>
      </c>
      <c r="V284" s="12"/>
      <c r="W284" s="12"/>
      <c r="X284" s="12"/>
      <c r="Y284" s="12"/>
      <c r="Z284" s="12" t="str">
        <f>"386.84"</f>
        <v>386.84</v>
      </c>
      <c r="AA284" s="12" t="str">
        <f>"471.30"</f>
        <v>471.30</v>
      </c>
      <c r="AB284" s="12"/>
      <c r="AC284" s="12"/>
      <c r="AD284" s="12"/>
      <c r="AE284" s="12"/>
      <c r="AF284" s="12"/>
      <c r="AG284" s="12"/>
      <c r="AH284" s="12"/>
    </row>
    <row r="285" spans="1:34">
      <c r="A285" s="9">
        <v>283</v>
      </c>
      <c r="B285" s="9">
        <v>11027</v>
      </c>
      <c r="C285" s="9" t="s">
        <v>407</v>
      </c>
      <c r="D285" s="9" t="s">
        <v>223</v>
      </c>
      <c r="E285" s="10" t="str">
        <f>"431.34"</f>
        <v>431.34</v>
      </c>
      <c r="F285" s="11" t="s">
        <v>37</v>
      </c>
      <c r="G285" s="11">
        <v>2017</v>
      </c>
      <c r="H285" s="12" t="str">
        <f>"509.41"</f>
        <v>509.41</v>
      </c>
      <c r="I285" s="12"/>
      <c r="J285" s="12"/>
      <c r="K285" s="12"/>
      <c r="L285" s="12"/>
      <c r="M285" s="12"/>
      <c r="N285" s="12"/>
      <c r="O285" s="12"/>
      <c r="P285" s="12"/>
      <c r="Q285" s="12" t="str">
        <f>"391.34"</f>
        <v>391.34</v>
      </c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s="9">
        <v>284</v>
      </c>
      <c r="B286" s="9">
        <v>10808</v>
      </c>
      <c r="C286" s="9" t="s">
        <v>408</v>
      </c>
      <c r="D286" s="9" t="s">
        <v>71</v>
      </c>
      <c r="E286" s="10" t="str">
        <f>"435.72"</f>
        <v>435.72</v>
      </c>
      <c r="F286" s="11"/>
      <c r="G286" s="11">
        <v>2017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 t="str">
        <f>"419.42"</f>
        <v>419.42</v>
      </c>
      <c r="X286" s="12"/>
      <c r="Y286" s="12"/>
      <c r="Z286" s="12"/>
      <c r="AA286" s="12"/>
      <c r="AB286" s="12"/>
      <c r="AC286" s="12"/>
      <c r="AD286" s="12" t="str">
        <f>"452.02"</f>
        <v>452.02</v>
      </c>
      <c r="AE286" s="12"/>
      <c r="AF286" s="12"/>
      <c r="AG286" s="12"/>
      <c r="AH286" s="12"/>
    </row>
    <row r="287" spans="1:34">
      <c r="A287" s="9">
        <v>285</v>
      </c>
      <c r="B287" s="9">
        <v>11131</v>
      </c>
      <c r="C287" s="9" t="s">
        <v>409</v>
      </c>
      <c r="D287" s="9" t="s">
        <v>71</v>
      </c>
      <c r="E287" s="10" t="str">
        <f>"437.93"</f>
        <v>437.93</v>
      </c>
      <c r="F287" s="11" t="s">
        <v>37</v>
      </c>
      <c r="G287" s="11">
        <v>2017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 t="str">
        <f>"397.93"</f>
        <v>397.93</v>
      </c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>
      <c r="A288" s="9">
        <v>286</v>
      </c>
      <c r="B288" s="9">
        <v>11307</v>
      </c>
      <c r="C288" s="9" t="s">
        <v>410</v>
      </c>
      <c r="D288" s="9" t="s">
        <v>39</v>
      </c>
      <c r="E288" s="10" t="str">
        <f>"439.77"</f>
        <v>439.77</v>
      </c>
      <c r="F288" s="11"/>
      <c r="G288" s="11">
        <v>2017</v>
      </c>
      <c r="H288" s="12"/>
      <c r="I288" s="12"/>
      <c r="J288" s="12"/>
      <c r="K288" s="12"/>
      <c r="L288" s="12"/>
      <c r="M288" s="12" t="str">
        <f>"559.35"</f>
        <v>559.35</v>
      </c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 t="str">
        <f>"439.86"</f>
        <v>439.86</v>
      </c>
      <c r="AA288" s="12"/>
      <c r="AB288" s="12"/>
      <c r="AC288" s="12"/>
      <c r="AD288" s="12"/>
      <c r="AE288" s="12"/>
      <c r="AF288" s="12"/>
      <c r="AG288" s="12" t="str">
        <f>"439.67"</f>
        <v>439.67</v>
      </c>
      <c r="AH288" s="12"/>
    </row>
    <row r="289" spans="1:34">
      <c r="A289" s="9">
        <v>287</v>
      </c>
      <c r="B289" s="9">
        <v>5346</v>
      </c>
      <c r="C289" s="9" t="s">
        <v>411</v>
      </c>
      <c r="D289" s="9" t="s">
        <v>137</v>
      </c>
      <c r="E289" s="10" t="str">
        <f>"440.58"</f>
        <v>440.58</v>
      </c>
      <c r="F289" s="11" t="s">
        <v>37</v>
      </c>
      <c r="G289" s="11">
        <v>2017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 t="str">
        <f>"400.58"</f>
        <v>400.58</v>
      </c>
      <c r="AE289" s="12"/>
      <c r="AF289" s="12"/>
      <c r="AG289" s="12"/>
      <c r="AH289" s="12"/>
    </row>
    <row r="290" spans="1:34">
      <c r="A290" s="9">
        <v>288</v>
      </c>
      <c r="B290" s="9">
        <v>11073</v>
      </c>
      <c r="C290" s="9" t="s">
        <v>412</v>
      </c>
      <c r="D290" s="9" t="s">
        <v>127</v>
      </c>
      <c r="E290" s="10" t="str">
        <f>"442.53"</f>
        <v>442.53</v>
      </c>
      <c r="F290" s="11" t="s">
        <v>40</v>
      </c>
      <c r="G290" s="11">
        <v>2017</v>
      </c>
      <c r="H290" s="12" t="str">
        <f>"402.53"</f>
        <v>402.53</v>
      </c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>
      <c r="A291" s="9">
        <v>289</v>
      </c>
      <c r="B291" s="9">
        <v>6486</v>
      </c>
      <c r="C291" s="9" t="s">
        <v>413</v>
      </c>
      <c r="D291" s="9" t="s">
        <v>414</v>
      </c>
      <c r="E291" s="10" t="str">
        <f>"447.45"</f>
        <v>447.45</v>
      </c>
      <c r="F291" s="11" t="s">
        <v>40</v>
      </c>
      <c r="G291" s="11">
        <v>2017</v>
      </c>
      <c r="H291" s="12" t="str">
        <f>"407.45"</f>
        <v>407.45</v>
      </c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>
      <c r="A292" s="9">
        <v>290</v>
      </c>
      <c r="B292" s="9">
        <v>10294</v>
      </c>
      <c r="C292" s="9" t="s">
        <v>415</v>
      </c>
      <c r="D292" s="9" t="s">
        <v>201</v>
      </c>
      <c r="E292" s="10" t="str">
        <f>"448.64"</f>
        <v>448.64</v>
      </c>
      <c r="F292" s="11" t="s">
        <v>37</v>
      </c>
      <c r="G292" s="11">
        <v>2017</v>
      </c>
      <c r="H292" s="12" t="str">
        <f>"429.61"</f>
        <v>429.61</v>
      </c>
      <c r="I292" s="12"/>
      <c r="J292" s="12"/>
      <c r="K292" s="12"/>
      <c r="L292" s="12"/>
      <c r="M292" s="12"/>
      <c r="N292" s="12"/>
      <c r="O292" s="12"/>
      <c r="P292" s="12"/>
      <c r="Q292" s="12" t="str">
        <f>"408.64"</f>
        <v>408.64</v>
      </c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>
      <c r="A293" s="9">
        <v>291</v>
      </c>
      <c r="B293" s="9">
        <v>5369</v>
      </c>
      <c r="C293" s="9" t="s">
        <v>416</v>
      </c>
      <c r="D293" s="9" t="s">
        <v>159</v>
      </c>
      <c r="E293" s="10" t="str">
        <f>"451.39"</f>
        <v>451.39</v>
      </c>
      <c r="F293" s="11"/>
      <c r="G293" s="11">
        <v>2017</v>
      </c>
      <c r="H293" s="12" t="str">
        <f>"477.91"</f>
        <v>477.91</v>
      </c>
      <c r="I293" s="12"/>
      <c r="J293" s="12"/>
      <c r="K293" s="12" t="str">
        <f>"445.13"</f>
        <v>445.13</v>
      </c>
      <c r="L293" s="12" t="str">
        <f>"462.92"</f>
        <v>462.92</v>
      </c>
      <c r="M293" s="12"/>
      <c r="N293" s="12"/>
      <c r="O293" s="12" t="str">
        <f>"551.33"</f>
        <v>551.33</v>
      </c>
      <c r="P293" s="12"/>
      <c r="Q293" s="12"/>
      <c r="R293" s="12"/>
      <c r="S293" s="12"/>
      <c r="T293" s="12"/>
      <c r="U293" s="12"/>
      <c r="V293" s="12" t="str">
        <f>"495.14"</f>
        <v>495.14</v>
      </c>
      <c r="W293" s="12"/>
      <c r="X293" s="12" t="str">
        <f>"575.42"</f>
        <v>575.42</v>
      </c>
      <c r="Y293" s="12" t="str">
        <f>"463.87"</f>
        <v>463.87</v>
      </c>
      <c r="Z293" s="12"/>
      <c r="AA293" s="12"/>
      <c r="AB293" s="12" t="str">
        <f>"457.64"</f>
        <v>457.64</v>
      </c>
      <c r="AC293" s="12" t="str">
        <f>"519.76"</f>
        <v>519.76</v>
      </c>
      <c r="AD293" s="12" t="str">
        <f>"507.81"</f>
        <v>507.81</v>
      </c>
      <c r="AE293" s="12"/>
      <c r="AF293" s="12" t="str">
        <f>"465.45"</f>
        <v>465.45</v>
      </c>
      <c r="AG293" s="12"/>
      <c r="AH293" s="12"/>
    </row>
    <row r="294" spans="1:34">
      <c r="A294" s="9">
        <v>292</v>
      </c>
      <c r="B294" s="9">
        <v>11199</v>
      </c>
      <c r="C294" s="9" t="s">
        <v>417</v>
      </c>
      <c r="D294" s="9" t="s">
        <v>71</v>
      </c>
      <c r="E294" s="10" t="str">
        <f>"454.37"</f>
        <v>454.37</v>
      </c>
      <c r="F294" s="11" t="s">
        <v>37</v>
      </c>
      <c r="G294" s="11">
        <v>2017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 t="str">
        <f>"414.37"</f>
        <v>414.37</v>
      </c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>
      <c r="A295" s="9">
        <v>293</v>
      </c>
      <c r="B295" s="9">
        <v>9973</v>
      </c>
      <c r="C295" s="9" t="s">
        <v>418</v>
      </c>
      <c r="D295" s="9" t="s">
        <v>419</v>
      </c>
      <c r="E295" s="10" t="str">
        <f>"454.65"</f>
        <v>454.65</v>
      </c>
      <c r="F295" s="11" t="s">
        <v>40</v>
      </c>
      <c r="G295" s="11">
        <v>2017</v>
      </c>
      <c r="H295" s="12" t="str">
        <f>"414.65"</f>
        <v>414.65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>
      <c r="A296" s="9">
        <v>294</v>
      </c>
      <c r="B296" s="9">
        <v>3109</v>
      </c>
      <c r="C296" s="9" t="s">
        <v>420</v>
      </c>
      <c r="D296" s="9" t="s">
        <v>248</v>
      </c>
      <c r="E296" s="10" t="str">
        <f>"455.76"</f>
        <v>455.76</v>
      </c>
      <c r="F296" s="11" t="s">
        <v>37</v>
      </c>
      <c r="G296" s="11">
        <v>2017</v>
      </c>
      <c r="H296" s="12" t="str">
        <f>"499.79"</f>
        <v>499.79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 t="str">
        <f>"415.76"</f>
        <v>415.76</v>
      </c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>
      <c r="A297" s="9">
        <v>295</v>
      </c>
      <c r="B297" s="9">
        <v>10534</v>
      </c>
      <c r="C297" s="9" t="s">
        <v>421</v>
      </c>
      <c r="D297" s="9" t="s">
        <v>205</v>
      </c>
      <c r="E297" s="10" t="str">
        <f>"455.77"</f>
        <v>455.77</v>
      </c>
      <c r="F297" s="11"/>
      <c r="G297" s="11">
        <v>2017</v>
      </c>
      <c r="H297" s="12" t="str">
        <f>"370.10"</f>
        <v>370.10</v>
      </c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 t="str">
        <f>"473.29"</f>
        <v>473.29</v>
      </c>
      <c r="Y297" s="12" t="str">
        <f>"438.25"</f>
        <v>438.25</v>
      </c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>
      <c r="A298" s="9">
        <v>296</v>
      </c>
      <c r="B298" s="9">
        <v>10301</v>
      </c>
      <c r="C298" s="9" t="s">
        <v>422</v>
      </c>
      <c r="D298" s="9" t="s">
        <v>93</v>
      </c>
      <c r="E298" s="10" t="str">
        <f>"467.64"</f>
        <v>467.64</v>
      </c>
      <c r="F298" s="11" t="s">
        <v>40</v>
      </c>
      <c r="G298" s="11">
        <v>2017</v>
      </c>
      <c r="H298" s="12" t="str">
        <f>"427.64"</f>
        <v>427.64</v>
      </c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>
      <c r="A299" s="9">
        <v>297</v>
      </c>
      <c r="B299" s="9">
        <v>9737</v>
      </c>
      <c r="C299" s="9" t="s">
        <v>423</v>
      </c>
      <c r="D299" s="9" t="s">
        <v>137</v>
      </c>
      <c r="E299" s="10" t="str">
        <f>"479.83"</f>
        <v>479.83</v>
      </c>
      <c r="F299" s="11"/>
      <c r="G299" s="11">
        <v>2017</v>
      </c>
      <c r="H299" s="12" t="str">
        <f>"436.71"</f>
        <v>436.71</v>
      </c>
      <c r="I299" s="12"/>
      <c r="J299" s="12"/>
      <c r="K299" s="12" t="str">
        <f>"494.62"</f>
        <v>494.62</v>
      </c>
      <c r="L299" s="12" t="str">
        <f>"478.39"</f>
        <v>478.39</v>
      </c>
      <c r="M299" s="12"/>
      <c r="N299" s="12"/>
      <c r="O299" s="12"/>
      <c r="P299" s="12" t="str">
        <f>"481.26"</f>
        <v>481.26</v>
      </c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>
      <c r="A300" s="9">
        <v>298</v>
      </c>
      <c r="B300" s="9">
        <v>11324</v>
      </c>
      <c r="C300" s="9" t="s">
        <v>424</v>
      </c>
      <c r="D300" s="9" t="s">
        <v>201</v>
      </c>
      <c r="E300" s="10" t="str">
        <f>"483.25"</f>
        <v>483.25</v>
      </c>
      <c r="F300" s="11" t="s">
        <v>37</v>
      </c>
      <c r="G300" s="11">
        <v>2017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 t="str">
        <f>"443.25"</f>
        <v>443.25</v>
      </c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>
      <c r="A301" s="9">
        <v>299</v>
      </c>
      <c r="B301" s="9">
        <v>11408</v>
      </c>
      <c r="C301" s="9" t="s">
        <v>425</v>
      </c>
      <c r="D301" s="9" t="s">
        <v>53</v>
      </c>
      <c r="E301" s="10" t="str">
        <f>"485.67"</f>
        <v>485.67</v>
      </c>
      <c r="F301" s="11" t="s">
        <v>37</v>
      </c>
      <c r="G301" s="11">
        <v>2017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 t="str">
        <f>"445.67"</f>
        <v>445.67</v>
      </c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>
      <c r="A302" s="9">
        <v>300</v>
      </c>
      <c r="B302" s="9">
        <v>3680</v>
      </c>
      <c r="C302" s="9" t="s">
        <v>426</v>
      </c>
      <c r="D302" s="9" t="s">
        <v>362</v>
      </c>
      <c r="E302" s="10" t="str">
        <f>"490.25"</f>
        <v>490.25</v>
      </c>
      <c r="F302" s="11" t="s">
        <v>37</v>
      </c>
      <c r="G302" s="11">
        <v>2017</v>
      </c>
      <c r="H302" s="12" t="str">
        <f>"444.08"</f>
        <v>444.08</v>
      </c>
      <c r="I302" s="12"/>
      <c r="J302" s="12"/>
      <c r="K302" s="12"/>
      <c r="L302" s="12" t="str">
        <f>"450.25"</f>
        <v>450.25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>
      <c r="A303" s="9">
        <v>301</v>
      </c>
      <c r="B303" s="9">
        <v>7075</v>
      </c>
      <c r="C303" s="9" t="s">
        <v>427</v>
      </c>
      <c r="D303" s="9" t="s">
        <v>428</v>
      </c>
      <c r="E303" s="10" t="str">
        <f>"492.36"</f>
        <v>492.36</v>
      </c>
      <c r="F303" s="11" t="s">
        <v>40</v>
      </c>
      <c r="G303" s="11">
        <v>2017</v>
      </c>
      <c r="H303" s="12" t="str">
        <f>"452.36"</f>
        <v>452.36</v>
      </c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>
      <c r="A304" s="9">
        <v>302</v>
      </c>
      <c r="B304" s="9">
        <v>11028</v>
      </c>
      <c r="C304" s="9" t="s">
        <v>429</v>
      </c>
      <c r="D304" s="9" t="s">
        <v>223</v>
      </c>
      <c r="E304" s="10" t="str">
        <f>"492.74"</f>
        <v>492.74</v>
      </c>
      <c r="F304" s="11" t="s">
        <v>37</v>
      </c>
      <c r="G304" s="11">
        <v>2017</v>
      </c>
      <c r="H304" s="12" t="str">
        <f>"675.27"</f>
        <v>675.27</v>
      </c>
      <c r="I304" s="12"/>
      <c r="J304" s="12"/>
      <c r="K304" s="12"/>
      <c r="L304" s="12"/>
      <c r="M304" s="12"/>
      <c r="N304" s="12"/>
      <c r="O304" s="12"/>
      <c r="P304" s="12"/>
      <c r="Q304" s="12" t="str">
        <f>"452.74"</f>
        <v>452.74</v>
      </c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>
      <c r="A305" s="9">
        <v>303</v>
      </c>
      <c r="B305" s="9">
        <v>10784</v>
      </c>
      <c r="C305" s="9" t="s">
        <v>430</v>
      </c>
      <c r="D305" s="9" t="s">
        <v>71</v>
      </c>
      <c r="E305" s="10" t="str">
        <f>"495.15"</f>
        <v>495.15</v>
      </c>
      <c r="F305" s="11"/>
      <c r="G305" s="11">
        <v>2017</v>
      </c>
      <c r="H305" s="12" t="str">
        <f>"697.41"</f>
        <v>697.41</v>
      </c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 t="str">
        <f>"559.74"</f>
        <v>559.74</v>
      </c>
      <c r="X305" s="12"/>
      <c r="Y305" s="12"/>
      <c r="Z305" s="12"/>
      <c r="AA305" s="12"/>
      <c r="AB305" s="12"/>
      <c r="AC305" s="12"/>
      <c r="AD305" s="12"/>
      <c r="AE305" s="12"/>
      <c r="AF305" s="12" t="str">
        <f>"430.55"</f>
        <v>430.55</v>
      </c>
      <c r="AG305" s="12"/>
      <c r="AH305" s="12"/>
    </row>
    <row r="306" spans="1:34">
      <c r="A306" s="9">
        <v>304</v>
      </c>
      <c r="B306" s="9">
        <v>10255</v>
      </c>
      <c r="C306" s="9" t="s">
        <v>431</v>
      </c>
      <c r="D306" s="9" t="s">
        <v>432</v>
      </c>
      <c r="E306" s="10" t="str">
        <f>"496.77"</f>
        <v>496.77</v>
      </c>
      <c r="F306" s="11" t="s">
        <v>40</v>
      </c>
      <c r="G306" s="11">
        <v>2017</v>
      </c>
      <c r="H306" s="12" t="str">
        <f>"456.77"</f>
        <v>456.77</v>
      </c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>
      <c r="A307" s="9">
        <v>305</v>
      </c>
      <c r="B307" s="9">
        <v>10687</v>
      </c>
      <c r="C307" s="9" t="s">
        <v>433</v>
      </c>
      <c r="D307" s="9" t="s">
        <v>48</v>
      </c>
      <c r="E307" s="10" t="str">
        <f>"496.89"</f>
        <v>496.89</v>
      </c>
      <c r="F307" s="11" t="s">
        <v>37</v>
      </c>
      <c r="G307" s="11">
        <v>2017</v>
      </c>
      <c r="H307" s="12" t="str">
        <f>"449.99"</f>
        <v>449.99</v>
      </c>
      <c r="I307" s="12"/>
      <c r="J307" s="12"/>
      <c r="K307" s="12"/>
      <c r="L307" s="12"/>
      <c r="M307" s="12"/>
      <c r="N307" s="12"/>
      <c r="O307" s="12"/>
      <c r="P307" s="12"/>
      <c r="Q307" s="12" t="str">
        <f>"456.89"</f>
        <v>456.89</v>
      </c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>
      <c r="A308" s="9">
        <v>306</v>
      </c>
      <c r="B308" s="9">
        <v>2661</v>
      </c>
      <c r="C308" s="9" t="s">
        <v>434</v>
      </c>
      <c r="D308" s="9" t="s">
        <v>435</v>
      </c>
      <c r="E308" s="10" t="str">
        <f>"497.99"</f>
        <v>497.99</v>
      </c>
      <c r="F308" s="11" t="s">
        <v>40</v>
      </c>
      <c r="G308" s="11">
        <v>2017</v>
      </c>
      <c r="H308" s="12" t="str">
        <f>"457.99"</f>
        <v>457.99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>
      <c r="A309" s="9">
        <v>307</v>
      </c>
      <c r="B309" s="9">
        <v>8444</v>
      </c>
      <c r="C309" s="9" t="s">
        <v>436</v>
      </c>
      <c r="D309" s="9" t="s">
        <v>298</v>
      </c>
      <c r="E309" s="10" t="str">
        <f>"500.55"</f>
        <v>500.55</v>
      </c>
      <c r="F309" s="11" t="s">
        <v>40</v>
      </c>
      <c r="G309" s="11">
        <v>2017</v>
      </c>
      <c r="H309" s="12" t="str">
        <f>"460.55"</f>
        <v>460.55</v>
      </c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>
      <c r="A310" s="9">
        <v>308</v>
      </c>
      <c r="B310" s="9">
        <v>5293</v>
      </c>
      <c r="C310" s="9" t="s">
        <v>437</v>
      </c>
      <c r="D310" s="9" t="s">
        <v>187</v>
      </c>
      <c r="E310" s="10" t="str">
        <f>"505.07"</f>
        <v>505.07</v>
      </c>
      <c r="F310" s="11" t="s">
        <v>40</v>
      </c>
      <c r="G310" s="11">
        <v>2017</v>
      </c>
      <c r="H310" s="12" t="str">
        <f>"465.07"</f>
        <v>465.07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>
      <c r="A311" s="9">
        <v>309</v>
      </c>
      <c r="B311" s="9">
        <v>11321</v>
      </c>
      <c r="C311" s="9" t="s">
        <v>438</v>
      </c>
      <c r="D311" s="9" t="s">
        <v>201</v>
      </c>
      <c r="E311" s="10" t="str">
        <f>"511.74"</f>
        <v>511.74</v>
      </c>
      <c r="F311" s="11" t="s">
        <v>37</v>
      </c>
      <c r="G311" s="11">
        <v>2017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 t="str">
        <f>"471.74"</f>
        <v>471.74</v>
      </c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>
      <c r="A312" s="9">
        <v>310</v>
      </c>
      <c r="B312" s="9">
        <v>10953</v>
      </c>
      <c r="C312" s="9" t="s">
        <v>439</v>
      </c>
      <c r="D312" s="9" t="s">
        <v>231</v>
      </c>
      <c r="E312" s="10" t="str">
        <f>"516.04"</f>
        <v>516.04</v>
      </c>
      <c r="F312" s="11"/>
      <c r="G312" s="11">
        <v>2017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 t="str">
        <f>"553.97"</f>
        <v>553.97</v>
      </c>
      <c r="AD312" s="12"/>
      <c r="AE312" s="12" t="str">
        <f>"478.10"</f>
        <v>478.10</v>
      </c>
      <c r="AF312" s="12"/>
      <c r="AG312" s="12"/>
      <c r="AH312" s="12"/>
    </row>
    <row r="313" spans="1:34">
      <c r="A313" s="9">
        <v>311</v>
      </c>
      <c r="B313" s="9">
        <v>10431</v>
      </c>
      <c r="C313" s="9" t="s">
        <v>440</v>
      </c>
      <c r="D313" s="9" t="s">
        <v>71</v>
      </c>
      <c r="E313" s="10" t="str">
        <f>"516.97"</f>
        <v>516.97</v>
      </c>
      <c r="F313" s="11" t="s">
        <v>37</v>
      </c>
      <c r="G313" s="11">
        <v>2017</v>
      </c>
      <c r="H313" s="12" t="str">
        <f>"627.25"</f>
        <v>627.25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 t="str">
        <f>"476.97"</f>
        <v>476.97</v>
      </c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>
      <c r="A314" s="9">
        <v>312</v>
      </c>
      <c r="B314" s="9">
        <v>11105</v>
      </c>
      <c r="C314" s="9" t="s">
        <v>441</v>
      </c>
      <c r="D314" s="9" t="s">
        <v>39</v>
      </c>
      <c r="E314" s="10" t="str">
        <f>"520.05"</f>
        <v>520.05</v>
      </c>
      <c r="F314" s="11"/>
      <c r="G314" s="11">
        <v>2017</v>
      </c>
      <c r="H314" s="12"/>
      <c r="I314" s="12"/>
      <c r="J314" s="12"/>
      <c r="K314" s="12"/>
      <c r="L314" s="12"/>
      <c r="M314" s="12" t="str">
        <f>"528.33"</f>
        <v>528.33</v>
      </c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 t="str">
        <f>"511.77"</f>
        <v>511.77</v>
      </c>
      <c r="AA314" s="12"/>
      <c r="AB314" s="12"/>
      <c r="AC314" s="12"/>
      <c r="AD314" s="12"/>
      <c r="AE314" s="12"/>
      <c r="AF314" s="12"/>
      <c r="AG314" s="12"/>
      <c r="AH314" s="12"/>
    </row>
    <row r="315" spans="1:34">
      <c r="A315" s="9">
        <v>313</v>
      </c>
      <c r="B315" s="9">
        <v>11065</v>
      </c>
      <c r="C315" s="9" t="s">
        <v>442</v>
      </c>
      <c r="D315" s="9" t="s">
        <v>201</v>
      </c>
      <c r="E315" s="10" t="str">
        <f>"521.35"</f>
        <v>521.35</v>
      </c>
      <c r="F315" s="11" t="s">
        <v>37</v>
      </c>
      <c r="G315" s="11">
        <v>2017</v>
      </c>
      <c r="H315" s="12" t="str">
        <f>"473.32"</f>
        <v>473.32</v>
      </c>
      <c r="I315" s="12"/>
      <c r="J315" s="12"/>
      <c r="K315" s="12"/>
      <c r="L315" s="12"/>
      <c r="M315" s="12"/>
      <c r="N315" s="12"/>
      <c r="O315" s="12"/>
      <c r="P315" s="12"/>
      <c r="Q315" s="12" t="str">
        <f>"481.35"</f>
        <v>481.35</v>
      </c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>
      <c r="A316" s="9">
        <v>314</v>
      </c>
      <c r="B316" s="9">
        <v>11036</v>
      </c>
      <c r="C316" s="9" t="s">
        <v>443</v>
      </c>
      <c r="D316" s="9" t="s">
        <v>48</v>
      </c>
      <c r="E316" s="10" t="str">
        <f>"524.35"</f>
        <v>524.35</v>
      </c>
      <c r="F316" s="11" t="s">
        <v>37</v>
      </c>
      <c r="G316" s="11">
        <v>2017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 t="str">
        <f>"484.35"</f>
        <v>484.35</v>
      </c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>
      <c r="A317" s="9">
        <v>315</v>
      </c>
      <c r="B317" s="9">
        <v>5916</v>
      </c>
      <c r="C317" s="9" t="s">
        <v>444</v>
      </c>
      <c r="D317" s="9" t="s">
        <v>87</v>
      </c>
      <c r="E317" s="10" t="str">
        <f>"525.63"</f>
        <v>525.63</v>
      </c>
      <c r="F317" s="11" t="s">
        <v>40</v>
      </c>
      <c r="G317" s="11">
        <v>2017</v>
      </c>
      <c r="H317" s="12" t="str">
        <f>"485.63"</f>
        <v>485.63</v>
      </c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>
      <c r="A318" s="9">
        <v>316</v>
      </c>
      <c r="B318" s="9">
        <v>11266</v>
      </c>
      <c r="C318" s="9" t="s">
        <v>445</v>
      </c>
      <c r="D318" s="9" t="s">
        <v>39</v>
      </c>
      <c r="E318" s="10" t="str">
        <f>"525.99"</f>
        <v>525.99</v>
      </c>
      <c r="F318" s="11"/>
      <c r="G318" s="11">
        <v>2017</v>
      </c>
      <c r="H318" s="12"/>
      <c r="I318" s="12"/>
      <c r="J318" s="12"/>
      <c r="K318" s="12"/>
      <c r="L318" s="12"/>
      <c r="M318" s="12" t="str">
        <f>"633.54"</f>
        <v>633.54</v>
      </c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 t="str">
        <f>"418.44"</f>
        <v>418.44</v>
      </c>
      <c r="AH318" s="12"/>
    </row>
    <row r="319" spans="1:34">
      <c r="A319" s="9">
        <v>317</v>
      </c>
      <c r="B319" s="9">
        <v>11326</v>
      </c>
      <c r="C319" s="9" t="s">
        <v>446</v>
      </c>
      <c r="D319" s="9" t="s">
        <v>201</v>
      </c>
      <c r="E319" s="10" t="str">
        <f>"527.93"</f>
        <v>527.93</v>
      </c>
      <c r="F319" s="11"/>
      <c r="G319" s="11">
        <v>2017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 t="str">
        <f>"564.38"</f>
        <v>564.38</v>
      </c>
      <c r="R319" s="12"/>
      <c r="S319" s="12" t="str">
        <f>"491.47"</f>
        <v>491.47</v>
      </c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>
      <c r="A320" s="9">
        <v>318</v>
      </c>
      <c r="B320" s="9">
        <v>11261</v>
      </c>
      <c r="C320" s="9" t="s">
        <v>447</v>
      </c>
      <c r="D320" s="9" t="s">
        <v>39</v>
      </c>
      <c r="E320" s="10" t="str">
        <f>"531.15"</f>
        <v>531.15</v>
      </c>
      <c r="F320" s="11"/>
      <c r="G320" s="11">
        <v>2017</v>
      </c>
      <c r="H320" s="12"/>
      <c r="I320" s="12"/>
      <c r="J320" s="12"/>
      <c r="K320" s="12"/>
      <c r="L320" s="12"/>
      <c r="M320" s="12" t="str">
        <f>"538.23"</f>
        <v>538.23</v>
      </c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 t="str">
        <f>"573.75"</f>
        <v>573.75</v>
      </c>
      <c r="AA320" s="12"/>
      <c r="AB320" s="12"/>
      <c r="AC320" s="12"/>
      <c r="AD320" s="12"/>
      <c r="AE320" s="12"/>
      <c r="AF320" s="12"/>
      <c r="AG320" s="12" t="str">
        <f>"524.07"</f>
        <v>524.07</v>
      </c>
      <c r="AH320" s="12"/>
    </row>
    <row r="321" spans="1:34">
      <c r="A321" s="9">
        <v>319</v>
      </c>
      <c r="B321" s="9">
        <v>11245</v>
      </c>
      <c r="C321" s="9" t="s">
        <v>448</v>
      </c>
      <c r="D321" s="9" t="s">
        <v>39</v>
      </c>
      <c r="E321" s="10" t="str">
        <f>"531.85"</f>
        <v>531.85</v>
      </c>
      <c r="F321" s="11"/>
      <c r="G321" s="11">
        <v>2017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 t="str">
        <f>"510.32"</f>
        <v>510.32</v>
      </c>
      <c r="AA321" s="12"/>
      <c r="AB321" s="12"/>
      <c r="AC321" s="12"/>
      <c r="AD321" s="12"/>
      <c r="AE321" s="12"/>
      <c r="AF321" s="12"/>
      <c r="AG321" s="12" t="str">
        <f>"553.37"</f>
        <v>553.37</v>
      </c>
      <c r="AH321" s="12"/>
    </row>
    <row r="322" spans="1:34">
      <c r="A322" s="9">
        <v>320</v>
      </c>
      <c r="B322" s="9">
        <v>10501</v>
      </c>
      <c r="C322" s="9" t="s">
        <v>449</v>
      </c>
      <c r="D322" s="9" t="s">
        <v>71</v>
      </c>
      <c r="E322" s="10" t="str">
        <f>"549.30"</f>
        <v>549.30</v>
      </c>
      <c r="F322" s="11" t="s">
        <v>40</v>
      </c>
      <c r="G322" s="11">
        <v>2017</v>
      </c>
      <c r="H322" s="12" t="str">
        <f>"509.30"</f>
        <v>509.30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>
      <c r="A323" s="9">
        <v>321</v>
      </c>
      <c r="B323" s="9">
        <v>11415</v>
      </c>
      <c r="C323" s="9" t="s">
        <v>450</v>
      </c>
      <c r="D323" s="9" t="s">
        <v>53</v>
      </c>
      <c r="E323" s="10" t="str">
        <f>"556.63"</f>
        <v>556.63</v>
      </c>
      <c r="F323" s="11"/>
      <c r="G323" s="11">
        <v>2017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 t="str">
        <f>"499.80"</f>
        <v>499.80</v>
      </c>
      <c r="AC323" s="12" t="str">
        <f>"613.46"</f>
        <v>613.46</v>
      </c>
      <c r="AD323" s="12"/>
      <c r="AE323" s="12"/>
      <c r="AF323" s="12"/>
      <c r="AG323" s="12"/>
      <c r="AH323" s="12"/>
    </row>
    <row r="324" spans="1:34">
      <c r="A324" s="9">
        <v>322</v>
      </c>
      <c r="B324" s="9">
        <v>10783</v>
      </c>
      <c r="C324" s="9" t="s">
        <v>451</v>
      </c>
      <c r="D324" s="9" t="s">
        <v>71</v>
      </c>
      <c r="E324" s="10" t="str">
        <f>"564.28"</f>
        <v>564.28</v>
      </c>
      <c r="F324" s="11"/>
      <c r="G324" s="11">
        <v>2017</v>
      </c>
      <c r="H324" s="12" t="str">
        <f>"978.03"</f>
        <v>978.03</v>
      </c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 t="str">
        <f>"624.39"</f>
        <v>624.39</v>
      </c>
      <c r="X324" s="12"/>
      <c r="Y324" s="12"/>
      <c r="Z324" s="12"/>
      <c r="AA324" s="12"/>
      <c r="AB324" s="12"/>
      <c r="AC324" s="12"/>
      <c r="AD324" s="12"/>
      <c r="AE324" s="12"/>
      <c r="AF324" s="12" t="str">
        <f>"504.17"</f>
        <v>504.17</v>
      </c>
      <c r="AG324" s="12"/>
      <c r="AH324" s="12"/>
    </row>
    <row r="325" spans="1:34">
      <c r="A325" s="9">
        <v>323</v>
      </c>
      <c r="B325" s="9">
        <v>10698</v>
      </c>
      <c r="C325" s="9" t="s">
        <v>452</v>
      </c>
      <c r="D325" s="9" t="s">
        <v>189</v>
      </c>
      <c r="E325" s="10" t="str">
        <f>"565.33"</f>
        <v>565.33</v>
      </c>
      <c r="F325" s="11" t="s">
        <v>37</v>
      </c>
      <c r="G325" s="11">
        <v>2017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 t="str">
        <f>"525.33"</f>
        <v>525.33</v>
      </c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>
      <c r="A326" s="9">
        <v>324</v>
      </c>
      <c r="B326" s="9">
        <v>10500</v>
      </c>
      <c r="C326" s="9" t="s">
        <v>453</v>
      </c>
      <c r="D326" s="9" t="s">
        <v>71</v>
      </c>
      <c r="E326" s="10" t="str">
        <f>"576.01"</f>
        <v>576.01</v>
      </c>
      <c r="F326" s="11" t="s">
        <v>37</v>
      </c>
      <c r="G326" s="11">
        <v>2017</v>
      </c>
      <c r="H326" s="12" t="str">
        <f>"669.78"</f>
        <v>669.78</v>
      </c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 t="str">
        <f>"536.01"</f>
        <v>536.01</v>
      </c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>
      <c r="A327" s="9">
        <v>325</v>
      </c>
      <c r="B327" s="9">
        <v>2891</v>
      </c>
      <c r="C327" s="9" t="s">
        <v>454</v>
      </c>
      <c r="D327" s="9" t="s">
        <v>181</v>
      </c>
      <c r="E327" s="10" t="str">
        <f>"585.35"</f>
        <v>585.35</v>
      </c>
      <c r="F327" s="11" t="s">
        <v>40</v>
      </c>
      <c r="G327" s="11">
        <v>2017</v>
      </c>
      <c r="H327" s="12" t="str">
        <f>"545.35"</f>
        <v>545.35</v>
      </c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>
      <c r="A328" s="9">
        <v>326</v>
      </c>
      <c r="B328" s="9">
        <v>10874</v>
      </c>
      <c r="C328" s="9" t="s">
        <v>455</v>
      </c>
      <c r="D328" s="9" t="s">
        <v>39</v>
      </c>
      <c r="E328" s="10" t="str">
        <f>"596.44"</f>
        <v>596.44</v>
      </c>
      <c r="F328" s="11"/>
      <c r="G328" s="11">
        <v>2017</v>
      </c>
      <c r="H328" s="12"/>
      <c r="I328" s="12"/>
      <c r="J328" s="12"/>
      <c r="K328" s="12"/>
      <c r="L328" s="12"/>
      <c r="M328" s="12" t="str">
        <f>"637.28"</f>
        <v>637.28</v>
      </c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 t="str">
        <f>"555.59"</f>
        <v>555.59</v>
      </c>
      <c r="AH328" s="12"/>
    </row>
    <row r="329" spans="1:34">
      <c r="A329" s="9">
        <v>327</v>
      </c>
      <c r="B329" s="9">
        <v>11319</v>
      </c>
      <c r="C329" s="9" t="s">
        <v>456</v>
      </c>
      <c r="D329" s="9" t="s">
        <v>201</v>
      </c>
      <c r="E329" s="10" t="str">
        <f>"607.23"</f>
        <v>607.23</v>
      </c>
      <c r="F329" s="11" t="s">
        <v>37</v>
      </c>
      <c r="G329" s="11">
        <v>2017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 t="str">
        <f>"567.23"</f>
        <v>567.23</v>
      </c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>
      <c r="A330" s="9">
        <v>328</v>
      </c>
      <c r="B330" s="9">
        <v>11263</v>
      </c>
      <c r="C330" s="9" t="s">
        <v>457</v>
      </c>
      <c r="D330" s="9" t="s">
        <v>39</v>
      </c>
      <c r="E330" s="10" t="str">
        <f>"616.94"</f>
        <v>616.94</v>
      </c>
      <c r="F330" s="11" t="s">
        <v>37</v>
      </c>
      <c r="G330" s="11">
        <v>2017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 t="str">
        <f>"576.94"</f>
        <v>576.94</v>
      </c>
      <c r="AA330" s="12"/>
      <c r="AB330" s="12"/>
      <c r="AC330" s="12"/>
      <c r="AD330" s="12"/>
      <c r="AE330" s="12"/>
      <c r="AF330" s="12"/>
      <c r="AG330" s="12"/>
      <c r="AH330" s="12"/>
    </row>
    <row r="331" spans="1:34">
      <c r="A331" s="9">
        <v>329</v>
      </c>
      <c r="B331" s="9">
        <v>10716</v>
      </c>
      <c r="C331" s="9" t="s">
        <v>458</v>
      </c>
      <c r="D331" s="9" t="s">
        <v>39</v>
      </c>
      <c r="E331" s="10" t="str">
        <f>"631.78"</f>
        <v>631.78</v>
      </c>
      <c r="F331" s="11" t="s">
        <v>37</v>
      </c>
      <c r="G331" s="11">
        <v>2017</v>
      </c>
      <c r="H331" s="12" t="str">
        <f>"940.49"</f>
        <v>940.49</v>
      </c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 t="str">
        <f>"591.78"</f>
        <v>591.78</v>
      </c>
      <c r="AA331" s="12"/>
      <c r="AB331" s="12"/>
      <c r="AC331" s="12"/>
      <c r="AD331" s="12"/>
      <c r="AE331" s="12"/>
      <c r="AF331" s="12"/>
      <c r="AG331" s="12"/>
      <c r="AH331" s="12"/>
    </row>
    <row r="332" spans="1:34">
      <c r="A332" s="9">
        <v>330</v>
      </c>
      <c r="B332" s="9">
        <v>10821</v>
      </c>
      <c r="C332" s="9" t="s">
        <v>459</v>
      </c>
      <c r="D332" s="9" t="s">
        <v>71</v>
      </c>
      <c r="E332" s="10" t="str">
        <f>"632.25"</f>
        <v>632.25</v>
      </c>
      <c r="F332" s="11" t="s">
        <v>37</v>
      </c>
      <c r="G332" s="11">
        <v>2017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 t="str">
        <f>"592.25"</f>
        <v>592.25</v>
      </c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>
      <c r="A333" s="9">
        <v>331</v>
      </c>
      <c r="B333" s="9">
        <v>7687</v>
      </c>
      <c r="C333" s="9" t="s">
        <v>460</v>
      </c>
      <c r="D333" s="9" t="s">
        <v>461</v>
      </c>
      <c r="E333" s="10" t="str">
        <f>"642.77"</f>
        <v>642.77</v>
      </c>
      <c r="F333" s="11"/>
      <c r="G333" s="11">
        <v>2017</v>
      </c>
      <c r="H333" s="12"/>
      <c r="I333" s="12"/>
      <c r="J333" s="12"/>
      <c r="K333" s="12" t="str">
        <f>"637.10"</f>
        <v>637.10</v>
      </c>
      <c r="L333" s="12" t="str">
        <f>"648.43"</f>
        <v>648.43</v>
      </c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>
      <c r="A334" s="9">
        <v>332</v>
      </c>
      <c r="B334" s="9">
        <v>10785</v>
      </c>
      <c r="C334" s="9" t="s">
        <v>462</v>
      </c>
      <c r="D334" s="9" t="s">
        <v>71</v>
      </c>
      <c r="E334" s="10" t="str">
        <f>"645.43"</f>
        <v>645.43</v>
      </c>
      <c r="F334" s="11"/>
      <c r="G334" s="11">
        <v>2017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 t="str">
        <f>"747.52"</f>
        <v>747.52</v>
      </c>
      <c r="X334" s="12"/>
      <c r="Y334" s="12"/>
      <c r="Z334" s="12"/>
      <c r="AA334" s="12"/>
      <c r="AB334" s="12"/>
      <c r="AC334" s="12"/>
      <c r="AD334" s="12"/>
      <c r="AE334" s="12"/>
      <c r="AF334" s="12" t="str">
        <f>"543.33"</f>
        <v>543.33</v>
      </c>
      <c r="AG334" s="12"/>
      <c r="AH334" s="12"/>
    </row>
    <row r="335" spans="1:34">
      <c r="A335" s="9">
        <v>333</v>
      </c>
      <c r="B335" s="9">
        <v>11095</v>
      </c>
      <c r="C335" s="9" t="s">
        <v>463</v>
      </c>
      <c r="D335" s="9" t="s">
        <v>201</v>
      </c>
      <c r="E335" s="10" t="str">
        <f>"653.69"</f>
        <v>653.69</v>
      </c>
      <c r="F335" s="11" t="s">
        <v>37</v>
      </c>
      <c r="G335" s="11">
        <v>2017</v>
      </c>
      <c r="H335" s="12" t="str">
        <f>"799.77"</f>
        <v>799.77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 t="str">
        <f>"613.69"</f>
        <v>613.69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>
      <c r="A336" s="9">
        <v>334</v>
      </c>
      <c r="B336" s="9">
        <v>7900</v>
      </c>
      <c r="C336" s="9" t="s">
        <v>464</v>
      </c>
      <c r="D336" s="9" t="s">
        <v>465</v>
      </c>
      <c r="E336" s="10" t="str">
        <f>"663.35"</f>
        <v>663.35</v>
      </c>
      <c r="F336" s="11" t="s">
        <v>40</v>
      </c>
      <c r="G336" s="11">
        <v>2017</v>
      </c>
      <c r="H336" s="12" t="str">
        <f>"623.35"</f>
        <v>623.35</v>
      </c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>
      <c r="A337" s="9">
        <v>335</v>
      </c>
      <c r="B337" s="9">
        <v>10583</v>
      </c>
      <c r="C337" s="9" t="s">
        <v>466</v>
      </c>
      <c r="D337" s="9" t="s">
        <v>39</v>
      </c>
      <c r="E337" s="10" t="str">
        <f>"683.97"</f>
        <v>683.97</v>
      </c>
      <c r="F337" s="11" t="s">
        <v>37</v>
      </c>
      <c r="G337" s="11">
        <v>2017</v>
      </c>
      <c r="H337" s="12" t="str">
        <f>"486.23"</f>
        <v>486.23</v>
      </c>
      <c r="I337" s="12"/>
      <c r="J337" s="12"/>
      <c r="K337" s="12"/>
      <c r="L337" s="12"/>
      <c r="M337" s="12" t="str">
        <f>"643.97"</f>
        <v>643.97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>
      <c r="A338" s="9">
        <v>336</v>
      </c>
      <c r="B338" s="9">
        <v>11089</v>
      </c>
      <c r="C338" s="9" t="s">
        <v>467</v>
      </c>
      <c r="D338" s="9" t="s">
        <v>53</v>
      </c>
      <c r="E338" s="10" t="str">
        <f>"689.22"</f>
        <v>689.22</v>
      </c>
      <c r="F338" s="11" t="s">
        <v>37</v>
      </c>
      <c r="G338" s="11">
        <v>2017</v>
      </c>
      <c r="H338" s="12" t="str">
        <f>"898.67"</f>
        <v>898.67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 t="str">
        <f>"649.22"</f>
        <v>649.22</v>
      </c>
      <c r="AG338" s="12"/>
      <c r="AH338" s="12"/>
    </row>
    <row r="339" spans="1:34">
      <c r="A339" s="9">
        <v>337</v>
      </c>
      <c r="B339" s="9">
        <v>11247</v>
      </c>
      <c r="C339" s="9" t="s">
        <v>468</v>
      </c>
      <c r="D339" s="9" t="s">
        <v>39</v>
      </c>
      <c r="E339" s="10" t="str">
        <f>"696.58"</f>
        <v>696.58</v>
      </c>
      <c r="F339" s="11"/>
      <c r="G339" s="11">
        <v>2017</v>
      </c>
      <c r="H339" s="12"/>
      <c r="I339" s="12"/>
      <c r="J339" s="12"/>
      <c r="K339" s="12"/>
      <c r="L339" s="12"/>
      <c r="M339" s="12" t="str">
        <f>"853.57"</f>
        <v>853.57</v>
      </c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 t="str">
        <f>"613.28"</f>
        <v>613.28</v>
      </c>
      <c r="AA339" s="12"/>
      <c r="AB339" s="12"/>
      <c r="AC339" s="12"/>
      <c r="AD339" s="12"/>
      <c r="AE339" s="12"/>
      <c r="AF339" s="12"/>
      <c r="AG339" s="12" t="str">
        <f>"779.88"</f>
        <v>779.88</v>
      </c>
      <c r="AH339" s="12"/>
    </row>
    <row r="340" spans="1:34">
      <c r="A340" s="9">
        <v>338</v>
      </c>
      <c r="B340" s="9">
        <v>11057</v>
      </c>
      <c r="C340" s="9" t="s">
        <v>469</v>
      </c>
      <c r="D340" s="9" t="s">
        <v>201</v>
      </c>
      <c r="E340" s="10" t="str">
        <f>"700.30"</f>
        <v>700.30</v>
      </c>
      <c r="F340" s="11" t="s">
        <v>40</v>
      </c>
      <c r="G340" s="11">
        <v>2017</v>
      </c>
      <c r="H340" s="12" t="str">
        <f>"660.30"</f>
        <v>660.30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>
      <c r="A341" s="9">
        <v>339</v>
      </c>
      <c r="B341" s="9">
        <v>11218</v>
      </c>
      <c r="C341" s="9" t="s">
        <v>470</v>
      </c>
      <c r="D341" s="9" t="s">
        <v>71</v>
      </c>
      <c r="E341" s="10" t="str">
        <f>"706.05"</f>
        <v>706.05</v>
      </c>
      <c r="F341" s="11" t="s">
        <v>37</v>
      </c>
      <c r="G341" s="11">
        <v>2017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 t="str">
        <f>"666.05"</f>
        <v>666.05</v>
      </c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>
      <c r="A342" s="9">
        <v>340</v>
      </c>
      <c r="B342" s="9">
        <v>11044</v>
      </c>
      <c r="C342" s="9" t="s">
        <v>471</v>
      </c>
      <c r="D342" s="9" t="s">
        <v>48</v>
      </c>
      <c r="E342" s="10" t="str">
        <f>"720.30"</f>
        <v>720.30</v>
      </c>
      <c r="F342" s="11" t="s">
        <v>40</v>
      </c>
      <c r="G342" s="11">
        <v>2017</v>
      </c>
      <c r="H342" s="12" t="str">
        <f>"680.30"</f>
        <v>680.30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>
      <c r="A343" s="9">
        <v>341</v>
      </c>
      <c r="B343" s="9">
        <v>2719</v>
      </c>
      <c r="C343" s="9" t="s">
        <v>472</v>
      </c>
      <c r="D343" s="9" t="s">
        <v>473</v>
      </c>
      <c r="E343" s="10" t="str">
        <f>"727.67"</f>
        <v>727.67</v>
      </c>
      <c r="F343" s="11" t="s">
        <v>40</v>
      </c>
      <c r="G343" s="11">
        <v>2017</v>
      </c>
      <c r="H343" s="12" t="str">
        <f>"687.67"</f>
        <v>687.67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>
      <c r="A344" s="9">
        <v>342</v>
      </c>
      <c r="B344" s="9">
        <v>1432</v>
      </c>
      <c r="C344" s="9" t="s">
        <v>474</v>
      </c>
      <c r="D344" s="9" t="s">
        <v>475</v>
      </c>
      <c r="E344" s="10" t="str">
        <f>"744.69"</f>
        <v>744.69</v>
      </c>
      <c r="F344" s="11" t="s">
        <v>40</v>
      </c>
      <c r="G344" s="11">
        <v>2017</v>
      </c>
      <c r="H344" s="12" t="str">
        <f>"704.69"</f>
        <v>704.69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>
      <c r="A345" s="9">
        <v>343</v>
      </c>
      <c r="B345" s="9">
        <v>10433</v>
      </c>
      <c r="C345" s="9" t="s">
        <v>476</v>
      </c>
      <c r="D345" s="9" t="s">
        <v>71</v>
      </c>
      <c r="E345" s="10" t="str">
        <f>"747.53"</f>
        <v>747.53</v>
      </c>
      <c r="F345" s="11" t="s">
        <v>37</v>
      </c>
      <c r="G345" s="11">
        <v>2017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 t="str">
        <f>"707.53"</f>
        <v>707.53</v>
      </c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>
      <c r="A346" s="9">
        <v>344</v>
      </c>
      <c r="B346" s="9">
        <v>3657</v>
      </c>
      <c r="C346" s="9" t="s">
        <v>477</v>
      </c>
      <c r="D346" s="9" t="s">
        <v>181</v>
      </c>
      <c r="E346" s="10" t="str">
        <f>"766.71"</f>
        <v>766.71</v>
      </c>
      <c r="F346" s="11"/>
      <c r="G346" s="11">
        <v>2017</v>
      </c>
      <c r="H346" s="12" t="str">
        <f>"521.24"</f>
        <v>521.24</v>
      </c>
      <c r="I346" s="12"/>
      <c r="J346" s="12"/>
      <c r="K346" s="12" t="str">
        <f>"801.74"</f>
        <v>801.74</v>
      </c>
      <c r="L346" s="12" t="str">
        <f>"731.68"</f>
        <v>731.68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>
      <c r="A347" s="9">
        <v>345</v>
      </c>
      <c r="B347" s="9">
        <v>11172</v>
      </c>
      <c r="C347" s="9" t="s">
        <v>478</v>
      </c>
      <c r="D347" s="9" t="s">
        <v>71</v>
      </c>
      <c r="E347" s="10" t="str">
        <f>"810.07"</f>
        <v>810.07</v>
      </c>
      <c r="F347" s="11" t="s">
        <v>37</v>
      </c>
      <c r="G347" s="11">
        <v>2017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 t="str">
        <f>"770.07"</f>
        <v>770.07</v>
      </c>
      <c r="AG347" s="12"/>
      <c r="AH347" s="12"/>
    </row>
    <row r="348" spans="1:34">
      <c r="A348" s="9">
        <v>346</v>
      </c>
      <c r="B348" s="9">
        <v>11246</v>
      </c>
      <c r="C348" s="9" t="s">
        <v>479</v>
      </c>
      <c r="D348" s="9" t="s">
        <v>39</v>
      </c>
      <c r="E348" s="10" t="str">
        <f>"855.36"</f>
        <v>855.36</v>
      </c>
      <c r="F348" s="11"/>
      <c r="G348" s="11">
        <v>2017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 t="str">
        <f>"904.79"</f>
        <v>904.79</v>
      </c>
      <c r="AA348" s="12"/>
      <c r="AB348" s="12"/>
      <c r="AC348" s="12"/>
      <c r="AD348" s="12"/>
      <c r="AE348" s="12"/>
      <c r="AF348" s="12"/>
      <c r="AG348" s="12" t="str">
        <f>"805.93"</f>
        <v>805.93</v>
      </c>
      <c r="AH348" s="12"/>
    </row>
    <row r="349" spans="1:34">
      <c r="A349" s="9">
        <v>347</v>
      </c>
      <c r="B349" s="9">
        <v>11323</v>
      </c>
      <c r="C349" s="9" t="s">
        <v>480</v>
      </c>
      <c r="D349" s="9" t="s">
        <v>201</v>
      </c>
      <c r="E349" s="10" t="str">
        <f>"855.70"</f>
        <v>855.70</v>
      </c>
      <c r="F349" s="11" t="s">
        <v>37</v>
      </c>
      <c r="G349" s="11">
        <v>2017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 t="str">
        <f>"815.70"</f>
        <v>815.70</v>
      </c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>
      <c r="A350" s="9">
        <v>348</v>
      </c>
      <c r="B350" s="9">
        <v>10775</v>
      </c>
      <c r="C350" s="9" t="s">
        <v>481</v>
      </c>
      <c r="D350" s="9" t="s">
        <v>71</v>
      </c>
      <c r="E350" s="10" t="str">
        <f>"875.15"</f>
        <v>875.15</v>
      </c>
      <c r="F350" s="11" t="s">
        <v>37</v>
      </c>
      <c r="G350" s="11">
        <v>2017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 t="str">
        <f>"835.15"</f>
        <v>835.15</v>
      </c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>
      <c r="A351" s="9">
        <v>349</v>
      </c>
      <c r="B351" s="9">
        <v>10776</v>
      </c>
      <c r="C351" s="9" t="s">
        <v>482</v>
      </c>
      <c r="D351" s="9" t="s">
        <v>71</v>
      </c>
      <c r="E351" s="10" t="str">
        <f>"875.15"</f>
        <v>875.15</v>
      </c>
      <c r="F351" s="11" t="s">
        <v>37</v>
      </c>
      <c r="G351" s="11">
        <v>2017</v>
      </c>
      <c r="H351" s="12" t="str">
        <f>"1128.43"</f>
        <v>1128.43</v>
      </c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 t="str">
        <f>"835.15"</f>
        <v>835.15</v>
      </c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>
      <c r="A352" s="9">
        <v>350</v>
      </c>
      <c r="B352" s="9">
        <v>1217</v>
      </c>
      <c r="C352" s="9" t="s">
        <v>483</v>
      </c>
      <c r="D352" s="9" t="s">
        <v>419</v>
      </c>
      <c r="E352" s="10" t="str">
        <f>"1008.63"</f>
        <v>1008.63</v>
      </c>
      <c r="F352" s="11" t="s">
        <v>37</v>
      </c>
      <c r="G352" s="11">
        <v>2017</v>
      </c>
      <c r="H352" s="12" t="str">
        <f>"840.97"</f>
        <v>840.97</v>
      </c>
      <c r="I352" s="12"/>
      <c r="J352" s="12"/>
      <c r="K352" s="12"/>
      <c r="L352" s="12"/>
      <c r="M352" s="12"/>
      <c r="N352" s="12"/>
      <c r="O352" s="12"/>
      <c r="P352" s="12" t="str">
        <f>"968.63"</f>
        <v>968.63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>
      <c r="A353" s="9">
        <v>351</v>
      </c>
      <c r="B353" s="9">
        <v>10777</v>
      </c>
      <c r="C353" s="9" t="s">
        <v>484</v>
      </c>
      <c r="D353" s="9" t="s">
        <v>71</v>
      </c>
      <c r="E353" s="10" t="str">
        <f>"1107.92"</f>
        <v>1107.92</v>
      </c>
      <c r="F353" s="11" t="s">
        <v>40</v>
      </c>
      <c r="G353" s="11">
        <v>2017</v>
      </c>
      <c r="H353" s="12" t="str">
        <f>"1067.92"</f>
        <v>1067.92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>
      <c r="A354" s="9">
        <v>352</v>
      </c>
      <c r="B354" s="9">
        <v>11170</v>
      </c>
      <c r="C354" s="9" t="s">
        <v>485</v>
      </c>
      <c r="D354" s="9" t="s">
        <v>71</v>
      </c>
      <c r="E354" s="10" t="str">
        <f>"1211.10"</f>
        <v>1211.10</v>
      </c>
      <c r="F354" s="11"/>
      <c r="G354" s="11">
        <v>2017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 t="str">
        <f>"1255.55"</f>
        <v>1255.55</v>
      </c>
      <c r="X354" s="12"/>
      <c r="Y354" s="12"/>
      <c r="Z354" s="12"/>
      <c r="AA354" s="12"/>
      <c r="AB354" s="12"/>
      <c r="AC354" s="12"/>
      <c r="AD354" s="12"/>
      <c r="AE354" s="12"/>
      <c r="AF354" s="12" t="str">
        <f>"1166.65"</f>
        <v>1166.65</v>
      </c>
      <c r="AG354" s="12"/>
      <c r="AH354" s="12"/>
    </row>
    <row r="355" spans="1:34">
      <c r="A355" s="9">
        <v>353</v>
      </c>
      <c r="B355" s="9">
        <v>11220</v>
      </c>
      <c r="C355" s="9" t="s">
        <v>486</v>
      </c>
      <c r="D355" s="9" t="s">
        <v>71</v>
      </c>
      <c r="E355" s="10" t="str">
        <f>"1425.78"</f>
        <v>1425.78</v>
      </c>
      <c r="F355" s="11" t="s">
        <v>37</v>
      </c>
      <c r="G355" s="11">
        <v>2017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 t="str">
        <f>"1385.78"</f>
        <v>1385.78</v>
      </c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</sheetData>
  <sheetProtection password="8FA1" sheet="1" objects="1" scenarios="1" sort="0" autoFilter="0"/>
  <autoFilter ref="A2:AH355"/>
  <phoneticPr fontId="18"/>
  <pageMargins left="0.7" right="0.7" top="0.75" bottom="0.75" header="0.3" footer="0.3"/>
  <pageSetup paperSize="8" scale="6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女子ＧＳ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2017-07-20T01:45:50Z</cp:lastPrinted>
  <dcterms:created xsi:type="dcterms:W3CDTF">2017-07-08T00:29:35Z</dcterms:created>
  <dcterms:modified xsi:type="dcterms:W3CDTF">2017-07-20T01:47:04Z</dcterms:modified>
</cp:coreProperties>
</file>