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5" rupBuild="18229"/>
  <workbookPr defaultThemeVersion="124226"/>
  <mc:AlternateContent xmlns:mc="http://schemas.openxmlformats.org/markup-compatibility/2006">
    <mc:Choice Requires="x15">
      <x15ac:absPath xmlns:x15ac="http://schemas.microsoft.com/office/spreadsheetml/2010/11/ac" url="\\Sat_server2016\disk1\SAT_server2016（Ｕ：共有）\★各本部(総務・競技・教育)\競技本部\2017ー\2016-17アルペンポイントリストNO.3\"/>
    </mc:Choice>
  </mc:AlternateContent>
  <bookViews>
    <workbookView xWindow="0" yWindow="0" windowWidth="20250" windowHeight="10890"/>
  </bookViews>
  <sheets>
    <sheet name="女子ＧＳ" sheetId="1" r:id="rId1"/>
  </sheets>
  <definedNames>
    <definedName name="_xlnm._FilterDatabase" localSheetId="0" hidden="1">女子ＧＳ!$A$2:$AH$355</definedName>
  </definedNames>
  <calcPr calcId="171027"/>
</workbook>
</file>

<file path=xl/calcChain.xml><?xml version="1.0" encoding="utf-8"?>
<calcChain xmlns="http://schemas.openxmlformats.org/spreadsheetml/2006/main">
  <c r="E3" i="1" l="1"/>
  <c r="H3" i="1"/>
  <c r="J3" i="1"/>
  <c r="E4" i="1"/>
  <c r="H4" i="1"/>
  <c r="E5" i="1"/>
  <c r="H5" i="1"/>
  <c r="E6" i="1"/>
  <c r="J6" i="1"/>
  <c r="E7" i="1"/>
  <c r="H7" i="1"/>
  <c r="I7" i="1"/>
  <c r="J7" i="1"/>
  <c r="O7" i="1"/>
  <c r="E8" i="1"/>
  <c r="H8" i="1"/>
  <c r="I8" i="1"/>
  <c r="J8" i="1"/>
  <c r="M8" i="1"/>
  <c r="N8" i="1"/>
  <c r="E9" i="1"/>
  <c r="H9" i="1"/>
  <c r="I9" i="1"/>
  <c r="J9" i="1"/>
  <c r="E10" i="1"/>
  <c r="H10" i="1"/>
  <c r="I10" i="1"/>
  <c r="J10" i="1"/>
  <c r="E11" i="1"/>
  <c r="H11" i="1"/>
  <c r="I11" i="1"/>
  <c r="J11" i="1"/>
  <c r="M11" i="1"/>
  <c r="N11" i="1"/>
  <c r="Z11" i="1"/>
  <c r="AA11" i="1"/>
  <c r="AG11" i="1"/>
  <c r="AH11" i="1"/>
  <c r="E12" i="1"/>
  <c r="H12" i="1"/>
  <c r="I12" i="1"/>
  <c r="J12" i="1"/>
  <c r="O12" i="1"/>
  <c r="V12" i="1"/>
  <c r="E13" i="1"/>
  <c r="H13" i="1"/>
  <c r="I13" i="1"/>
  <c r="J13" i="1"/>
  <c r="O13" i="1"/>
  <c r="E14" i="1"/>
  <c r="H14" i="1"/>
  <c r="E15" i="1"/>
  <c r="H15" i="1"/>
  <c r="I15" i="1"/>
  <c r="J15" i="1"/>
  <c r="M15" i="1"/>
  <c r="N15" i="1"/>
  <c r="Z15" i="1"/>
  <c r="AA15" i="1"/>
  <c r="AG15" i="1"/>
  <c r="AH15" i="1"/>
  <c r="E16" i="1"/>
  <c r="H16" i="1"/>
  <c r="E17" i="1"/>
  <c r="H17" i="1"/>
  <c r="I17" i="1"/>
  <c r="J17" i="1"/>
  <c r="O17" i="1"/>
  <c r="E18" i="1"/>
  <c r="H18" i="1"/>
  <c r="I18" i="1"/>
  <c r="J18" i="1"/>
  <c r="M18" i="1"/>
  <c r="N18" i="1"/>
  <c r="E19" i="1"/>
  <c r="H19" i="1"/>
  <c r="O19" i="1"/>
  <c r="X19" i="1"/>
  <c r="AD19" i="1"/>
  <c r="AE19" i="1"/>
  <c r="AF19" i="1"/>
  <c r="E20" i="1"/>
  <c r="H20" i="1"/>
  <c r="I20" i="1"/>
  <c r="J20" i="1"/>
  <c r="E21" i="1"/>
  <c r="H21" i="1"/>
  <c r="I21" i="1"/>
  <c r="J21" i="1"/>
  <c r="O21" i="1"/>
  <c r="E22" i="1"/>
  <c r="H22" i="1"/>
  <c r="I22" i="1"/>
  <c r="N22" i="1"/>
  <c r="O22" i="1"/>
  <c r="U22" i="1"/>
  <c r="Z22" i="1"/>
  <c r="AA22" i="1"/>
  <c r="AD22" i="1"/>
  <c r="AG22" i="1"/>
  <c r="AH22" i="1"/>
  <c r="E23" i="1"/>
  <c r="H23" i="1"/>
  <c r="J23" i="1"/>
  <c r="O23" i="1"/>
  <c r="Z23" i="1"/>
  <c r="AA23" i="1"/>
  <c r="E24" i="1"/>
  <c r="H24" i="1"/>
  <c r="O24" i="1"/>
  <c r="R24" i="1"/>
  <c r="E25" i="1"/>
  <c r="H25" i="1"/>
  <c r="O25" i="1"/>
  <c r="R25" i="1"/>
  <c r="U25" i="1"/>
  <c r="W25" i="1"/>
  <c r="AH25" i="1"/>
  <c r="E26" i="1"/>
  <c r="H26" i="1"/>
  <c r="O26" i="1"/>
  <c r="X26" i="1"/>
  <c r="E27" i="1"/>
  <c r="H27" i="1"/>
  <c r="I27" i="1"/>
  <c r="J27" i="1"/>
  <c r="E28" i="1"/>
  <c r="H28" i="1"/>
  <c r="I28" i="1"/>
  <c r="J28" i="1"/>
  <c r="N28" i="1"/>
  <c r="AA28" i="1"/>
  <c r="AH28" i="1"/>
  <c r="E29" i="1"/>
  <c r="H29" i="1"/>
  <c r="K29" i="1"/>
  <c r="L29" i="1"/>
  <c r="O29" i="1"/>
  <c r="V29" i="1"/>
  <c r="X29" i="1"/>
  <c r="Y29" i="1"/>
  <c r="AB29" i="1"/>
  <c r="AC29" i="1"/>
  <c r="AD29" i="1"/>
  <c r="E30" i="1"/>
  <c r="H30" i="1"/>
  <c r="R30" i="1"/>
  <c r="U30" i="1"/>
  <c r="W30" i="1"/>
  <c r="X30" i="1"/>
  <c r="Y30" i="1"/>
  <c r="E31" i="1"/>
  <c r="H31" i="1"/>
  <c r="I31" i="1"/>
  <c r="J31" i="1"/>
  <c r="M31" i="1"/>
  <c r="N31" i="1"/>
  <c r="E32" i="1"/>
  <c r="H32" i="1"/>
  <c r="I32" i="1"/>
  <c r="J32" i="1"/>
  <c r="AC32" i="1"/>
  <c r="E33" i="1"/>
  <c r="H33" i="1"/>
  <c r="J33" i="1"/>
  <c r="N33" i="1"/>
  <c r="AA33" i="1"/>
  <c r="AG33" i="1"/>
  <c r="AH33" i="1"/>
  <c r="E34" i="1"/>
  <c r="H34" i="1"/>
  <c r="E35" i="1"/>
  <c r="H35" i="1"/>
  <c r="I35" i="1"/>
  <c r="J35" i="1"/>
  <c r="N35" i="1"/>
  <c r="AA35" i="1"/>
  <c r="E36" i="1"/>
  <c r="H36" i="1"/>
  <c r="K36" i="1"/>
  <c r="L36" i="1"/>
  <c r="O36" i="1"/>
  <c r="AE36" i="1"/>
  <c r="E37" i="1"/>
  <c r="H37" i="1"/>
  <c r="O37" i="1"/>
  <c r="V37" i="1"/>
  <c r="X37" i="1"/>
  <c r="Y37" i="1"/>
  <c r="AB37" i="1"/>
  <c r="AC37" i="1"/>
  <c r="AE37" i="1"/>
  <c r="AF37" i="1"/>
  <c r="E38" i="1"/>
  <c r="H38" i="1"/>
  <c r="E39" i="1"/>
  <c r="H39" i="1"/>
  <c r="E40" i="1"/>
  <c r="H40" i="1"/>
  <c r="R40" i="1"/>
  <c r="U40" i="1"/>
  <c r="W40" i="1"/>
  <c r="E41" i="1"/>
  <c r="H41" i="1"/>
  <c r="I41" i="1"/>
  <c r="J41" i="1"/>
  <c r="O41" i="1"/>
  <c r="X41" i="1"/>
  <c r="Y41" i="1"/>
  <c r="E42" i="1"/>
  <c r="M42" i="1"/>
  <c r="N42" i="1"/>
  <c r="Z42" i="1"/>
  <c r="AA42" i="1"/>
  <c r="AE42" i="1"/>
  <c r="AF42" i="1"/>
  <c r="AH42" i="1"/>
  <c r="E43" i="1"/>
  <c r="H43" i="1"/>
  <c r="O43" i="1"/>
  <c r="U43" i="1"/>
  <c r="E44" i="1"/>
  <c r="H44" i="1"/>
  <c r="I44" i="1"/>
  <c r="J44" i="1"/>
  <c r="N44" i="1"/>
  <c r="E45" i="1"/>
  <c r="H45" i="1"/>
  <c r="K45" i="1"/>
  <c r="L45" i="1"/>
  <c r="E46" i="1"/>
  <c r="H46" i="1"/>
  <c r="R46" i="1"/>
  <c r="W46" i="1"/>
  <c r="E47" i="1"/>
  <c r="H47" i="1"/>
  <c r="R47" i="1"/>
  <c r="U47" i="1"/>
  <c r="W47" i="1"/>
  <c r="E48" i="1"/>
  <c r="H48" i="1"/>
  <c r="O48" i="1"/>
  <c r="X48" i="1"/>
  <c r="E49" i="1"/>
  <c r="H49" i="1"/>
  <c r="I49" i="1"/>
  <c r="J49" i="1"/>
  <c r="O49" i="1"/>
  <c r="AA49" i="1"/>
  <c r="AH49" i="1"/>
  <c r="E50" i="1"/>
  <c r="H50" i="1"/>
  <c r="AB50" i="1"/>
  <c r="AC50" i="1"/>
  <c r="E52" i="1"/>
  <c r="H52" i="1"/>
  <c r="N52" i="1"/>
  <c r="Z52" i="1"/>
  <c r="AA52" i="1"/>
  <c r="AG52" i="1"/>
  <c r="AH52" i="1"/>
  <c r="E53" i="1"/>
  <c r="H53" i="1"/>
  <c r="N53" i="1"/>
  <c r="AA53" i="1"/>
  <c r="AF53" i="1"/>
  <c r="E54" i="1"/>
  <c r="H54" i="1"/>
  <c r="I54" i="1"/>
  <c r="J54" i="1"/>
  <c r="R54" i="1"/>
  <c r="U54" i="1"/>
  <c r="W54" i="1"/>
  <c r="E55" i="1"/>
  <c r="H55" i="1"/>
  <c r="R55" i="1"/>
  <c r="X55" i="1"/>
  <c r="Y55" i="1"/>
  <c r="E56" i="1"/>
  <c r="H56" i="1"/>
  <c r="E57" i="1"/>
  <c r="H57" i="1"/>
  <c r="N57" i="1"/>
  <c r="AA57" i="1"/>
  <c r="AD57" i="1"/>
  <c r="AF57" i="1"/>
  <c r="AH57" i="1"/>
  <c r="E58" i="1"/>
  <c r="H58" i="1"/>
  <c r="I58" i="1"/>
  <c r="J58" i="1"/>
  <c r="N58" i="1"/>
  <c r="AA58" i="1"/>
  <c r="E59" i="1"/>
  <c r="H59" i="1"/>
  <c r="N59" i="1"/>
  <c r="AA59" i="1"/>
  <c r="AF59" i="1"/>
  <c r="AH59" i="1"/>
  <c r="E60" i="1"/>
  <c r="H60" i="1"/>
  <c r="I60" i="1"/>
  <c r="J60" i="1"/>
  <c r="W60" i="1"/>
  <c r="E62" i="1"/>
  <c r="H62" i="1"/>
  <c r="I62" i="1"/>
  <c r="J62" i="1"/>
  <c r="P62" i="1"/>
  <c r="V62" i="1"/>
  <c r="X62" i="1"/>
  <c r="Y62" i="1"/>
  <c r="AD62" i="1"/>
  <c r="E63" i="1"/>
  <c r="H63" i="1"/>
  <c r="N63" i="1"/>
  <c r="AA63" i="1"/>
  <c r="AH63" i="1"/>
  <c r="E64" i="1"/>
  <c r="H64" i="1"/>
  <c r="I64" i="1"/>
  <c r="J64" i="1"/>
  <c r="P64" i="1"/>
  <c r="E65" i="1"/>
  <c r="H65" i="1"/>
  <c r="R65" i="1"/>
  <c r="W65" i="1"/>
  <c r="E66" i="1"/>
  <c r="H66" i="1"/>
  <c r="I66" i="1"/>
  <c r="J66" i="1"/>
  <c r="O66" i="1"/>
  <c r="X66" i="1"/>
  <c r="Y66" i="1"/>
  <c r="AB66" i="1"/>
  <c r="AC66" i="1"/>
  <c r="AD66" i="1"/>
  <c r="E67" i="1"/>
  <c r="H67" i="1"/>
  <c r="W67" i="1"/>
  <c r="X67" i="1"/>
  <c r="Y67" i="1"/>
  <c r="E68" i="1"/>
  <c r="H68" i="1"/>
  <c r="R68" i="1"/>
  <c r="E69" i="1"/>
  <c r="I69" i="1"/>
  <c r="J69" i="1"/>
  <c r="M69" i="1"/>
  <c r="N69" i="1"/>
  <c r="Z69" i="1"/>
  <c r="AA69" i="1"/>
  <c r="E70" i="1"/>
  <c r="H70" i="1"/>
  <c r="E71" i="1"/>
  <c r="H71" i="1"/>
  <c r="X71" i="1"/>
  <c r="Y71" i="1"/>
  <c r="AD71" i="1"/>
  <c r="E72" i="1"/>
  <c r="R72" i="1"/>
  <c r="W72" i="1"/>
  <c r="E73" i="1"/>
  <c r="H73" i="1"/>
  <c r="E74" i="1"/>
  <c r="H74" i="1"/>
  <c r="N74" i="1"/>
  <c r="AA74" i="1"/>
  <c r="AH74" i="1"/>
  <c r="E75" i="1"/>
  <c r="H75" i="1"/>
  <c r="L75" i="1"/>
  <c r="O75" i="1"/>
  <c r="E76" i="1"/>
  <c r="H76" i="1"/>
  <c r="H61" i="1"/>
  <c r="E77" i="1"/>
  <c r="I77" i="1"/>
  <c r="E78" i="1"/>
  <c r="M78" i="1"/>
  <c r="N78" i="1"/>
  <c r="Z78" i="1"/>
  <c r="AA78" i="1"/>
  <c r="AH78" i="1"/>
  <c r="E79" i="1"/>
  <c r="H79" i="1"/>
  <c r="R79" i="1"/>
  <c r="U79" i="1"/>
  <c r="AG79" i="1"/>
  <c r="AH79" i="1"/>
  <c r="E80" i="1"/>
  <c r="H80" i="1"/>
  <c r="O80" i="1"/>
  <c r="X80" i="1"/>
  <c r="Y80" i="1"/>
  <c r="H51" i="1"/>
  <c r="AH51" i="1"/>
  <c r="E81" i="1"/>
  <c r="H81" i="1"/>
  <c r="R81" i="1"/>
  <c r="U81" i="1"/>
  <c r="W81" i="1"/>
  <c r="X81" i="1"/>
  <c r="Y81" i="1"/>
  <c r="AD81" i="1"/>
  <c r="E82" i="1"/>
  <c r="H82" i="1"/>
  <c r="O82" i="1"/>
  <c r="R82" i="1"/>
  <c r="W82" i="1"/>
  <c r="AD82" i="1"/>
  <c r="E83" i="1"/>
  <c r="H83" i="1"/>
  <c r="Q83" i="1"/>
  <c r="T83" i="1"/>
  <c r="E84" i="1"/>
  <c r="H84" i="1"/>
  <c r="M84" i="1"/>
  <c r="N84" i="1"/>
  <c r="Z84" i="1"/>
  <c r="AA84" i="1"/>
  <c r="AF84" i="1"/>
  <c r="AH84" i="1"/>
  <c r="E85" i="1"/>
  <c r="H85" i="1"/>
  <c r="E86" i="1"/>
  <c r="H86" i="1"/>
  <c r="O86" i="1"/>
  <c r="E87" i="1"/>
  <c r="H87" i="1"/>
  <c r="J87" i="1"/>
  <c r="V87" i="1"/>
  <c r="X87" i="1"/>
  <c r="Y87" i="1"/>
  <c r="E88" i="1"/>
  <c r="R88" i="1"/>
  <c r="U88" i="1"/>
  <c r="W88" i="1"/>
  <c r="E89" i="1"/>
  <c r="H89" i="1"/>
  <c r="E90" i="1"/>
  <c r="H90" i="1"/>
  <c r="W90" i="1"/>
  <c r="E91" i="1"/>
  <c r="H91" i="1"/>
  <c r="O91" i="1"/>
  <c r="X91" i="1"/>
  <c r="Y91" i="1"/>
  <c r="AD91" i="1"/>
  <c r="AF91" i="1"/>
  <c r="E92" i="1"/>
  <c r="H92" i="1"/>
  <c r="R92" i="1"/>
  <c r="U92" i="1"/>
  <c r="W92" i="1"/>
  <c r="E93" i="1"/>
  <c r="H93" i="1"/>
  <c r="K93" i="1"/>
  <c r="L93" i="1"/>
  <c r="AE93" i="1"/>
  <c r="E94" i="1"/>
  <c r="H94" i="1"/>
  <c r="X94" i="1"/>
  <c r="Y94" i="1"/>
  <c r="E95" i="1"/>
  <c r="H95" i="1"/>
  <c r="R95" i="1"/>
  <c r="W95" i="1"/>
  <c r="E96" i="1"/>
  <c r="H96" i="1"/>
  <c r="O96" i="1"/>
  <c r="X96" i="1"/>
  <c r="Y96" i="1"/>
  <c r="AF96" i="1"/>
  <c r="E97" i="1"/>
  <c r="H97" i="1"/>
  <c r="O97" i="1"/>
  <c r="E98" i="1"/>
  <c r="H98" i="1"/>
  <c r="E99" i="1"/>
  <c r="H99" i="1"/>
  <c r="AD99" i="1"/>
  <c r="E100" i="1"/>
  <c r="H100" i="1"/>
  <c r="O100" i="1"/>
  <c r="V100" i="1"/>
  <c r="E101" i="1"/>
  <c r="H101" i="1"/>
  <c r="M101" i="1"/>
  <c r="N101" i="1"/>
  <c r="Z101" i="1"/>
  <c r="AA101" i="1"/>
  <c r="AH101" i="1"/>
  <c r="E102" i="1"/>
  <c r="H102" i="1"/>
  <c r="V102" i="1"/>
  <c r="E103" i="1"/>
  <c r="H103" i="1"/>
  <c r="R103" i="1"/>
  <c r="U103" i="1"/>
  <c r="W103" i="1"/>
  <c r="E104" i="1"/>
  <c r="H104" i="1"/>
  <c r="N104" i="1"/>
  <c r="AA104" i="1"/>
  <c r="E105" i="1"/>
  <c r="H105" i="1"/>
  <c r="E106" i="1"/>
  <c r="H106" i="1"/>
  <c r="P106" i="1"/>
  <c r="V106" i="1"/>
  <c r="E107" i="1"/>
  <c r="W107" i="1"/>
  <c r="AE107" i="1"/>
  <c r="AF107" i="1"/>
  <c r="E108" i="1"/>
  <c r="H108" i="1"/>
  <c r="Q108" i="1"/>
  <c r="T108" i="1"/>
  <c r="E109" i="1"/>
  <c r="H109" i="1"/>
  <c r="AD109" i="1"/>
  <c r="E110" i="1"/>
  <c r="H110" i="1"/>
  <c r="O110" i="1"/>
  <c r="AF110" i="1"/>
  <c r="E111" i="1"/>
  <c r="H111" i="1"/>
  <c r="J111" i="1"/>
  <c r="X111" i="1"/>
  <c r="Y111" i="1"/>
  <c r="E112" i="1"/>
  <c r="H112" i="1"/>
  <c r="X112" i="1"/>
  <c r="Y112" i="1"/>
  <c r="AC112" i="1"/>
  <c r="E113" i="1"/>
  <c r="H113" i="1"/>
  <c r="O113" i="1"/>
  <c r="V113" i="1"/>
  <c r="E114" i="1"/>
  <c r="H114" i="1"/>
  <c r="I114" i="1"/>
  <c r="J114" i="1"/>
  <c r="K114" i="1"/>
  <c r="L114" i="1"/>
  <c r="P114" i="1"/>
  <c r="V114" i="1"/>
  <c r="X114" i="1"/>
  <c r="Y114" i="1"/>
  <c r="AD114" i="1"/>
  <c r="E115" i="1"/>
  <c r="H115" i="1"/>
  <c r="AD115" i="1"/>
  <c r="AF115" i="1"/>
  <c r="AG115" i="1"/>
  <c r="AH115" i="1"/>
  <c r="E116" i="1"/>
  <c r="H116" i="1"/>
  <c r="Q116" i="1"/>
  <c r="S116" i="1"/>
  <c r="E117" i="1"/>
  <c r="O117" i="1"/>
  <c r="W117" i="1"/>
  <c r="E118" i="1"/>
  <c r="H118" i="1"/>
  <c r="R118" i="1"/>
  <c r="U118" i="1"/>
  <c r="W118" i="1"/>
  <c r="E119" i="1"/>
  <c r="H119" i="1"/>
  <c r="O119" i="1"/>
  <c r="V119" i="1"/>
  <c r="E120" i="1"/>
  <c r="H120" i="1"/>
  <c r="L120" i="1"/>
  <c r="AD120" i="1"/>
  <c r="E121" i="1"/>
  <c r="H121" i="1"/>
  <c r="Q121" i="1"/>
  <c r="S121" i="1"/>
  <c r="E122" i="1"/>
  <c r="H122" i="1"/>
  <c r="E123" i="1"/>
  <c r="H123" i="1"/>
  <c r="X123" i="1"/>
  <c r="Y123" i="1"/>
  <c r="E124" i="1"/>
  <c r="H124" i="1"/>
  <c r="R124" i="1"/>
  <c r="W124" i="1"/>
  <c r="X124" i="1"/>
  <c r="Y124" i="1"/>
  <c r="AD124" i="1"/>
  <c r="E125" i="1"/>
  <c r="H125" i="1"/>
  <c r="E126" i="1"/>
  <c r="H126" i="1"/>
  <c r="O126" i="1"/>
  <c r="R126" i="1"/>
  <c r="U126" i="1"/>
  <c r="W126" i="1"/>
  <c r="E127" i="1"/>
  <c r="H127" i="1"/>
  <c r="X127" i="1"/>
  <c r="Y127" i="1"/>
  <c r="E128" i="1"/>
  <c r="H128" i="1"/>
  <c r="N128" i="1"/>
  <c r="E129" i="1"/>
  <c r="H129" i="1"/>
  <c r="N129" i="1"/>
  <c r="AA129" i="1"/>
  <c r="E130" i="1"/>
  <c r="H130" i="1"/>
  <c r="E131" i="1"/>
  <c r="H131" i="1"/>
  <c r="E132" i="1"/>
  <c r="H132" i="1"/>
  <c r="Q132" i="1"/>
  <c r="E133" i="1"/>
  <c r="H133" i="1"/>
  <c r="I133" i="1"/>
  <c r="J133" i="1"/>
  <c r="M133" i="1"/>
  <c r="N133" i="1"/>
  <c r="Z133" i="1"/>
  <c r="AA133" i="1"/>
  <c r="AG133" i="1"/>
  <c r="AH133" i="1"/>
  <c r="E134" i="1"/>
  <c r="H134" i="1"/>
  <c r="I134" i="1"/>
  <c r="M134" i="1"/>
  <c r="N134" i="1"/>
  <c r="E135" i="1"/>
  <c r="H135" i="1"/>
  <c r="K135" i="1"/>
  <c r="L135" i="1"/>
  <c r="V135" i="1"/>
  <c r="E136" i="1"/>
  <c r="H136" i="1"/>
  <c r="R136" i="1"/>
  <c r="U136" i="1"/>
  <c r="E137" i="1"/>
  <c r="H137" i="1"/>
  <c r="Q137" i="1"/>
  <c r="T137" i="1"/>
  <c r="E138" i="1"/>
  <c r="X138" i="1"/>
  <c r="Y138" i="1"/>
  <c r="AB138" i="1"/>
  <c r="AD138" i="1"/>
  <c r="E139" i="1"/>
  <c r="H139" i="1"/>
  <c r="M139" i="1"/>
  <c r="N139" i="1"/>
  <c r="Z139" i="1"/>
  <c r="AA139" i="1"/>
  <c r="AG139" i="1"/>
  <c r="AH139" i="1"/>
  <c r="E140" i="1"/>
  <c r="H140" i="1"/>
  <c r="E141" i="1"/>
  <c r="H141" i="1"/>
  <c r="E142" i="1"/>
  <c r="H142" i="1"/>
  <c r="I142" i="1"/>
  <c r="J142" i="1"/>
  <c r="O142" i="1"/>
  <c r="AB142" i="1"/>
  <c r="E143" i="1"/>
  <c r="H143" i="1"/>
  <c r="AD143" i="1"/>
  <c r="E144" i="1"/>
  <c r="X144" i="1"/>
  <c r="Y144" i="1"/>
  <c r="E145" i="1"/>
  <c r="H145" i="1"/>
  <c r="O145" i="1"/>
  <c r="X145" i="1"/>
  <c r="Y145" i="1"/>
  <c r="AD145" i="1"/>
  <c r="E146" i="1"/>
  <c r="U146" i="1"/>
  <c r="W146" i="1"/>
  <c r="X146" i="1"/>
  <c r="Y146" i="1"/>
  <c r="AD146" i="1"/>
  <c r="AF146" i="1"/>
  <c r="E147" i="1"/>
  <c r="H147" i="1"/>
  <c r="U147" i="1"/>
  <c r="W147" i="1"/>
  <c r="E148" i="1"/>
  <c r="H148" i="1"/>
  <c r="E149" i="1"/>
  <c r="H149" i="1"/>
  <c r="X149" i="1"/>
  <c r="Y149" i="1"/>
  <c r="E150" i="1"/>
  <c r="H150" i="1"/>
  <c r="O150" i="1"/>
  <c r="X150" i="1"/>
  <c r="Y150" i="1"/>
  <c r="AB150" i="1"/>
  <c r="AC150" i="1"/>
  <c r="AD150" i="1"/>
  <c r="E151" i="1"/>
  <c r="H151" i="1"/>
  <c r="K151" i="1"/>
  <c r="L151" i="1"/>
  <c r="E152" i="1"/>
  <c r="H152" i="1"/>
  <c r="K152" i="1"/>
  <c r="L152" i="1"/>
  <c r="O152" i="1"/>
  <c r="V152" i="1"/>
  <c r="E153" i="1"/>
  <c r="H153" i="1"/>
  <c r="O153" i="1"/>
  <c r="X153" i="1"/>
  <c r="Y153" i="1"/>
  <c r="AD153" i="1"/>
  <c r="E154" i="1"/>
  <c r="H154" i="1"/>
  <c r="Q154" i="1"/>
  <c r="T154" i="1"/>
  <c r="E155" i="1"/>
  <c r="H155" i="1"/>
  <c r="E156" i="1"/>
  <c r="H156" i="1"/>
  <c r="E157" i="1"/>
  <c r="H157" i="1"/>
  <c r="W157" i="1"/>
  <c r="X157" i="1"/>
  <c r="Y157" i="1"/>
  <c r="AF157" i="1"/>
  <c r="E158" i="1"/>
  <c r="H158" i="1"/>
  <c r="E159" i="1"/>
  <c r="H159" i="1"/>
  <c r="K159" i="1"/>
  <c r="L159" i="1"/>
  <c r="O159" i="1"/>
  <c r="X159" i="1"/>
  <c r="Y159" i="1"/>
  <c r="E160" i="1"/>
  <c r="H160" i="1"/>
  <c r="E161" i="1"/>
  <c r="X161" i="1"/>
  <c r="Y161" i="1"/>
  <c r="E162" i="1"/>
  <c r="H162" i="1"/>
  <c r="V162" i="1"/>
  <c r="E163" i="1"/>
  <c r="H163" i="1"/>
  <c r="E164" i="1"/>
  <c r="H164" i="1"/>
  <c r="Q164" i="1"/>
  <c r="E165" i="1"/>
  <c r="H165" i="1"/>
  <c r="Q165" i="1"/>
  <c r="T165" i="1"/>
  <c r="E166" i="1"/>
  <c r="H166" i="1"/>
  <c r="K166" i="1"/>
  <c r="L166" i="1"/>
  <c r="E167" i="1"/>
  <c r="AG167" i="1"/>
  <c r="AH167" i="1"/>
  <c r="E168" i="1"/>
  <c r="H168" i="1"/>
  <c r="M168" i="1"/>
  <c r="Z168" i="1"/>
  <c r="AA168" i="1"/>
  <c r="AG168" i="1"/>
  <c r="AH168" i="1"/>
  <c r="E169" i="1"/>
  <c r="H169" i="1"/>
  <c r="U169" i="1"/>
  <c r="W169" i="1"/>
  <c r="X169" i="1"/>
  <c r="Y169" i="1"/>
  <c r="AD169" i="1"/>
  <c r="AF169" i="1"/>
  <c r="E170" i="1"/>
  <c r="H170" i="1"/>
  <c r="E171" i="1"/>
  <c r="H171" i="1"/>
  <c r="W171" i="1"/>
  <c r="X171" i="1"/>
  <c r="Y171" i="1"/>
  <c r="E172" i="1"/>
  <c r="H172" i="1"/>
  <c r="E173" i="1"/>
  <c r="H173" i="1"/>
  <c r="Q173" i="1"/>
  <c r="E174" i="1"/>
  <c r="H174" i="1"/>
  <c r="E175" i="1"/>
  <c r="H175" i="1"/>
  <c r="AB175" i="1"/>
  <c r="AC175" i="1"/>
  <c r="AE175" i="1"/>
  <c r="AF175" i="1"/>
  <c r="E176" i="1"/>
  <c r="H176" i="1"/>
  <c r="K176" i="1"/>
  <c r="L176" i="1"/>
  <c r="P176" i="1"/>
  <c r="E177" i="1"/>
  <c r="H177" i="1"/>
  <c r="K177" i="1"/>
  <c r="L177" i="1"/>
  <c r="P177" i="1"/>
  <c r="AE177" i="1"/>
  <c r="E178" i="1"/>
  <c r="H178" i="1"/>
  <c r="K178" i="1"/>
  <c r="L178" i="1"/>
  <c r="E179" i="1"/>
  <c r="H179" i="1"/>
  <c r="E180" i="1"/>
  <c r="H180" i="1"/>
  <c r="E181" i="1"/>
  <c r="H181" i="1"/>
  <c r="E182" i="1"/>
  <c r="H182" i="1"/>
  <c r="E183" i="1"/>
  <c r="H183" i="1"/>
  <c r="E184" i="1"/>
  <c r="S184" i="1"/>
  <c r="E185" i="1"/>
  <c r="H185" i="1"/>
  <c r="N185" i="1"/>
  <c r="AA185" i="1"/>
  <c r="E186" i="1"/>
  <c r="H186" i="1"/>
  <c r="N186" i="1"/>
  <c r="AA186" i="1"/>
  <c r="E187" i="1"/>
  <c r="H187" i="1"/>
  <c r="E188" i="1"/>
  <c r="H188" i="1"/>
  <c r="E189" i="1"/>
  <c r="H189" i="1"/>
  <c r="M189" i="1"/>
  <c r="N189" i="1"/>
  <c r="Z189" i="1"/>
  <c r="AA189" i="1"/>
  <c r="E190" i="1"/>
  <c r="H190" i="1"/>
  <c r="Q190" i="1"/>
  <c r="S190" i="1"/>
  <c r="E191" i="1"/>
  <c r="H191" i="1"/>
  <c r="W191" i="1"/>
  <c r="AF191" i="1"/>
  <c r="AG191" i="1"/>
  <c r="AH191" i="1"/>
  <c r="E192" i="1"/>
  <c r="H192" i="1"/>
  <c r="E193" i="1"/>
  <c r="H193" i="1"/>
  <c r="E194" i="1"/>
  <c r="V194" i="1"/>
  <c r="X194" i="1"/>
  <c r="E195" i="1"/>
  <c r="H195" i="1"/>
  <c r="K195" i="1"/>
  <c r="E196" i="1"/>
  <c r="H196" i="1"/>
  <c r="K196" i="1"/>
  <c r="L196" i="1"/>
  <c r="P196" i="1"/>
  <c r="E197" i="1"/>
  <c r="H197" i="1"/>
  <c r="E198" i="1"/>
  <c r="H198" i="1"/>
  <c r="M198" i="1"/>
  <c r="N198" i="1"/>
  <c r="AG198" i="1"/>
  <c r="AH198" i="1"/>
  <c r="E199" i="1"/>
  <c r="H199" i="1"/>
  <c r="E200" i="1"/>
  <c r="H200" i="1"/>
  <c r="Q200" i="1"/>
  <c r="S200" i="1"/>
  <c r="E201" i="1"/>
  <c r="H201" i="1"/>
  <c r="W201" i="1"/>
  <c r="AF201" i="1"/>
  <c r="E202" i="1"/>
  <c r="H202" i="1"/>
  <c r="U202" i="1"/>
  <c r="W202" i="1"/>
  <c r="X202" i="1"/>
  <c r="Y202" i="1"/>
  <c r="AD202" i="1"/>
  <c r="AF202" i="1"/>
  <c r="E203" i="1"/>
  <c r="H203" i="1"/>
  <c r="E204" i="1"/>
  <c r="H204" i="1"/>
  <c r="E205" i="1"/>
  <c r="H205" i="1"/>
  <c r="Q205" i="1"/>
  <c r="S205" i="1"/>
  <c r="E206" i="1"/>
  <c r="H206" i="1"/>
  <c r="X206" i="1"/>
  <c r="AD206" i="1"/>
  <c r="E207" i="1"/>
  <c r="H207" i="1"/>
  <c r="E208" i="1"/>
  <c r="H208" i="1"/>
  <c r="O208" i="1"/>
  <c r="W208" i="1"/>
  <c r="AF208" i="1"/>
  <c r="E209" i="1"/>
  <c r="H209" i="1"/>
  <c r="M209" i="1"/>
  <c r="N209" i="1"/>
  <c r="Z209" i="1"/>
  <c r="AA209" i="1"/>
  <c r="AG209" i="1"/>
  <c r="AH209" i="1"/>
  <c r="E210" i="1"/>
  <c r="H210" i="1"/>
  <c r="Q210" i="1"/>
  <c r="S210" i="1"/>
  <c r="E211" i="1"/>
  <c r="H211" i="1"/>
  <c r="E212" i="1"/>
  <c r="H212" i="1"/>
  <c r="J212" i="1"/>
  <c r="O212" i="1"/>
  <c r="V212" i="1"/>
  <c r="X212" i="1"/>
  <c r="Y212" i="1"/>
  <c r="AD212" i="1"/>
  <c r="AF212" i="1"/>
  <c r="E213" i="1"/>
  <c r="H213" i="1"/>
  <c r="E214" i="1"/>
  <c r="H214" i="1"/>
  <c r="E215" i="1"/>
  <c r="H215" i="1"/>
  <c r="E216" i="1"/>
  <c r="H216" i="1"/>
  <c r="Q216" i="1"/>
  <c r="S216" i="1"/>
  <c r="E217" i="1"/>
  <c r="H217" i="1"/>
  <c r="V217" i="1"/>
  <c r="E218" i="1"/>
  <c r="H218" i="1"/>
  <c r="Q218" i="1"/>
  <c r="T218" i="1"/>
  <c r="E219" i="1"/>
  <c r="H219" i="1"/>
  <c r="Q219" i="1"/>
  <c r="S219" i="1"/>
  <c r="E220" i="1"/>
  <c r="M220" i="1"/>
  <c r="Z220" i="1"/>
  <c r="AA220" i="1"/>
  <c r="AF220" i="1"/>
  <c r="AG220" i="1"/>
  <c r="AH220" i="1"/>
  <c r="E221" i="1"/>
  <c r="H221" i="1"/>
  <c r="E222" i="1"/>
  <c r="H222" i="1"/>
  <c r="E223" i="1"/>
  <c r="H223" i="1"/>
  <c r="E224" i="1"/>
  <c r="H224" i="1"/>
  <c r="E225" i="1"/>
  <c r="H225" i="1"/>
  <c r="I225" i="1"/>
  <c r="J225" i="1"/>
  <c r="M225" i="1"/>
  <c r="Z225" i="1"/>
  <c r="AG225" i="1"/>
  <c r="E226" i="1"/>
  <c r="H226" i="1"/>
  <c r="W226" i="1"/>
  <c r="X226" i="1"/>
  <c r="Y226" i="1"/>
  <c r="AD226" i="1"/>
  <c r="E227" i="1"/>
  <c r="H227" i="1"/>
  <c r="E228" i="1"/>
  <c r="S228" i="1"/>
  <c r="E229" i="1"/>
  <c r="H229" i="1"/>
  <c r="AF229" i="1"/>
  <c r="E230" i="1"/>
  <c r="H230" i="1"/>
  <c r="K230" i="1"/>
  <c r="P230" i="1"/>
  <c r="V230" i="1"/>
  <c r="E231" i="1"/>
  <c r="H231" i="1"/>
  <c r="E232" i="1"/>
  <c r="H232" i="1"/>
  <c r="E233" i="1"/>
  <c r="H233" i="1"/>
  <c r="N233" i="1"/>
  <c r="AA233" i="1"/>
  <c r="E234" i="1"/>
  <c r="H234" i="1"/>
  <c r="Q234" i="1"/>
  <c r="E235" i="1"/>
  <c r="H235" i="1"/>
  <c r="K235" i="1"/>
  <c r="E236" i="1"/>
  <c r="H236" i="1"/>
  <c r="E237" i="1"/>
  <c r="H237" i="1"/>
  <c r="U237" i="1"/>
  <c r="E238" i="1"/>
  <c r="H238" i="1"/>
  <c r="E239" i="1"/>
  <c r="S239" i="1"/>
  <c r="E240" i="1"/>
  <c r="H240" i="1"/>
  <c r="E241" i="1"/>
  <c r="H241" i="1"/>
  <c r="R241" i="1"/>
  <c r="W241" i="1"/>
  <c r="AF241" i="1"/>
  <c r="E242" i="1"/>
  <c r="P242" i="1"/>
  <c r="E243" i="1"/>
  <c r="H243" i="1"/>
  <c r="E244" i="1"/>
  <c r="H244" i="1"/>
  <c r="W244" i="1"/>
  <c r="E245" i="1"/>
  <c r="H245" i="1"/>
  <c r="E246" i="1"/>
  <c r="H246" i="1"/>
  <c r="E247" i="1"/>
  <c r="H247" i="1"/>
  <c r="Q247" i="1"/>
  <c r="E248" i="1"/>
  <c r="X248" i="1"/>
  <c r="AD248" i="1"/>
  <c r="E249" i="1"/>
  <c r="H249" i="1"/>
  <c r="E250" i="1"/>
  <c r="Z250" i="1"/>
  <c r="AG250" i="1"/>
  <c r="E251" i="1"/>
  <c r="H251" i="1"/>
  <c r="Q251" i="1"/>
  <c r="E252" i="1"/>
  <c r="H252" i="1"/>
  <c r="M252" i="1"/>
  <c r="N252" i="1"/>
  <c r="E253" i="1"/>
  <c r="W253" i="1"/>
  <c r="E254" i="1"/>
  <c r="H254" i="1"/>
  <c r="W254" i="1"/>
  <c r="E255" i="1"/>
  <c r="K255" i="1"/>
  <c r="L255" i="1"/>
  <c r="E256" i="1"/>
  <c r="W256" i="1"/>
  <c r="E257" i="1"/>
  <c r="H257" i="1"/>
  <c r="L257" i="1"/>
  <c r="V257" i="1"/>
  <c r="AC257" i="1"/>
  <c r="E258" i="1"/>
  <c r="H258" i="1"/>
  <c r="T258" i="1"/>
  <c r="E259" i="1"/>
  <c r="H259" i="1"/>
  <c r="L259" i="1"/>
  <c r="P259" i="1"/>
  <c r="AF259" i="1"/>
  <c r="E260" i="1"/>
  <c r="H260" i="1"/>
  <c r="Q260" i="1"/>
  <c r="S260" i="1"/>
  <c r="E261" i="1"/>
  <c r="H261" i="1"/>
  <c r="W261" i="1"/>
  <c r="E263" i="1"/>
  <c r="W263" i="1"/>
  <c r="E264" i="1"/>
  <c r="H264" i="1"/>
  <c r="E265" i="1"/>
  <c r="H265" i="1"/>
  <c r="E266" i="1"/>
  <c r="H266" i="1"/>
  <c r="S266" i="1"/>
  <c r="E267" i="1"/>
  <c r="H267" i="1"/>
  <c r="U267" i="1"/>
  <c r="W267" i="1"/>
  <c r="E268" i="1"/>
  <c r="H268" i="1"/>
  <c r="E269" i="1"/>
  <c r="H269" i="1"/>
  <c r="E270" i="1"/>
  <c r="H270" i="1"/>
  <c r="Q270" i="1"/>
  <c r="S270" i="1"/>
  <c r="E271" i="1"/>
  <c r="H271" i="1"/>
  <c r="K271" i="1"/>
  <c r="L271" i="1"/>
  <c r="V271" i="1"/>
  <c r="E272" i="1"/>
  <c r="H272" i="1"/>
  <c r="M272" i="1"/>
  <c r="N272" i="1"/>
  <c r="Z272" i="1"/>
  <c r="AA272" i="1"/>
  <c r="H262" i="1"/>
  <c r="E273" i="1"/>
  <c r="H273" i="1"/>
  <c r="W273" i="1"/>
  <c r="E274" i="1"/>
  <c r="H274" i="1"/>
  <c r="Q274" i="1"/>
  <c r="S274" i="1"/>
  <c r="E275" i="1"/>
  <c r="H275" i="1"/>
  <c r="E276" i="1"/>
  <c r="H276" i="1"/>
  <c r="E277" i="1"/>
  <c r="H277" i="1"/>
  <c r="W277" i="1"/>
  <c r="AF277" i="1"/>
  <c r="E278" i="1"/>
  <c r="H278" i="1"/>
  <c r="AD278" i="1"/>
  <c r="E279" i="1"/>
  <c r="U279" i="1"/>
  <c r="W279" i="1"/>
  <c r="X279" i="1"/>
  <c r="Y279" i="1"/>
  <c r="AD279" i="1"/>
  <c r="AF279" i="1"/>
  <c r="E280" i="1"/>
  <c r="H280" i="1"/>
  <c r="K280" i="1"/>
  <c r="E281" i="1"/>
  <c r="H281" i="1"/>
  <c r="E282" i="1"/>
  <c r="H282" i="1"/>
  <c r="M282" i="1"/>
  <c r="Z282" i="1"/>
  <c r="AG282" i="1"/>
  <c r="E283" i="1"/>
  <c r="H283" i="1"/>
  <c r="M283" i="1"/>
  <c r="Z283" i="1"/>
  <c r="AG283" i="1"/>
  <c r="E284" i="1"/>
  <c r="M284" i="1"/>
  <c r="U284" i="1"/>
  <c r="Z284" i="1"/>
  <c r="AA284" i="1"/>
  <c r="E285" i="1"/>
  <c r="H285" i="1"/>
  <c r="Q285" i="1"/>
  <c r="E286" i="1"/>
  <c r="W286" i="1"/>
  <c r="AD286" i="1"/>
  <c r="E287" i="1"/>
  <c r="W287" i="1"/>
  <c r="E288" i="1"/>
  <c r="M288" i="1"/>
  <c r="Z288" i="1"/>
  <c r="AG288" i="1"/>
  <c r="E289" i="1"/>
  <c r="AD289" i="1"/>
  <c r="E290" i="1"/>
  <c r="H290" i="1"/>
  <c r="E291" i="1"/>
  <c r="H291" i="1"/>
  <c r="E292" i="1"/>
  <c r="H292" i="1"/>
  <c r="Q292" i="1"/>
  <c r="E293" i="1"/>
  <c r="H293" i="1"/>
  <c r="K293" i="1"/>
  <c r="L293" i="1"/>
  <c r="O293" i="1"/>
  <c r="V293" i="1"/>
  <c r="X293" i="1"/>
  <c r="Y293" i="1"/>
  <c r="AB293" i="1"/>
  <c r="AC293" i="1"/>
  <c r="AD293" i="1"/>
  <c r="AF293" i="1"/>
  <c r="E294" i="1"/>
  <c r="W294" i="1"/>
  <c r="E295" i="1"/>
  <c r="H295" i="1"/>
  <c r="E296" i="1"/>
  <c r="H296" i="1"/>
  <c r="V296" i="1"/>
  <c r="E297" i="1"/>
  <c r="H297" i="1"/>
  <c r="X297" i="1"/>
  <c r="Y297" i="1"/>
  <c r="E298" i="1"/>
  <c r="H298" i="1"/>
  <c r="E299" i="1"/>
  <c r="H299" i="1"/>
  <c r="K299" i="1"/>
  <c r="L299" i="1"/>
  <c r="P299" i="1"/>
  <c r="E300" i="1"/>
  <c r="Q300" i="1"/>
  <c r="E301" i="1"/>
  <c r="S301" i="1"/>
  <c r="E302" i="1"/>
  <c r="H302" i="1"/>
  <c r="L302" i="1"/>
  <c r="E303" i="1"/>
  <c r="H303" i="1"/>
  <c r="E304" i="1"/>
  <c r="H304" i="1"/>
  <c r="Q304" i="1"/>
  <c r="E305" i="1"/>
  <c r="H305" i="1"/>
  <c r="W305" i="1"/>
  <c r="AF305" i="1"/>
  <c r="E306" i="1"/>
  <c r="H306" i="1"/>
  <c r="E307" i="1"/>
  <c r="H307" i="1"/>
  <c r="Q307" i="1"/>
  <c r="E308" i="1"/>
  <c r="H308" i="1"/>
  <c r="E309" i="1"/>
  <c r="H309" i="1"/>
  <c r="E310" i="1"/>
  <c r="H310" i="1"/>
  <c r="E311" i="1"/>
  <c r="S311" i="1"/>
  <c r="E312" i="1"/>
  <c r="AC312" i="1"/>
  <c r="AE312" i="1"/>
  <c r="E313" i="1"/>
  <c r="H313" i="1"/>
  <c r="W313" i="1"/>
  <c r="E314" i="1"/>
  <c r="M314" i="1"/>
  <c r="Z314" i="1"/>
  <c r="E315" i="1"/>
  <c r="H315" i="1"/>
  <c r="Q315" i="1"/>
  <c r="E316" i="1"/>
  <c r="Q316" i="1"/>
  <c r="E317" i="1"/>
  <c r="H317" i="1"/>
  <c r="E318" i="1"/>
  <c r="M318" i="1"/>
  <c r="AG318" i="1"/>
  <c r="E319" i="1"/>
  <c r="Q319" i="1"/>
  <c r="S319" i="1"/>
  <c r="E320" i="1"/>
  <c r="M320" i="1"/>
  <c r="Z320" i="1"/>
  <c r="AG320" i="1"/>
  <c r="E321" i="1"/>
  <c r="Z321" i="1"/>
  <c r="AG321" i="1"/>
  <c r="E322" i="1"/>
  <c r="H322" i="1"/>
  <c r="E323" i="1"/>
  <c r="AB323" i="1"/>
  <c r="AC323" i="1"/>
  <c r="E324" i="1"/>
  <c r="H324" i="1"/>
  <c r="W324" i="1"/>
  <c r="AF324" i="1"/>
  <c r="E325" i="1"/>
  <c r="S325" i="1"/>
  <c r="E326" i="1"/>
  <c r="H326" i="1"/>
  <c r="W326" i="1"/>
  <c r="E327" i="1"/>
  <c r="H327" i="1"/>
  <c r="E328" i="1"/>
  <c r="M328" i="1"/>
  <c r="AG328" i="1"/>
  <c r="E329" i="1"/>
  <c r="S329" i="1"/>
  <c r="E330" i="1"/>
  <c r="Z330" i="1"/>
  <c r="E331" i="1"/>
  <c r="H331" i="1"/>
  <c r="Z331" i="1"/>
  <c r="E332" i="1"/>
  <c r="W332" i="1"/>
  <c r="E333" i="1"/>
  <c r="K333" i="1"/>
  <c r="L333" i="1"/>
  <c r="E334" i="1"/>
  <c r="W334" i="1"/>
  <c r="AF334" i="1"/>
  <c r="E335" i="1"/>
  <c r="H335" i="1"/>
  <c r="T335" i="1"/>
  <c r="E336" i="1"/>
  <c r="H336" i="1"/>
  <c r="E337" i="1"/>
  <c r="H337" i="1"/>
  <c r="M337" i="1"/>
  <c r="E338" i="1"/>
  <c r="H338" i="1"/>
  <c r="AF338" i="1"/>
  <c r="E339" i="1"/>
  <c r="M339" i="1"/>
  <c r="Z339" i="1"/>
  <c r="AG339" i="1"/>
  <c r="E340" i="1"/>
  <c r="H340" i="1"/>
  <c r="E341" i="1"/>
  <c r="W341" i="1"/>
  <c r="E342" i="1"/>
  <c r="H342" i="1"/>
  <c r="E343" i="1"/>
  <c r="H343" i="1"/>
  <c r="E344" i="1"/>
  <c r="H344" i="1"/>
  <c r="E345" i="1"/>
  <c r="W345" i="1"/>
  <c r="E346" i="1"/>
  <c r="H346" i="1"/>
  <c r="K346" i="1"/>
  <c r="L346" i="1"/>
  <c r="E347" i="1"/>
  <c r="AF347" i="1"/>
  <c r="E348" i="1"/>
  <c r="Z348" i="1"/>
  <c r="AG348" i="1"/>
  <c r="E349" i="1"/>
  <c r="S349" i="1"/>
  <c r="E350" i="1"/>
  <c r="W350" i="1"/>
  <c r="E351" i="1"/>
  <c r="H351" i="1"/>
  <c r="W351" i="1"/>
  <c r="E352" i="1"/>
  <c r="H352" i="1"/>
  <c r="P352" i="1"/>
  <c r="E353" i="1"/>
  <c r="H353" i="1"/>
  <c r="E354" i="1"/>
  <c r="W354" i="1"/>
  <c r="AF354" i="1"/>
  <c r="E355" i="1"/>
  <c r="W355" i="1"/>
</calcChain>
</file>

<file path=xl/sharedStrings.xml><?xml version="1.0" encoding="utf-8"?>
<sst xmlns="http://schemas.openxmlformats.org/spreadsheetml/2006/main" count="905" uniqueCount="490">
  <si>
    <t>女子(GS)</t>
  </si>
  <si>
    <t>順位</t>
  </si>
  <si>
    <t>SAT競技者番号</t>
  </si>
  <si>
    <t>選手氏名</t>
  </si>
  <si>
    <t>団体名</t>
  </si>
  <si>
    <t>期末ポイント</t>
  </si>
  <si>
    <t>期末Fig</t>
  </si>
  <si>
    <t>最終登録年度</t>
  </si>
  <si>
    <t>前年度ポイント</t>
  </si>
  <si>
    <t>①　国体予選 女子組</t>
  </si>
  <si>
    <t>①　猪谷杯 女子組</t>
  </si>
  <si>
    <t>②南関マス１戦 女子Ｃ</t>
  </si>
  <si>
    <t>②南関マス２戦 女子Ｃ</t>
  </si>
  <si>
    <t>⑩全国高校予選（選考会） 女子</t>
  </si>
  <si>
    <t>⑩全国高校予選（本大会） 女子</t>
  </si>
  <si>
    <t>⑬ＷＳＣ選手権 女子</t>
  </si>
  <si>
    <t>⑬ＷＳＣ選手権 女子Ｍ</t>
  </si>
  <si>
    <t>③関東ユース２ Ａ・Ｂ・Ｋ１女子</t>
  </si>
  <si>
    <t>③関東ユース２ Ｋ２女子</t>
  </si>
  <si>
    <t>④関東小学生 Ａ・Ｂ女子</t>
  </si>
  <si>
    <t>④関東小学生 Ｋ１女子</t>
  </si>
  <si>
    <t>⑤南関ユース Ｋ２女子</t>
  </si>
  <si>
    <t>⑥野沢マスターズ 女子Ｃ</t>
  </si>
  <si>
    <t>⑪全中予選 女子</t>
  </si>
  <si>
    <t>⑫グレーシャー１戦 女子</t>
  </si>
  <si>
    <t>⑫グレーシャー２戦 女子</t>
  </si>
  <si>
    <t>⑭都高校　選考会 女子</t>
  </si>
  <si>
    <t>⑭都高校　本大会 女子</t>
  </si>
  <si>
    <t>⑮苗場カップ　１戦 女子</t>
  </si>
  <si>
    <t>⑮苗場カップ　２戦 女子</t>
  </si>
  <si>
    <t>⑯野辺山カップ 女子</t>
  </si>
  <si>
    <t>⑰ふそうカップ 女子</t>
  </si>
  <si>
    <t>⑱アルペン複合 女子</t>
  </si>
  <si>
    <t>⑲春高校　選考会 女子</t>
  </si>
  <si>
    <t>⑲春高校　本大会 女子</t>
  </si>
  <si>
    <t>今野 明理</t>
  </si>
  <si>
    <t>ラッチ（RACH)</t>
  </si>
  <si>
    <t>①</t>
  </si>
  <si>
    <t>山口 ゆい</t>
  </si>
  <si>
    <t>東京都高等学校体育連盟スキー部</t>
  </si>
  <si>
    <t>*</t>
  </si>
  <si>
    <t>齋藤 夏実</t>
  </si>
  <si>
    <t>根本 風花</t>
  </si>
  <si>
    <t>中渡 智香</t>
  </si>
  <si>
    <t>足立区スキー協会</t>
  </si>
  <si>
    <t>鈴木 奈渚</t>
  </si>
  <si>
    <t>小俣 優香</t>
  </si>
  <si>
    <t>荒井 佑沙</t>
  </si>
  <si>
    <t>カンダハートライブ レーシング</t>
  </si>
  <si>
    <t>石渡 実香</t>
  </si>
  <si>
    <t>萩野 真由子</t>
  </si>
  <si>
    <t>サンダーグスキークラブ</t>
  </si>
  <si>
    <t>西川 桜子</t>
  </si>
  <si>
    <t>ＩＣＩ石井スポーツスキークラブ</t>
  </si>
  <si>
    <t>四戸 里美</t>
  </si>
  <si>
    <t>市川 紗理奈</t>
  </si>
  <si>
    <t>栗山 夏美</t>
  </si>
  <si>
    <t>八王子スキー連盟</t>
  </si>
  <si>
    <t>中谷 順子</t>
  </si>
  <si>
    <t>スノースケープ</t>
  </si>
  <si>
    <t>鈴木 さくら</t>
  </si>
  <si>
    <t>立野 里佳</t>
  </si>
  <si>
    <t>ディップス スキークラブ</t>
  </si>
  <si>
    <t>吉田 美輝子</t>
  </si>
  <si>
    <t>野辺山スキークラブ</t>
  </si>
  <si>
    <t>森田 亜紀</t>
  </si>
  <si>
    <t>チーム０２スキークラブ</t>
  </si>
  <si>
    <t>寺﨑 涼香</t>
  </si>
  <si>
    <t>西沢 優佳里</t>
  </si>
  <si>
    <t>堤 愛理</t>
  </si>
  <si>
    <t>渡辺 ひかる</t>
  </si>
  <si>
    <t>東京都中学校体育連盟スキー部</t>
  </si>
  <si>
    <t>森川 順子</t>
  </si>
  <si>
    <t>武蔵野市スキー連盟</t>
  </si>
  <si>
    <t>加藤 めぐみ</t>
  </si>
  <si>
    <t>ティンバーライン</t>
  </si>
  <si>
    <t>佐々木 茜</t>
  </si>
  <si>
    <t>穴井 まきこ</t>
  </si>
  <si>
    <t>ゲインレーシングチーム</t>
  </si>
  <si>
    <t>渡邊 倭</t>
  </si>
  <si>
    <t>佐藤 舞祐</t>
  </si>
  <si>
    <t>福山 駒千</t>
  </si>
  <si>
    <t>東京カモシカスキークラブ</t>
  </si>
  <si>
    <t>平野 沙織</t>
  </si>
  <si>
    <t>鎌田 優衣</t>
  </si>
  <si>
    <t>小林 由</t>
  </si>
  <si>
    <t>大金 昭子</t>
  </si>
  <si>
    <t>北区スキー連盟</t>
  </si>
  <si>
    <t>吉澤 恭子</t>
  </si>
  <si>
    <t>エーデル・スキー・クラブ</t>
  </si>
  <si>
    <t>保坂 礼子</t>
  </si>
  <si>
    <t>アスペンスキークラブ</t>
  </si>
  <si>
    <t>南久松 奈々</t>
  </si>
  <si>
    <t>エスプーマスキーチーム</t>
  </si>
  <si>
    <t>福岡 真子</t>
  </si>
  <si>
    <t>中田 萌</t>
  </si>
  <si>
    <t>中桐 悠夏</t>
  </si>
  <si>
    <t>山田 かれん</t>
  </si>
  <si>
    <t>柳 志恵</t>
  </si>
  <si>
    <t>田中 悦子</t>
  </si>
  <si>
    <t>高原 里歩</t>
  </si>
  <si>
    <t>嶋崎 愛文</t>
  </si>
  <si>
    <t>吉田 絢音</t>
  </si>
  <si>
    <t>東京デフスキークラブ</t>
  </si>
  <si>
    <t>荻野 咲子</t>
  </si>
  <si>
    <t>山下 真衣亜</t>
  </si>
  <si>
    <t>寶田 奈緒</t>
  </si>
  <si>
    <t>岩崎 愛</t>
  </si>
  <si>
    <t>齋藤 きらり</t>
  </si>
  <si>
    <t>原田 朱莉</t>
  </si>
  <si>
    <t>大塚 綾子</t>
  </si>
  <si>
    <t>ステューピッドスキークラブ</t>
  </si>
  <si>
    <t>齊藤 友風</t>
  </si>
  <si>
    <t>谷合 海南</t>
  </si>
  <si>
    <t>小倉 悠穂</t>
  </si>
  <si>
    <t>大川 瑚夏</t>
  </si>
  <si>
    <t>伊藤 康代</t>
  </si>
  <si>
    <t>ＭＡＸＩＭＵＭスキーチーム</t>
  </si>
  <si>
    <t>鈴木 眞乃</t>
  </si>
  <si>
    <t>中島 圭子</t>
  </si>
  <si>
    <t>楠本 夏花</t>
  </si>
  <si>
    <t>深澤 かおり</t>
  </si>
  <si>
    <t>ホリディスキークラブ</t>
  </si>
  <si>
    <t>齊藤 瑚子</t>
  </si>
  <si>
    <t>ジューディッチ マリアキアラ</t>
  </si>
  <si>
    <t>樋田 葵</t>
  </si>
  <si>
    <t>松本 亜希子</t>
  </si>
  <si>
    <t>浅貝スキークラブ</t>
  </si>
  <si>
    <t>増田 真実子</t>
  </si>
  <si>
    <t>東京スキー研究会</t>
  </si>
  <si>
    <t>北森 渚砂</t>
  </si>
  <si>
    <t>船田 美咲</t>
  </si>
  <si>
    <t>山下 栄海由</t>
  </si>
  <si>
    <t>室田 陽子</t>
  </si>
  <si>
    <t>ＵＮＯスキークラブ</t>
  </si>
  <si>
    <t>小野崎 萌</t>
  </si>
  <si>
    <t>市川 美枝子</t>
  </si>
  <si>
    <t>若葉スキークラブ</t>
  </si>
  <si>
    <t>酒井 瞳</t>
  </si>
  <si>
    <t>アカデミースキークラブ</t>
  </si>
  <si>
    <t>田中 菜々恵</t>
  </si>
  <si>
    <t>永瀬 姫菜</t>
  </si>
  <si>
    <t>大髙 千絵</t>
  </si>
  <si>
    <t>西沢 菜央</t>
  </si>
  <si>
    <t>鳴島 沙紀</t>
  </si>
  <si>
    <t>小林 香乃子</t>
  </si>
  <si>
    <t>上條 蓮奈</t>
  </si>
  <si>
    <t>チームディーエルベーハースキークラブ</t>
  </si>
  <si>
    <t>猪野 愛梨亜</t>
  </si>
  <si>
    <t>金綱 志保</t>
  </si>
  <si>
    <t>松山 暁</t>
  </si>
  <si>
    <t>東京アマチュア・スキー・クラブ</t>
  </si>
  <si>
    <t>谷 紀子</t>
  </si>
  <si>
    <t>日立製作所本社スキー部</t>
  </si>
  <si>
    <t>園部 水優</t>
  </si>
  <si>
    <t>鈴木 美冬</t>
  </si>
  <si>
    <t>練馬区スキー協会</t>
  </si>
  <si>
    <t>梅園 紗也夏</t>
  </si>
  <si>
    <t>酒井 あすか</t>
  </si>
  <si>
    <t>チロルスキークラブ</t>
  </si>
  <si>
    <t>荻野 奈々子</t>
  </si>
  <si>
    <t>斉藤 絵美子</t>
  </si>
  <si>
    <t>大田区役所スキー部</t>
  </si>
  <si>
    <t>杉下 千明</t>
  </si>
  <si>
    <t>中俣 美咲</t>
  </si>
  <si>
    <t>高橋 里絵子</t>
  </si>
  <si>
    <t>岡村 彩加</t>
  </si>
  <si>
    <t>鈴木 彩香</t>
  </si>
  <si>
    <t>ジャスク</t>
  </si>
  <si>
    <t>木下 奈々</t>
  </si>
  <si>
    <t>チーム　ラッシュ</t>
  </si>
  <si>
    <t>篠塚 しのぶ</t>
  </si>
  <si>
    <t>スキーチームアスリート</t>
  </si>
  <si>
    <t>峯岸 茜</t>
  </si>
  <si>
    <t>石井 裕美</t>
  </si>
  <si>
    <t>丸沼高原レーシングクラブ</t>
  </si>
  <si>
    <t>德重 舞</t>
  </si>
  <si>
    <t>藤田 稀美</t>
  </si>
  <si>
    <t>山口 彩希</t>
  </si>
  <si>
    <t>杉並区スキー連盟</t>
  </si>
  <si>
    <t>福原 眞澄</t>
  </si>
  <si>
    <t>世田谷区スキー協会</t>
  </si>
  <si>
    <t>吉岡 栞</t>
  </si>
  <si>
    <t>細田 光希</t>
  </si>
  <si>
    <t>渕脇 達代</t>
  </si>
  <si>
    <t>アロースキークラブ</t>
  </si>
  <si>
    <t>澤田 陽子</t>
  </si>
  <si>
    <t>ブランシェリースキー クローブ</t>
  </si>
  <si>
    <t>柳島 理佐子</t>
  </si>
  <si>
    <t>新宿スキークラブ</t>
  </si>
  <si>
    <t>太田 ゆかり</t>
  </si>
  <si>
    <t>東京燕スキー倶楽部</t>
  </si>
  <si>
    <t>笠間 敏江</t>
  </si>
  <si>
    <t>坂井 真由美</t>
  </si>
  <si>
    <t>宇田川 藍</t>
  </si>
  <si>
    <t>行田 ゆう</t>
  </si>
  <si>
    <t>小澤 知華子</t>
  </si>
  <si>
    <t>難波 さくら</t>
  </si>
  <si>
    <t>干場 智子</t>
  </si>
  <si>
    <t>宮本 香苗</t>
  </si>
  <si>
    <t>村上 明日香</t>
  </si>
  <si>
    <t>バディスポーツクラブ</t>
  </si>
  <si>
    <t>阿部 莉沙子</t>
  </si>
  <si>
    <t>グランバン・レーシング</t>
  </si>
  <si>
    <t>義久 直子</t>
  </si>
  <si>
    <t>江東区スキー連盟</t>
  </si>
  <si>
    <t>安藤 巴菜</t>
  </si>
  <si>
    <t>大橋 史華</t>
  </si>
  <si>
    <t>清瀬スキー倶楽部</t>
  </si>
  <si>
    <t>大門 由真</t>
  </si>
  <si>
    <t>野原 玲</t>
  </si>
  <si>
    <t>ウィッツ</t>
  </si>
  <si>
    <t>中川 碧恵</t>
  </si>
  <si>
    <t>室橋 美早紀</t>
  </si>
  <si>
    <t>渡辺 紗矢</t>
  </si>
  <si>
    <t>アールビー　トウキョウ</t>
  </si>
  <si>
    <t>金原 珠恵</t>
  </si>
  <si>
    <t>トラームスキークラブ</t>
  </si>
  <si>
    <t>中冨 結衣</t>
  </si>
  <si>
    <t>大越 春佳</t>
  </si>
  <si>
    <t>後藤 優里</t>
  </si>
  <si>
    <t>戸川 ふゆき</t>
  </si>
  <si>
    <t>武富 零央</t>
  </si>
  <si>
    <t>ツィールトウキョウ（Ｚieｌ Tokyo)</t>
  </si>
  <si>
    <t>島田 ティナ</t>
  </si>
  <si>
    <t>川又 真有美</t>
  </si>
  <si>
    <t>日本ユニシススキークラブ</t>
  </si>
  <si>
    <t>石井 雅萌</t>
  </si>
  <si>
    <t>狩野 ゆりえ</t>
  </si>
  <si>
    <t>成城スキークラブ</t>
  </si>
  <si>
    <t>岩朝 恵美</t>
  </si>
  <si>
    <t>ユーエスエムアール</t>
  </si>
  <si>
    <t>竹内 尚美</t>
  </si>
  <si>
    <t>鈴木 優里</t>
  </si>
  <si>
    <t>橋本 莉子</t>
  </si>
  <si>
    <t>制野 千賀子</t>
  </si>
  <si>
    <t>ＮＥＣ府中スキー部</t>
  </si>
  <si>
    <t>鈴木 菜々子</t>
  </si>
  <si>
    <t>磯﨑 貴奈</t>
  </si>
  <si>
    <t>豊島 明莉</t>
  </si>
  <si>
    <t>中村 晶子</t>
  </si>
  <si>
    <t>前田 千広</t>
  </si>
  <si>
    <t>染谷 雪恵</t>
  </si>
  <si>
    <t>エスプリレーシング</t>
  </si>
  <si>
    <t>吉岡 ゆかり</t>
  </si>
  <si>
    <t>小川 愛</t>
  </si>
  <si>
    <t>澤村 クレタ</t>
  </si>
  <si>
    <t>宮嶋 有紀子</t>
  </si>
  <si>
    <t>二十日石アルペンスキークラブ</t>
  </si>
  <si>
    <t>上平 梢</t>
  </si>
  <si>
    <t>髙橋 麻佑</t>
  </si>
  <si>
    <t>遠藤 美紗希</t>
  </si>
  <si>
    <t>喜多 由美</t>
  </si>
  <si>
    <t>デモネージュスキークラブ</t>
  </si>
  <si>
    <t>大屋 佳子</t>
  </si>
  <si>
    <t>特別区職員文化体育会スキー部</t>
  </si>
  <si>
    <t>山田 美登里</t>
  </si>
  <si>
    <t>三鷹市スキー連盟</t>
  </si>
  <si>
    <t>川上 真佐子</t>
  </si>
  <si>
    <t>荒川区スキー連盟</t>
  </si>
  <si>
    <t>眞鍋 栞梨</t>
  </si>
  <si>
    <t>坂 沙希子</t>
  </si>
  <si>
    <t>青木 愛</t>
  </si>
  <si>
    <t>上村 貴代子</t>
  </si>
  <si>
    <t>山本 椋子</t>
  </si>
  <si>
    <t>城ヶ崎 小都</t>
  </si>
  <si>
    <t>森谷 瑠花</t>
  </si>
  <si>
    <t>藤原 明香</t>
  </si>
  <si>
    <t>東京ベーレンスキークラブ</t>
  </si>
  <si>
    <t>宮澤 莉子</t>
  </si>
  <si>
    <t>高橋 佑佳</t>
  </si>
  <si>
    <t>中島 翠生</t>
  </si>
  <si>
    <t>鎌田 理緒</t>
  </si>
  <si>
    <t>城田 千晶</t>
  </si>
  <si>
    <t>松本 キヨ子</t>
  </si>
  <si>
    <t>栗本 ゆう子</t>
  </si>
  <si>
    <t>ヌプリスキー同人</t>
  </si>
  <si>
    <t>水田 朝子</t>
  </si>
  <si>
    <t>港区スキー連盟</t>
  </si>
  <si>
    <t>石井 裕子</t>
  </si>
  <si>
    <t>フロイデ・シー・グルッペ</t>
  </si>
  <si>
    <t>工藤 莉里</t>
  </si>
  <si>
    <t>小松 晴美</t>
  </si>
  <si>
    <t>メティースキークラブ</t>
  </si>
  <si>
    <t>中島 聖生</t>
  </si>
  <si>
    <t>松田 瑞稀</t>
  </si>
  <si>
    <t>上條 華奈</t>
  </si>
  <si>
    <t>小原 万理恵</t>
  </si>
  <si>
    <t>稲垣 由奈</t>
  </si>
  <si>
    <t>滝 れい</t>
  </si>
  <si>
    <t>田島 南海</t>
  </si>
  <si>
    <t>井上 彩衣</t>
  </si>
  <si>
    <t>喜地 真鈴</t>
  </si>
  <si>
    <t>伊東 佑奈</t>
  </si>
  <si>
    <t>笹目 由紀恵</t>
  </si>
  <si>
    <t>渡辺 美帆</t>
  </si>
  <si>
    <t>スポーツユニティ</t>
  </si>
  <si>
    <t>鈴川 知子</t>
  </si>
  <si>
    <t>ベラーク</t>
  </si>
  <si>
    <t>川島 紀代美</t>
  </si>
  <si>
    <t>板橋区スキー協会</t>
  </si>
  <si>
    <t>深澤 睦子</t>
  </si>
  <si>
    <t>トルベ・コムラード</t>
  </si>
  <si>
    <t>児玉 千尋</t>
  </si>
  <si>
    <t>奥田 淑乃</t>
  </si>
  <si>
    <t>佃 瞳子</t>
  </si>
  <si>
    <t>長野 蒼生</t>
  </si>
  <si>
    <t>矢頭 千夏</t>
  </si>
  <si>
    <t>小川 慶都</t>
  </si>
  <si>
    <t>小山 かやの</t>
  </si>
  <si>
    <t>雪桜会</t>
  </si>
  <si>
    <t>藤田 美怜</t>
  </si>
  <si>
    <t>清田 華</t>
  </si>
  <si>
    <t>武井 久子</t>
  </si>
  <si>
    <t>チーム・ビートゥー・ゼット</t>
  </si>
  <si>
    <t>日高 絵梨香</t>
  </si>
  <si>
    <t>緑川 慶子</t>
  </si>
  <si>
    <t>鈴木 陽菜子</t>
  </si>
  <si>
    <t>島田 リリア</t>
  </si>
  <si>
    <t>村岡 美紀</t>
  </si>
  <si>
    <t>渋谷区スキー連盟</t>
  </si>
  <si>
    <t>石野 ちはる</t>
  </si>
  <si>
    <t>渋谷 咲綺</t>
  </si>
  <si>
    <t>埼玉県スキー連盟</t>
  </si>
  <si>
    <t>佃 柊子</t>
  </si>
  <si>
    <t>松尾 有紗</t>
  </si>
  <si>
    <t>森 理葉</t>
  </si>
  <si>
    <t>安蔵 素乃</t>
  </si>
  <si>
    <t>髙井 奏乃</t>
  </si>
  <si>
    <t>野上 千尋</t>
  </si>
  <si>
    <t>西本 有希</t>
  </si>
  <si>
    <t>三橋 恵</t>
  </si>
  <si>
    <t>太田 美子</t>
  </si>
  <si>
    <t>峯岸 舞</t>
  </si>
  <si>
    <t>楫野 美穂</t>
  </si>
  <si>
    <t>白馬スキークラブ</t>
  </si>
  <si>
    <t>木村 美玖</t>
  </si>
  <si>
    <t>森岡 真希奈</t>
  </si>
  <si>
    <t>佐々木 幸子</t>
  </si>
  <si>
    <t>イエティスキークラブ</t>
  </si>
  <si>
    <t>雑賀 香帆</t>
  </si>
  <si>
    <t>小田桐 茉柚</t>
  </si>
  <si>
    <t>谷 寿子</t>
  </si>
  <si>
    <t>三田ディモンズクラブ</t>
  </si>
  <si>
    <t>設楽 章子</t>
  </si>
  <si>
    <t>小河 裕子</t>
  </si>
  <si>
    <t>奥多摩スキークラブ</t>
  </si>
  <si>
    <t>杉山 未彩</t>
  </si>
  <si>
    <t>東 伊織</t>
  </si>
  <si>
    <t>野尻 幸子</t>
  </si>
  <si>
    <t>齋藤 千穂</t>
  </si>
  <si>
    <t>石川 彩音</t>
  </si>
  <si>
    <t>小沼 有見佳</t>
  </si>
  <si>
    <t>滝内 瑠彩</t>
  </si>
  <si>
    <t>蟹澤 初美</t>
  </si>
  <si>
    <t>細谷 くるみ</t>
  </si>
  <si>
    <t>筧 優子</t>
  </si>
  <si>
    <t>三田リーゼンスキークラブ</t>
  </si>
  <si>
    <t>掛川 京子</t>
  </si>
  <si>
    <t>西村 三咲</t>
  </si>
  <si>
    <t>小野口 真淑</t>
  </si>
  <si>
    <t>内藤 えみ子</t>
  </si>
  <si>
    <t>日本レーシングスキークラブ</t>
  </si>
  <si>
    <t>田中 葵</t>
  </si>
  <si>
    <t>（公財）神奈川県スキー連盟</t>
  </si>
  <si>
    <t>渕脇 智香子</t>
  </si>
  <si>
    <t>才野木 緑</t>
  </si>
  <si>
    <t>渡邉 幸菜</t>
  </si>
  <si>
    <t>辻口 由奈</t>
  </si>
  <si>
    <t>天野 美奈</t>
  </si>
  <si>
    <t>谷合 海紅</t>
  </si>
  <si>
    <t>濱田 悠嘉</t>
  </si>
  <si>
    <t>星田 慶子</t>
  </si>
  <si>
    <t>大泉 理香子</t>
  </si>
  <si>
    <t>山田 道子</t>
  </si>
  <si>
    <t>石川 優</t>
  </si>
  <si>
    <t>スポーツファンクション</t>
  </si>
  <si>
    <t>岡田 加苗</t>
  </si>
  <si>
    <t>白濱 里織</t>
  </si>
  <si>
    <t>加藤 遥</t>
  </si>
  <si>
    <t>早河 心夢</t>
  </si>
  <si>
    <t>後藤 美裕</t>
  </si>
  <si>
    <t>シュアスキークラブ</t>
  </si>
  <si>
    <t>玄地 里佳子</t>
  </si>
  <si>
    <t>ジーファクトリー</t>
  </si>
  <si>
    <t>岡村 リサ</t>
  </si>
  <si>
    <t>松原 由依</t>
  </si>
  <si>
    <t>松下 陽子</t>
  </si>
  <si>
    <t>磯崎 小菜美</t>
  </si>
  <si>
    <t>菊池 優菜</t>
  </si>
  <si>
    <t>辻 あき江</t>
  </si>
  <si>
    <t>野邊 あかり</t>
  </si>
  <si>
    <t>矢ヶ崎 尚江</t>
  </si>
  <si>
    <t>ダンディ・スキー・クラブ</t>
  </si>
  <si>
    <t>笹口 果乃</t>
  </si>
  <si>
    <t>石井 咲亜耶</t>
  </si>
  <si>
    <t>藤本 紗希</t>
  </si>
  <si>
    <t>河内 香織</t>
  </si>
  <si>
    <t>足立 莉菜</t>
  </si>
  <si>
    <t>横溝 女莉</t>
  </si>
  <si>
    <t>石井 輝織</t>
  </si>
  <si>
    <t>斉藤 美紀</t>
  </si>
  <si>
    <t>原 露子</t>
  </si>
  <si>
    <t>Ｓ．Ｃ．コロポックル</t>
  </si>
  <si>
    <t>小原 遙佳</t>
  </si>
  <si>
    <t>齋藤 恭子</t>
  </si>
  <si>
    <t>野木 瑞恵</t>
  </si>
  <si>
    <t>森井 華</t>
  </si>
  <si>
    <t>柴田 小斗</t>
  </si>
  <si>
    <t>吉川 ちとせ</t>
  </si>
  <si>
    <t>林 麻衣子</t>
  </si>
  <si>
    <t>加藤 高子</t>
  </si>
  <si>
    <t>原田 宏子</t>
  </si>
  <si>
    <t>落合 麻理子</t>
  </si>
  <si>
    <t>ヴァイス・ホルン</t>
  </si>
  <si>
    <t>土志田 理佐</t>
  </si>
  <si>
    <t>酒井 ますみ</t>
  </si>
  <si>
    <t>箕輪 怜奈</t>
  </si>
  <si>
    <t>赤坂 陽子</t>
  </si>
  <si>
    <t>ＫＤＤＩスキークラブ</t>
  </si>
  <si>
    <t>桜井 圭子</t>
  </si>
  <si>
    <t>岩崎 香絵</t>
  </si>
  <si>
    <t>三井 睦貴</t>
  </si>
  <si>
    <t>本田 睦子</t>
  </si>
  <si>
    <t>舩川 みのり</t>
  </si>
  <si>
    <t>石塚 千尋</t>
  </si>
  <si>
    <t>板倉 三恵子</t>
  </si>
  <si>
    <t>姉崎 洋子</t>
  </si>
  <si>
    <t>仲山スキークラブ</t>
  </si>
  <si>
    <t>森井 愛</t>
  </si>
  <si>
    <t>來田 百合香</t>
  </si>
  <si>
    <t>大矢 優樹</t>
  </si>
  <si>
    <t>やまなみスキークラブ</t>
  </si>
  <si>
    <t>桂 唯夏</t>
  </si>
  <si>
    <t>安川 容子</t>
  </si>
  <si>
    <t>ロベンドスキークラブ</t>
  </si>
  <si>
    <t>鈴木 早苗</t>
  </si>
  <si>
    <t>金沢 由紀</t>
  </si>
  <si>
    <t>松本 莉奈</t>
  </si>
  <si>
    <t>花岡 奈那子</t>
  </si>
  <si>
    <t>山口 玲奈</t>
  </si>
  <si>
    <t>羽月 詩織</t>
  </si>
  <si>
    <t>原 怜音</t>
  </si>
  <si>
    <t>田口 美咲</t>
  </si>
  <si>
    <t>村田 祐子</t>
  </si>
  <si>
    <t>山下 菜央</t>
  </si>
  <si>
    <t>久保 夏海</t>
  </si>
  <si>
    <t>相沢 優里</t>
  </si>
  <si>
    <t>渡辺 渚</t>
  </si>
  <si>
    <t>本間 日奈子</t>
  </si>
  <si>
    <t>安藤 夏音</t>
  </si>
  <si>
    <t>岡山 風花</t>
  </si>
  <si>
    <t>河口 千春</t>
  </si>
  <si>
    <t>佐藤 優真</t>
  </si>
  <si>
    <t>阿部 昌子</t>
  </si>
  <si>
    <t>栗本 朝香</t>
  </si>
  <si>
    <t>根木 ちはる</t>
  </si>
  <si>
    <t>荻原 ミウ</t>
  </si>
  <si>
    <t>佐藤 瑠奈</t>
  </si>
  <si>
    <t>秋葉 晴香</t>
  </si>
  <si>
    <t>大竹 庸子</t>
  </si>
  <si>
    <t>多摩市スキー連盟</t>
  </si>
  <si>
    <t>倉持 綾</t>
  </si>
  <si>
    <t>根木 はるな</t>
  </si>
  <si>
    <t>石崎 清子</t>
  </si>
  <si>
    <t>クラシックスキークラブ</t>
  </si>
  <si>
    <t>宗 春奈</t>
  </si>
  <si>
    <t>細谷 かりん</t>
  </si>
  <si>
    <t>北村 明日香</t>
  </si>
  <si>
    <t>原 杏樹</t>
  </si>
  <si>
    <t>松木 遙香</t>
  </si>
  <si>
    <t>廣田 理有</t>
  </si>
  <si>
    <t>鎌形 麻里</t>
  </si>
  <si>
    <t>アートスポーツスキークラブ</t>
  </si>
  <si>
    <t>三浦 和子</t>
  </si>
  <si>
    <t>日本アルペンスキークラブ</t>
  </si>
  <si>
    <t>柿野 若奈</t>
  </si>
  <si>
    <t>本間 かほる</t>
  </si>
  <si>
    <t>高木 彩希</t>
  </si>
  <si>
    <t>斉藤 彩乃</t>
  </si>
  <si>
    <t>伊藤 和歌</t>
  </si>
  <si>
    <t>尾崎 榛名</t>
  </si>
  <si>
    <t>狩集 未来</t>
  </si>
  <si>
    <t>長谷川 敬子</t>
  </si>
  <si>
    <t>仮屋崎 楓</t>
  </si>
  <si>
    <t>阿部 真弓</t>
  </si>
  <si>
    <t>横井 ひかり</t>
  </si>
  <si>
    <t>大会ＰＰ</t>
    <rPh sb="0" eb="2">
      <t>タイカイ</t>
    </rPh>
    <phoneticPr fontId="18"/>
  </si>
  <si>
    <t>〇</t>
    <phoneticPr fontId="18"/>
  </si>
  <si>
    <t>〇</t>
    <phoneticPr fontId="1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</si>
</sst>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.00_);[Red]\(0.00\)"/>
  </numFmts>
  <fonts count="22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b/>
      <sz val="18"/>
      <color theme="3"/>
      <name val="ＭＳ Ｐゴシック"/>
      <family val="2"/>
      <charset val="128"/>
      <scheme val="major"/>
    </font>
    <font>
      <b/>
      <sz val="15"/>
      <color theme="3"/>
      <name val="ＭＳ Ｐゴシック"/>
      <family val="2"/>
      <charset val="128"/>
      <scheme val="minor"/>
    </font>
    <font>
      <b/>
      <sz val="13"/>
      <color theme="3"/>
      <name val="ＭＳ Ｐゴシック"/>
      <family val="2"/>
      <charset val="128"/>
      <scheme val="minor"/>
    </font>
    <font>
      <b/>
      <sz val="11"/>
      <color theme="3"/>
      <name val="ＭＳ Ｐゴシック"/>
      <family val="2"/>
      <charset val="128"/>
      <scheme val="minor"/>
    </font>
    <font>
      <sz val="11"/>
      <color rgb="FF006100"/>
      <name val="ＭＳ Ｐゴシック"/>
      <family val="2"/>
      <charset val="128"/>
      <scheme val="minor"/>
    </font>
    <font>
      <sz val="11"/>
      <color rgb="FF9C0006"/>
      <name val="ＭＳ Ｐゴシック"/>
      <family val="2"/>
      <charset val="128"/>
      <scheme val="minor"/>
    </font>
    <font>
      <sz val="11"/>
      <color rgb="FF9C6500"/>
      <name val="ＭＳ Ｐゴシック"/>
      <family val="2"/>
      <charset val="128"/>
      <scheme val="minor"/>
    </font>
    <font>
      <sz val="11"/>
      <color rgb="FF3F3F76"/>
      <name val="ＭＳ Ｐゴシック"/>
      <family val="2"/>
      <charset val="128"/>
      <scheme val="minor"/>
    </font>
    <font>
      <b/>
      <sz val="11"/>
      <color rgb="FF3F3F3F"/>
      <name val="ＭＳ Ｐゴシック"/>
      <family val="2"/>
      <charset val="128"/>
      <scheme val="minor"/>
    </font>
    <font>
      <b/>
      <sz val="11"/>
      <color rgb="FFFA7D00"/>
      <name val="ＭＳ Ｐゴシック"/>
      <family val="2"/>
      <charset val="128"/>
      <scheme val="minor"/>
    </font>
    <font>
      <sz val="11"/>
      <color rgb="FFFA7D00"/>
      <name val="ＭＳ Ｐゴシック"/>
      <family val="2"/>
      <charset val="128"/>
      <scheme val="minor"/>
    </font>
    <font>
      <b/>
      <sz val="11"/>
      <color theme="0"/>
      <name val="ＭＳ Ｐゴシック"/>
      <family val="2"/>
      <charset val="128"/>
      <scheme val="minor"/>
    </font>
    <font>
      <sz val="11"/>
      <color rgb="FFFF0000"/>
      <name val="ＭＳ Ｐゴシック"/>
      <family val="2"/>
      <charset val="128"/>
      <scheme val="minor"/>
    </font>
    <font>
      <i/>
      <sz val="11"/>
      <color rgb="FF7F7F7F"/>
      <name val="ＭＳ Ｐゴシック"/>
      <family val="2"/>
      <charset val="128"/>
      <scheme val="minor"/>
    </font>
    <font>
      <b/>
      <sz val="11"/>
      <color theme="1"/>
      <name val="ＭＳ Ｐゴシック"/>
      <family val="2"/>
      <charset val="128"/>
      <scheme val="minor"/>
    </font>
    <font>
      <sz val="11"/>
      <color theme="0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ＭＳ Ｐゴシック"/>
      <family val="2"/>
      <charset val="128"/>
      <scheme val="minor"/>
    </font>
    <font>
      <b/>
      <sz val="11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</cellStyleXfs>
  <cellXfs count="17">
    <xf numFmtId="0" fontId="0" fillId="0" borderId="0" xfId="0">
      <alignment vertical="center"/>
    </xf>
    <xf numFmtId="176" fontId="19" fillId="0" borderId="10" xfId="0" applyNumberFormat="1" applyFont="1" applyBorder="1">
      <alignment vertical="center"/>
    </xf>
    <xf numFmtId="176" fontId="20" fillId="0" borderId="10" xfId="0" applyNumberFormat="1" applyFont="1" applyBorder="1" applyAlignment="1">
      <alignment horizontal="right" vertical="center"/>
    </xf>
    <xf numFmtId="176" fontId="21" fillId="0" borderId="10" xfId="0" applyNumberFormat="1" applyFont="1" applyBorder="1" applyAlignment="1">
      <alignment horizontal="center" vertical="center"/>
    </xf>
    <xf numFmtId="176" fontId="21" fillId="0" borderId="10" xfId="0" applyNumberFormat="1" applyFont="1" applyBorder="1" applyAlignment="1">
      <alignment horizontal="right" vertical="center"/>
    </xf>
    <xf numFmtId="176" fontId="21" fillId="0" borderId="0" xfId="0" applyNumberFormat="1" applyFont="1">
      <alignment vertical="center"/>
    </xf>
    <xf numFmtId="0" fontId="21" fillId="0" borderId="10" xfId="0" applyFont="1" applyBorder="1" applyAlignment="1">
      <alignment horizontal="center" vertical="center" wrapText="1"/>
    </xf>
    <xf numFmtId="0" fontId="20" fillId="0" borderId="10" xfId="0" applyFont="1" applyBorder="1" applyAlignment="1">
      <alignment horizontal="center" vertical="center" wrapText="1"/>
    </xf>
    <xf numFmtId="0" fontId="21" fillId="0" borderId="0" xfId="0" applyFont="1" applyAlignment="1">
      <alignment horizontal="center" vertical="center" wrapText="1"/>
    </xf>
    <xf numFmtId="0" fontId="21" fillId="0" borderId="10" xfId="0" applyFont="1" applyBorder="1">
      <alignment vertical="center"/>
    </xf>
    <xf numFmtId="0" fontId="20" fillId="0" borderId="10" xfId="0" applyFont="1" applyBorder="1" applyAlignment="1">
      <alignment horizontal="right" vertical="center"/>
    </xf>
    <xf numFmtId="0" fontId="21" fillId="0" borderId="10" xfId="0" applyFont="1" applyBorder="1" applyAlignment="1">
      <alignment horizontal="center" vertical="center"/>
    </xf>
    <xf numFmtId="0" fontId="21" fillId="0" borderId="10" xfId="0" applyFont="1" applyBorder="1" applyAlignment="1">
      <alignment horizontal="right" vertical="center"/>
    </xf>
    <xf numFmtId="0" fontId="21" fillId="0" borderId="0" xfId="0" applyFont="1">
      <alignment vertical="center"/>
    </xf>
    <xf numFmtId="0" fontId="20" fillId="0" borderId="0" xfId="0" applyFont="1" applyAlignment="1">
      <alignment horizontal="right" vertical="center"/>
    </xf>
    <xf numFmtId="0" fontId="21" fillId="0" borderId="0" xfId="0" applyFont="1" applyAlignment="1">
      <alignment horizontal="center" vertical="center"/>
    </xf>
    <xf numFmtId="0" fontId="21" fillId="0" borderId="0" xfId="0" applyFont="1" applyAlignment="1">
      <alignment horizontal="right" vertical="center"/>
    </xf>
  </cellXfs>
  <cellStyles count="42">
    <cellStyle name="20% - アクセント 1" xfId="19" builtinId="30" customBuiltin="1"/>
    <cellStyle name="20% - アクセント 2" xfId="23" builtinId="34" customBuiltin="1"/>
    <cellStyle name="20% - アクセント 3" xfId="27" builtinId="38" customBuiltin="1"/>
    <cellStyle name="20% - アクセント 4" xfId="31" builtinId="42" customBuiltin="1"/>
    <cellStyle name="20% - アクセント 5" xfId="35" builtinId="46" customBuiltin="1"/>
    <cellStyle name="20% - アクセント 6" xfId="39" builtinId="50" customBuiltin="1"/>
    <cellStyle name="40% - アクセント 1" xfId="20" builtinId="31" customBuiltin="1"/>
    <cellStyle name="40% - アクセント 2" xfId="24" builtinId="35" customBuiltin="1"/>
    <cellStyle name="40% - アクセント 3" xfId="28" builtinId="39" customBuiltin="1"/>
    <cellStyle name="40% - アクセント 4" xfId="32" builtinId="43" customBuiltin="1"/>
    <cellStyle name="40% - アクセント 5" xfId="36" builtinId="47" customBuiltin="1"/>
    <cellStyle name="40% - アクセント 6" xfId="40" builtinId="51" customBuiltin="1"/>
    <cellStyle name="60% - アクセント 1" xfId="21" builtinId="32" customBuiltin="1"/>
    <cellStyle name="60% - アクセント 2" xfId="25" builtinId="36" customBuiltin="1"/>
    <cellStyle name="60% - アクセント 3" xfId="29" builtinId="40" customBuiltin="1"/>
    <cellStyle name="60% - アクセント 4" xfId="33" builtinId="44" customBuiltin="1"/>
    <cellStyle name="60% - アクセント 5" xfId="37" builtinId="48" customBuiltin="1"/>
    <cellStyle name="60% - アクセント 6" xfId="41" builtinId="52" customBuiltin="1"/>
    <cellStyle name="アクセント 1" xfId="18" builtinId="29" customBuiltin="1"/>
    <cellStyle name="アクセント 2" xfId="22" builtinId="33" customBuiltin="1"/>
    <cellStyle name="アクセント 3" xfId="26" builtinId="37" customBuiltin="1"/>
    <cellStyle name="アクセント 4" xfId="30" builtinId="41" customBuiltin="1"/>
    <cellStyle name="アクセント 5" xfId="34" builtinId="45" customBuiltin="1"/>
    <cellStyle name="アクセント 6" xfId="38" builtinId="49" customBuiltin="1"/>
    <cellStyle name="タイトル" xfId="1" builtinId="15" customBuiltin="1"/>
    <cellStyle name="チェック セル" xfId="13" builtinId="23" customBuiltin="1"/>
    <cellStyle name="どちらでもない" xfId="8" builtinId="28" customBuiltin="1"/>
    <cellStyle name="メモ" xfId="15" builtinId="10" customBuiltin="1"/>
    <cellStyle name="リンク セル" xfId="12" builtinId="24" customBuiltin="1"/>
    <cellStyle name="悪い" xfId="7" builtinId="27" customBuiltin="1"/>
    <cellStyle name="計算" xfId="11" builtinId="22" customBuiltin="1"/>
    <cellStyle name="警告文" xfId="14" builtinId="11" customBuiltin="1"/>
    <cellStyle name="見出し 1" xfId="2" builtinId="16" customBuiltin="1"/>
    <cellStyle name="見出し 2" xfId="3" builtinId="17" customBuiltin="1"/>
    <cellStyle name="見出し 3" xfId="4" builtinId="18" customBuiltin="1"/>
    <cellStyle name="見出し 4" xfId="5" builtinId="19" customBuiltin="1"/>
    <cellStyle name="集計" xfId="17" builtinId="25" customBuiltin="1"/>
    <cellStyle name="出力" xfId="10" builtinId="21" customBuiltin="1"/>
    <cellStyle name="説明文" xfId="16" builtinId="53" customBuiltin="1"/>
    <cellStyle name="入力" xfId="9" builtinId="20" customBuiltin="1"/>
    <cellStyle name="標準" xfId="0" builtinId="0"/>
    <cellStyle name="良い" xfId="6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AH355"/>
  <sheetViews>
    <sheetView tabSelected="1" zoomScaleNormal="100" workbookViewId="0"/>
  </sheetViews>
  <sheetFormatPr defaultRowHeight="13.5"/>
  <cols>
    <col min="1" max="2" width="8.5" style="13" customWidth="1"/>
    <col min="3" max="3" width="14.5" style="13" customWidth="1"/>
    <col min="4" max="4" width="31.625" style="13" customWidth="1"/>
    <col min="5" max="5" width="10" style="14" customWidth="1"/>
    <col min="6" max="6" width="7.75" style="15" customWidth="1"/>
    <col min="7" max="7" width="8.375" style="15" customWidth="1"/>
    <col min="8" max="8" width="9.75" style="16" customWidth="1"/>
    <col min="9" max="34" width="8.5" style="16" customWidth="1"/>
    <col min="35" max="47" width="8.5" style="13" customWidth="1"/>
    <col min="48" max="16384" width="9" style="13"/>
  </cols>
  <sheetData>
    <row r="1" spans="1:34" s="5" customFormat="1">
      <c r="A1" s="1" t="s">
        <v>0</v>
      </c>
      <c r="B1" s="1"/>
      <c r="C1" s="1"/>
      <c r="D1" s="1"/>
      <c r="E1" s="2"/>
      <c r="F1" s="3"/>
      <c r="G1" s="3"/>
      <c r="H1" s="3" t="s">
        <v>487</v>
      </c>
      <c r="I1" s="4">
        <v>0</v>
      </c>
      <c r="J1" s="4">
        <v>0</v>
      </c>
      <c r="K1" s="4">
        <v>111.48</v>
      </c>
      <c r="L1" s="4">
        <v>132.57</v>
      </c>
      <c r="M1" s="4">
        <v>59.12</v>
      </c>
      <c r="N1" s="4">
        <v>59</v>
      </c>
      <c r="O1" s="4">
        <v>0</v>
      </c>
      <c r="P1" s="4">
        <v>151.16</v>
      </c>
      <c r="Q1" s="4">
        <v>177.37</v>
      </c>
      <c r="R1" s="4">
        <v>111.15</v>
      </c>
      <c r="S1" s="4">
        <v>159.93</v>
      </c>
      <c r="T1" s="4">
        <v>180.69</v>
      </c>
      <c r="U1" s="4">
        <v>106.53</v>
      </c>
      <c r="V1" s="4">
        <v>93.19</v>
      </c>
      <c r="W1" s="4">
        <v>126.26</v>
      </c>
      <c r="X1" s="4">
        <v>97.23</v>
      </c>
      <c r="Y1" s="4">
        <v>103.39</v>
      </c>
      <c r="Z1" s="4">
        <v>72.09</v>
      </c>
      <c r="AA1" s="4">
        <v>70.23</v>
      </c>
      <c r="AB1" s="4">
        <v>122.21</v>
      </c>
      <c r="AC1" s="4">
        <v>104.25</v>
      </c>
      <c r="AD1" s="4">
        <v>100.52</v>
      </c>
      <c r="AE1" s="4">
        <v>136.08000000000001</v>
      </c>
      <c r="AF1" s="4">
        <v>140.44999999999999</v>
      </c>
      <c r="AG1" s="4">
        <v>55.69</v>
      </c>
      <c r="AH1" s="4">
        <v>57.55</v>
      </c>
    </row>
    <row r="2" spans="1:34" s="8" customFormat="1" ht="54">
      <c r="A2" s="6" t="s">
        <v>1</v>
      </c>
      <c r="B2" s="6" t="s">
        <v>2</v>
      </c>
      <c r="C2" s="6" t="s">
        <v>3</v>
      </c>
      <c r="D2" s="6" t="s">
        <v>4</v>
      </c>
      <c r="E2" s="7" t="s">
        <v>5</v>
      </c>
      <c r="F2" s="6" t="s">
        <v>6</v>
      </c>
      <c r="G2" s="6" t="s">
        <v>7</v>
      </c>
      <c r="H2" s="6" t="s">
        <v>8</v>
      </c>
      <c r="I2" s="6" t="s">
        <v>9</v>
      </c>
      <c r="J2" s="6" t="s">
        <v>10</v>
      </c>
      <c r="K2" s="6" t="s">
        <v>11</v>
      </c>
      <c r="L2" s="6" t="s">
        <v>12</v>
      </c>
      <c r="M2" s="6" t="s">
        <v>13</v>
      </c>
      <c r="N2" s="6" t="s">
        <v>14</v>
      </c>
      <c r="O2" s="6" t="s">
        <v>15</v>
      </c>
      <c r="P2" s="6" t="s">
        <v>16</v>
      </c>
      <c r="Q2" s="6" t="s">
        <v>17</v>
      </c>
      <c r="R2" s="6" t="s">
        <v>18</v>
      </c>
      <c r="S2" s="6" t="s">
        <v>19</v>
      </c>
      <c r="T2" s="6" t="s">
        <v>20</v>
      </c>
      <c r="U2" s="6" t="s">
        <v>21</v>
      </c>
      <c r="V2" s="6" t="s">
        <v>22</v>
      </c>
      <c r="W2" s="6" t="s">
        <v>23</v>
      </c>
      <c r="X2" s="6" t="s">
        <v>24</v>
      </c>
      <c r="Y2" s="6" t="s">
        <v>25</v>
      </c>
      <c r="Z2" s="6" t="s">
        <v>26</v>
      </c>
      <c r="AA2" s="6" t="s">
        <v>27</v>
      </c>
      <c r="AB2" s="6" t="s">
        <v>28</v>
      </c>
      <c r="AC2" s="6" t="s">
        <v>29</v>
      </c>
      <c r="AD2" s="6" t="s">
        <v>30</v>
      </c>
      <c r="AE2" s="6" t="s">
        <v>31</v>
      </c>
      <c r="AF2" s="6" t="s">
        <v>32</v>
      </c>
      <c r="AG2" s="6" t="s">
        <v>33</v>
      </c>
      <c r="AH2" s="6" t="s">
        <v>34</v>
      </c>
    </row>
    <row r="3" spans="1:34">
      <c r="A3" s="9">
        <v>1</v>
      </c>
      <c r="B3" s="9">
        <v>1517</v>
      </c>
      <c r="C3" s="9" t="s">
        <v>35</v>
      </c>
      <c r="D3" s="9" t="s">
        <v>36</v>
      </c>
      <c r="E3" s="10" t="str">
        <f>"8.00"</f>
        <v>8.00</v>
      </c>
      <c r="F3" s="11" t="s">
        <v>37</v>
      </c>
      <c r="G3" s="11">
        <v>2017</v>
      </c>
      <c r="H3" s="12" t="str">
        <f>"0.00"</f>
        <v>0.00</v>
      </c>
      <c r="I3" s="12"/>
      <c r="J3" s="12" t="str">
        <f>"0.00"</f>
        <v>0.00</v>
      </c>
      <c r="K3" s="12"/>
      <c r="L3" s="12"/>
      <c r="M3" s="12"/>
      <c r="N3" s="12"/>
      <c r="O3" s="12"/>
      <c r="P3" s="12"/>
      <c r="Q3" s="12"/>
      <c r="R3" s="12"/>
      <c r="S3" s="12"/>
      <c r="T3" s="12"/>
      <c r="U3" s="12"/>
      <c r="V3" s="12"/>
      <c r="W3" s="12"/>
      <c r="X3" s="12"/>
      <c r="Y3" s="12"/>
      <c r="Z3" s="12"/>
      <c r="AA3" s="12"/>
      <c r="AB3" s="12"/>
      <c r="AC3" s="12"/>
      <c r="AD3" s="12"/>
      <c r="AE3" s="12"/>
      <c r="AF3" s="12"/>
      <c r="AG3" s="12"/>
      <c r="AH3" s="12"/>
    </row>
    <row r="4" spans="1:34">
      <c r="A4" s="9">
        <v>2</v>
      </c>
      <c r="B4" s="9">
        <v>5175</v>
      </c>
      <c r="C4" s="9" t="s">
        <v>38</v>
      </c>
      <c r="D4" s="9" t="s">
        <v>39</v>
      </c>
      <c r="E4" s="10" t="str">
        <f>"11.52"</f>
        <v>11.52</v>
      </c>
      <c r="F4" s="11" t="s">
        <v>40</v>
      </c>
      <c r="G4" s="11">
        <v>2017</v>
      </c>
      <c r="H4" s="12" t="str">
        <f>"8.00"</f>
        <v>8.00</v>
      </c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  <c r="AA4" s="12"/>
      <c r="AB4" s="12"/>
      <c r="AC4" s="12"/>
      <c r="AD4" s="12"/>
      <c r="AE4" s="12"/>
      <c r="AF4" s="12"/>
      <c r="AG4" s="12"/>
      <c r="AH4" s="12"/>
    </row>
    <row r="5" spans="1:34">
      <c r="A5" s="9">
        <v>2</v>
      </c>
      <c r="B5" s="9">
        <v>3081</v>
      </c>
      <c r="C5" s="9" t="s">
        <v>41</v>
      </c>
      <c r="D5" s="9" t="s">
        <v>36</v>
      </c>
      <c r="E5" s="10" t="str">
        <f>"11.52"</f>
        <v>11.52</v>
      </c>
      <c r="F5" s="11" t="s">
        <v>40</v>
      </c>
      <c r="G5" s="11">
        <v>2017</v>
      </c>
      <c r="H5" s="12" t="str">
        <f>"8.00"</f>
        <v>8.00</v>
      </c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  <c r="AC5" s="12"/>
      <c r="AD5" s="12"/>
      <c r="AE5" s="12"/>
      <c r="AF5" s="12"/>
      <c r="AG5" s="12"/>
      <c r="AH5" s="12"/>
    </row>
    <row r="6" spans="1:34">
      <c r="A6" s="9">
        <v>4</v>
      </c>
      <c r="B6" s="9">
        <v>1372</v>
      </c>
      <c r="C6" s="9" t="s">
        <v>42</v>
      </c>
      <c r="D6" s="9" t="s">
        <v>36</v>
      </c>
      <c r="E6" s="10" t="str">
        <f>"19.84"</f>
        <v>19.84</v>
      </c>
      <c r="F6" s="11" t="s">
        <v>37</v>
      </c>
      <c r="G6" s="11">
        <v>2017</v>
      </c>
      <c r="H6" s="12"/>
      <c r="I6" s="12"/>
      <c r="J6" s="12" t="str">
        <f>"13.78"</f>
        <v>13.78</v>
      </c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</row>
    <row r="7" spans="1:34">
      <c r="A7" s="9">
        <v>5</v>
      </c>
      <c r="B7" s="9">
        <v>3957</v>
      </c>
      <c r="C7" s="9" t="s">
        <v>43</v>
      </c>
      <c r="D7" s="9" t="s">
        <v>44</v>
      </c>
      <c r="E7" s="10" t="str">
        <f>"20.28"</f>
        <v>20.28</v>
      </c>
      <c r="F7" s="11"/>
      <c r="G7" s="11">
        <v>2017</v>
      </c>
      <c r="H7" s="12" t="str">
        <f>"72.27"</f>
        <v>72.27</v>
      </c>
      <c r="I7" s="12" t="str">
        <f>"40.56"</f>
        <v>40.56</v>
      </c>
      <c r="J7" s="12" t="str">
        <f>"53.88"</f>
        <v>53.88</v>
      </c>
      <c r="K7" s="12"/>
      <c r="L7" s="12"/>
      <c r="M7" s="12"/>
      <c r="N7" s="12"/>
      <c r="O7" s="12" t="str">
        <f>"0.00"</f>
        <v>0.00</v>
      </c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</row>
    <row r="8" spans="1:34">
      <c r="A8" s="9">
        <v>6</v>
      </c>
      <c r="B8" s="9">
        <v>10326</v>
      </c>
      <c r="C8" s="9" t="s">
        <v>45</v>
      </c>
      <c r="D8" s="9" t="s">
        <v>39</v>
      </c>
      <c r="E8" s="10" t="str">
        <f>"21.35"</f>
        <v>21.35</v>
      </c>
      <c r="F8" s="11"/>
      <c r="G8" s="11">
        <v>2017</v>
      </c>
      <c r="H8" s="12" t="str">
        <f>"52.29"</f>
        <v>52.29</v>
      </c>
      <c r="I8" s="12" t="str">
        <f>"18.60"</f>
        <v>18.60</v>
      </c>
      <c r="J8" s="12" t="str">
        <f>"24.09"</f>
        <v>24.09</v>
      </c>
      <c r="K8" s="12"/>
      <c r="L8" s="12"/>
      <c r="M8" s="12" t="str">
        <f>"59.12"</f>
        <v>59.12</v>
      </c>
      <c r="N8" s="12" t="str">
        <f>"59.00"</f>
        <v>59.00</v>
      </c>
      <c r="O8" s="12"/>
      <c r="P8" s="12"/>
      <c r="Q8" s="12"/>
      <c r="R8" s="12"/>
      <c r="S8" s="12"/>
      <c r="T8" s="12"/>
      <c r="U8" s="12"/>
      <c r="V8" s="12"/>
      <c r="W8" s="12"/>
      <c r="X8" s="12"/>
      <c r="Y8" s="12"/>
      <c r="Z8" s="12"/>
      <c r="AA8" s="12"/>
      <c r="AB8" s="12"/>
      <c r="AC8" s="12"/>
      <c r="AD8" s="12"/>
      <c r="AE8" s="12"/>
      <c r="AF8" s="12"/>
      <c r="AG8" s="12"/>
      <c r="AH8" s="12"/>
    </row>
    <row r="9" spans="1:34">
      <c r="A9" s="9">
        <v>7</v>
      </c>
      <c r="B9" s="9">
        <v>3431</v>
      </c>
      <c r="C9" s="9" t="s">
        <v>46</v>
      </c>
      <c r="D9" s="9" t="s">
        <v>36</v>
      </c>
      <c r="E9" s="10" t="str">
        <f>"35.48"</f>
        <v>35.48</v>
      </c>
      <c r="F9" s="11"/>
      <c r="G9" s="11">
        <v>2017</v>
      </c>
      <c r="H9" s="12" t="str">
        <f>"28.24"</f>
        <v>28.24</v>
      </c>
      <c r="I9" s="12" t="str">
        <f>"34.75"</f>
        <v>34.75</v>
      </c>
      <c r="J9" s="12" t="str">
        <f>"36.20"</f>
        <v>36.20</v>
      </c>
      <c r="K9" s="12"/>
      <c r="L9" s="12"/>
      <c r="M9" s="12"/>
      <c r="N9" s="12"/>
      <c r="O9" s="12"/>
      <c r="P9" s="12"/>
      <c r="Q9" s="12"/>
      <c r="R9" s="12"/>
      <c r="S9" s="12"/>
      <c r="T9" s="12"/>
      <c r="U9" s="12"/>
      <c r="V9" s="12"/>
      <c r="W9" s="12"/>
      <c r="X9" s="12"/>
      <c r="Y9" s="12"/>
      <c r="Z9" s="12"/>
      <c r="AA9" s="12"/>
      <c r="AB9" s="12"/>
      <c r="AC9" s="12"/>
      <c r="AD9" s="12"/>
      <c r="AE9" s="12"/>
      <c r="AF9" s="12"/>
      <c r="AG9" s="12"/>
      <c r="AH9" s="12"/>
    </row>
    <row r="10" spans="1:34">
      <c r="A10" s="9">
        <v>8</v>
      </c>
      <c r="B10" s="9">
        <v>6648</v>
      </c>
      <c r="C10" s="9" t="s">
        <v>47</v>
      </c>
      <c r="D10" s="9" t="s">
        <v>48</v>
      </c>
      <c r="E10" s="10" t="str">
        <f>"47.95"</f>
        <v>47.95</v>
      </c>
      <c r="F10" s="11"/>
      <c r="G10" s="11">
        <v>2017</v>
      </c>
      <c r="H10" s="12" t="str">
        <f>"43.81"</f>
        <v>43.81</v>
      </c>
      <c r="I10" s="12" t="str">
        <f>"52.32"</f>
        <v>52.32</v>
      </c>
      <c r="J10" s="12" t="str">
        <f>"43.58"</f>
        <v>43.58</v>
      </c>
      <c r="K10" s="12"/>
      <c r="L10" s="12"/>
      <c r="M10" s="12"/>
      <c r="N10" s="12"/>
      <c r="O10" s="12"/>
      <c r="P10" s="12"/>
      <c r="Q10" s="12"/>
      <c r="R10" s="12"/>
      <c r="S10" s="12"/>
      <c r="T10" s="12"/>
      <c r="U10" s="12"/>
      <c r="V10" s="12"/>
      <c r="W10" s="12"/>
      <c r="X10" s="12"/>
      <c r="Y10" s="12"/>
      <c r="Z10" s="12"/>
      <c r="AA10" s="12"/>
      <c r="AB10" s="12"/>
      <c r="AC10" s="12"/>
      <c r="AD10" s="12"/>
      <c r="AE10" s="12"/>
      <c r="AF10" s="12"/>
      <c r="AG10" s="12"/>
      <c r="AH10" s="12"/>
    </row>
    <row r="11" spans="1:34">
      <c r="A11" s="9">
        <v>9</v>
      </c>
      <c r="B11" s="9">
        <v>5230</v>
      </c>
      <c r="C11" s="9" t="s">
        <v>49</v>
      </c>
      <c r="D11" s="9" t="s">
        <v>39</v>
      </c>
      <c r="E11" s="10" t="str">
        <f>"54.72"</f>
        <v>54.72</v>
      </c>
      <c r="F11" s="11"/>
      <c r="G11" s="11">
        <v>2017</v>
      </c>
      <c r="H11" s="12" t="str">
        <f>"37.20"</f>
        <v>37.20</v>
      </c>
      <c r="I11" s="12" t="str">
        <f>"56.20"</f>
        <v>56.20</v>
      </c>
      <c r="J11" s="12" t="str">
        <f>"53.74"</f>
        <v>53.74</v>
      </c>
      <c r="K11" s="12"/>
      <c r="L11" s="12"/>
      <c r="M11" s="12" t="str">
        <f>"70.08"</f>
        <v>70.08</v>
      </c>
      <c r="N11" s="12" t="str">
        <f>"64.11"</f>
        <v>64.11</v>
      </c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2"/>
      <c r="Z11" s="12" t="str">
        <f>"72.09"</f>
        <v>72.09</v>
      </c>
      <c r="AA11" s="12" t="str">
        <f>"70.23"</f>
        <v>70.23</v>
      </c>
      <c r="AB11" s="12"/>
      <c r="AC11" s="12"/>
      <c r="AD11" s="12"/>
      <c r="AE11" s="12"/>
      <c r="AF11" s="12"/>
      <c r="AG11" s="12" t="str">
        <f>"55.69"</f>
        <v>55.69</v>
      </c>
      <c r="AH11" s="12" t="str">
        <f>"57.55"</f>
        <v>57.55</v>
      </c>
    </row>
    <row r="12" spans="1:34">
      <c r="A12" s="9">
        <v>10</v>
      </c>
      <c r="B12" s="9">
        <v>4322</v>
      </c>
      <c r="C12" s="9" t="s">
        <v>50</v>
      </c>
      <c r="D12" s="9" t="s">
        <v>51</v>
      </c>
      <c r="E12" s="10" t="str">
        <f>"58.74"</f>
        <v>58.74</v>
      </c>
      <c r="F12" s="11"/>
      <c r="G12" s="11">
        <v>2017</v>
      </c>
      <c r="H12" s="12" t="str">
        <f>"85.49"</f>
        <v>85.49</v>
      </c>
      <c r="I12" s="12" t="str">
        <f>"144.17"</f>
        <v>144.17</v>
      </c>
      <c r="J12" s="12" t="str">
        <f>"121.82"</f>
        <v>121.82</v>
      </c>
      <c r="K12" s="12"/>
      <c r="L12" s="12"/>
      <c r="M12" s="12"/>
      <c r="N12" s="12"/>
      <c r="O12" s="12" t="str">
        <f>"24.28"</f>
        <v>24.28</v>
      </c>
      <c r="P12" s="12"/>
      <c r="Q12" s="12"/>
      <c r="R12" s="12"/>
      <c r="S12" s="12"/>
      <c r="T12" s="12"/>
      <c r="U12" s="12"/>
      <c r="V12" s="12" t="str">
        <f>"93.19"</f>
        <v>93.19</v>
      </c>
      <c r="W12" s="12"/>
      <c r="X12" s="12"/>
      <c r="Y12" s="12"/>
      <c r="Z12" s="12"/>
      <c r="AA12" s="12"/>
      <c r="AB12" s="12"/>
      <c r="AC12" s="12"/>
      <c r="AD12" s="12"/>
      <c r="AE12" s="12"/>
      <c r="AF12" s="12"/>
      <c r="AG12" s="12"/>
      <c r="AH12" s="12"/>
    </row>
    <row r="13" spans="1:34">
      <c r="A13" s="9">
        <v>11</v>
      </c>
      <c r="B13" s="9">
        <v>2186</v>
      </c>
      <c r="C13" s="9" t="s">
        <v>52</v>
      </c>
      <c r="D13" s="9" t="s">
        <v>53</v>
      </c>
      <c r="E13" s="10" t="str">
        <f>"61.33"</f>
        <v>61.33</v>
      </c>
      <c r="F13" s="11"/>
      <c r="G13" s="11">
        <v>2017</v>
      </c>
      <c r="H13" s="12" t="str">
        <f>"72.98"</f>
        <v>72.98</v>
      </c>
      <c r="I13" s="12" t="str">
        <f>"105.16"</f>
        <v>105.16</v>
      </c>
      <c r="J13" s="12" t="str">
        <f>"103.30"</f>
        <v>103.30</v>
      </c>
      <c r="K13" s="12"/>
      <c r="L13" s="12"/>
      <c r="M13" s="12"/>
      <c r="N13" s="12"/>
      <c r="O13" s="12" t="str">
        <f>"19.35"</f>
        <v>19.35</v>
      </c>
      <c r="P13" s="12"/>
      <c r="Q13" s="12"/>
      <c r="R13" s="12"/>
      <c r="S13" s="12"/>
      <c r="T13" s="12"/>
      <c r="U13" s="12"/>
      <c r="V13" s="12"/>
      <c r="W13" s="12"/>
      <c r="X13" s="12"/>
      <c r="Y13" s="12"/>
      <c r="Z13" s="12"/>
      <c r="AA13" s="12"/>
      <c r="AB13" s="12"/>
      <c r="AC13" s="12"/>
      <c r="AD13" s="12"/>
      <c r="AE13" s="12"/>
      <c r="AF13" s="12"/>
      <c r="AG13" s="12"/>
      <c r="AH13" s="12"/>
    </row>
    <row r="14" spans="1:34">
      <c r="A14" s="9">
        <v>12</v>
      </c>
      <c r="B14" s="9">
        <v>6630</v>
      </c>
      <c r="C14" s="9" t="s">
        <v>54</v>
      </c>
      <c r="D14" s="9" t="s">
        <v>36</v>
      </c>
      <c r="E14" s="10" t="str">
        <f>"61.55"</f>
        <v>61.55</v>
      </c>
      <c r="F14" s="11" t="s">
        <v>40</v>
      </c>
      <c r="G14" s="11">
        <v>2017</v>
      </c>
      <c r="H14" s="12" t="str">
        <f>"42.74"</f>
        <v>42.74</v>
      </c>
      <c r="I14" s="12"/>
      <c r="J14" s="12"/>
      <c r="K14" s="12"/>
      <c r="L14" s="12"/>
      <c r="M14" s="12"/>
      <c r="N14" s="12"/>
      <c r="O14" s="12"/>
      <c r="P14" s="12"/>
      <c r="Q14" s="12"/>
      <c r="R14" s="12"/>
      <c r="S14" s="12"/>
      <c r="T14" s="12"/>
      <c r="U14" s="12"/>
      <c r="V14" s="12"/>
      <c r="W14" s="12"/>
      <c r="X14" s="12"/>
      <c r="Y14" s="12"/>
      <c r="Z14" s="12"/>
      <c r="AA14" s="12"/>
      <c r="AB14" s="12"/>
      <c r="AC14" s="12"/>
      <c r="AD14" s="12"/>
      <c r="AE14" s="12"/>
      <c r="AF14" s="12"/>
      <c r="AG14" s="12"/>
      <c r="AH14" s="12"/>
    </row>
    <row r="15" spans="1:34">
      <c r="A15" s="9">
        <v>13</v>
      </c>
      <c r="B15" s="9">
        <v>3700</v>
      </c>
      <c r="C15" s="9" t="s">
        <v>55</v>
      </c>
      <c r="D15" s="9" t="s">
        <v>39</v>
      </c>
      <c r="E15" s="10" t="str">
        <f>"62.07"</f>
        <v>62.07</v>
      </c>
      <c r="F15" s="11"/>
      <c r="G15" s="11">
        <v>2017</v>
      </c>
      <c r="H15" s="12" t="str">
        <f>"102.49"</f>
        <v>102.49</v>
      </c>
      <c r="I15" s="12" t="str">
        <f>"61.62"</f>
        <v>61.62</v>
      </c>
      <c r="J15" s="12" t="str">
        <f>"62.51"</f>
        <v>62.51</v>
      </c>
      <c r="K15" s="12"/>
      <c r="L15" s="12"/>
      <c r="M15" s="12" t="str">
        <f>"82.65"</f>
        <v>82.65</v>
      </c>
      <c r="N15" s="12" t="str">
        <f>"81.87"</f>
        <v>81.87</v>
      </c>
      <c r="O15" s="12"/>
      <c r="P15" s="12"/>
      <c r="Q15" s="12"/>
      <c r="R15" s="12"/>
      <c r="S15" s="12"/>
      <c r="T15" s="12"/>
      <c r="U15" s="12"/>
      <c r="V15" s="12"/>
      <c r="W15" s="12"/>
      <c r="X15" s="12"/>
      <c r="Y15" s="12"/>
      <c r="Z15" s="12" t="str">
        <f>"106.99"</f>
        <v>106.99</v>
      </c>
      <c r="AA15" s="12" t="str">
        <f>"99.41"</f>
        <v>99.41</v>
      </c>
      <c r="AB15" s="12"/>
      <c r="AC15" s="12"/>
      <c r="AD15" s="12"/>
      <c r="AE15" s="12"/>
      <c r="AF15" s="12"/>
      <c r="AG15" s="12" t="str">
        <f>"98.54"</f>
        <v>98.54</v>
      </c>
      <c r="AH15" s="12" t="str">
        <f>"83.00"</f>
        <v>83.00</v>
      </c>
    </row>
    <row r="16" spans="1:34">
      <c r="A16" s="9">
        <v>14</v>
      </c>
      <c r="B16" s="9">
        <v>2634</v>
      </c>
      <c r="C16" s="9" t="s">
        <v>56</v>
      </c>
      <c r="D16" s="9" t="s">
        <v>57</v>
      </c>
      <c r="E16" s="10" t="str">
        <f>"63.62"</f>
        <v>63.62</v>
      </c>
      <c r="F16" s="11" t="s">
        <v>40</v>
      </c>
      <c r="G16" s="11">
        <v>2017</v>
      </c>
      <c r="H16" s="12" t="str">
        <f>"44.18"</f>
        <v>44.18</v>
      </c>
      <c r="I16" s="12"/>
      <c r="J16" s="12"/>
      <c r="K16" s="12"/>
      <c r="L16" s="12"/>
      <c r="M16" s="12"/>
      <c r="N16" s="12"/>
      <c r="O16" s="12"/>
      <c r="P16" s="12"/>
      <c r="Q16" s="12"/>
      <c r="R16" s="12"/>
      <c r="S16" s="12"/>
      <c r="T16" s="12"/>
      <c r="U16" s="12"/>
      <c r="V16" s="12"/>
      <c r="W16" s="12"/>
      <c r="X16" s="12"/>
      <c r="Y16" s="12"/>
      <c r="Z16" s="12"/>
      <c r="AA16" s="12"/>
      <c r="AB16" s="12"/>
      <c r="AC16" s="12"/>
      <c r="AD16" s="12"/>
      <c r="AE16" s="12"/>
      <c r="AF16" s="12"/>
      <c r="AG16" s="12"/>
      <c r="AH16" s="12"/>
    </row>
    <row r="17" spans="1:34">
      <c r="A17" s="9">
        <v>15</v>
      </c>
      <c r="B17" s="9">
        <v>4028</v>
      </c>
      <c r="C17" s="9" t="s">
        <v>58</v>
      </c>
      <c r="D17" s="9" t="s">
        <v>59</v>
      </c>
      <c r="E17" s="10" t="str">
        <f>"63.94"</f>
        <v>63.94</v>
      </c>
      <c r="F17" s="11"/>
      <c r="G17" s="11">
        <v>2017</v>
      </c>
      <c r="H17" s="12" t="str">
        <f>"84.27"</f>
        <v>84.27</v>
      </c>
      <c r="I17" s="12" t="str">
        <f>"103.35"</f>
        <v>103.35</v>
      </c>
      <c r="J17" s="12" t="str">
        <f>"126.97"</f>
        <v>126.97</v>
      </c>
      <c r="K17" s="12"/>
      <c r="L17" s="12"/>
      <c r="M17" s="12"/>
      <c r="N17" s="12"/>
      <c r="O17" s="12" t="str">
        <f>"24.53"</f>
        <v>24.53</v>
      </c>
      <c r="P17" s="12"/>
      <c r="Q17" s="12"/>
      <c r="R17" s="12"/>
      <c r="S17" s="12"/>
      <c r="T17" s="12"/>
      <c r="U17" s="12"/>
      <c r="V17" s="12"/>
      <c r="W17" s="12"/>
      <c r="X17" s="12"/>
      <c r="Y17" s="12"/>
      <c r="Z17" s="12"/>
      <c r="AA17" s="12"/>
      <c r="AB17" s="12"/>
      <c r="AC17" s="12"/>
      <c r="AD17" s="12"/>
      <c r="AE17" s="12"/>
      <c r="AF17" s="12"/>
      <c r="AG17" s="12"/>
      <c r="AH17" s="12"/>
    </row>
    <row r="18" spans="1:34">
      <c r="A18" s="9">
        <v>16</v>
      </c>
      <c r="B18" s="9">
        <v>4165</v>
      </c>
      <c r="C18" s="9" t="s">
        <v>60</v>
      </c>
      <c r="D18" s="9" t="s">
        <v>39</v>
      </c>
      <c r="E18" s="10" t="str">
        <f>"67.45"</f>
        <v>67.45</v>
      </c>
      <c r="F18" s="11"/>
      <c r="G18" s="11">
        <v>2017</v>
      </c>
      <c r="H18" s="12" t="str">
        <f>"73.42"</f>
        <v>73.42</v>
      </c>
      <c r="I18" s="12" t="str">
        <f>"57.49"</f>
        <v>57.49</v>
      </c>
      <c r="J18" s="12" t="str">
        <f>"77.41"</f>
        <v>77.41</v>
      </c>
      <c r="K18" s="12"/>
      <c r="L18" s="12"/>
      <c r="M18" s="12" t="str">
        <f>"98.96"</f>
        <v>98.96</v>
      </c>
      <c r="N18" s="12" t="str">
        <f>"97.20"</f>
        <v>97.20</v>
      </c>
      <c r="O18" s="12"/>
      <c r="P18" s="12"/>
      <c r="Q18" s="12"/>
      <c r="R18" s="12"/>
      <c r="S18" s="12"/>
      <c r="T18" s="12"/>
      <c r="U18" s="12"/>
      <c r="V18" s="12"/>
      <c r="W18" s="12"/>
      <c r="X18" s="12"/>
      <c r="Y18" s="12"/>
      <c r="Z18" s="12"/>
      <c r="AA18" s="12"/>
      <c r="AB18" s="12"/>
      <c r="AC18" s="12"/>
      <c r="AD18" s="12"/>
      <c r="AE18" s="12"/>
      <c r="AF18" s="12"/>
      <c r="AG18" s="12"/>
      <c r="AH18" s="12"/>
    </row>
    <row r="19" spans="1:34">
      <c r="A19" s="9">
        <v>17</v>
      </c>
      <c r="B19" s="9">
        <v>3043</v>
      </c>
      <c r="C19" s="9" t="s">
        <v>61</v>
      </c>
      <c r="D19" s="9" t="s">
        <v>62</v>
      </c>
      <c r="E19" s="10" t="str">
        <f>"68.72"</f>
        <v>68.72</v>
      </c>
      <c r="F19" s="11"/>
      <c r="G19" s="11">
        <v>2017</v>
      </c>
      <c r="H19" s="12" t="str">
        <f>"140.97"</f>
        <v>140.97</v>
      </c>
      <c r="I19" s="12"/>
      <c r="J19" s="12"/>
      <c r="K19" s="12"/>
      <c r="L19" s="12"/>
      <c r="M19" s="12"/>
      <c r="N19" s="12"/>
      <c r="O19" s="12" t="str">
        <f>"36.92"</f>
        <v>36.92</v>
      </c>
      <c r="P19" s="12"/>
      <c r="Q19" s="12"/>
      <c r="R19" s="12"/>
      <c r="S19" s="12"/>
      <c r="T19" s="12"/>
      <c r="U19" s="12"/>
      <c r="V19" s="12"/>
      <c r="W19" s="12"/>
      <c r="X19" s="12" t="str">
        <f>"134.48"</f>
        <v>134.48</v>
      </c>
      <c r="Y19" s="12"/>
      <c r="Z19" s="12"/>
      <c r="AA19" s="12"/>
      <c r="AB19" s="12"/>
      <c r="AC19" s="12"/>
      <c r="AD19" s="12" t="str">
        <f>"100.52"</f>
        <v>100.52</v>
      </c>
      <c r="AE19" s="12" t="str">
        <f>"136.08"</f>
        <v>136.08</v>
      </c>
      <c r="AF19" s="12" t="str">
        <f>"140.45"</f>
        <v>140.45</v>
      </c>
      <c r="AG19" s="12"/>
      <c r="AH19" s="12"/>
    </row>
    <row r="20" spans="1:34">
      <c r="A20" s="9">
        <v>18</v>
      </c>
      <c r="B20" s="9">
        <v>7247</v>
      </c>
      <c r="C20" s="9" t="s">
        <v>63</v>
      </c>
      <c r="D20" s="9" t="s">
        <v>64</v>
      </c>
      <c r="E20" s="10" t="str">
        <f>"74.99"</f>
        <v>74.99</v>
      </c>
      <c r="F20" s="11"/>
      <c r="G20" s="11">
        <v>2017</v>
      </c>
      <c r="H20" s="12" t="str">
        <f>"67.97"</f>
        <v>67.97</v>
      </c>
      <c r="I20" s="12" t="str">
        <f>"65.88"</f>
        <v>65.88</v>
      </c>
      <c r="J20" s="12" t="str">
        <f>"84.09"</f>
        <v>84.09</v>
      </c>
      <c r="K20" s="12"/>
      <c r="L20" s="12"/>
      <c r="M20" s="12"/>
      <c r="N20" s="12"/>
      <c r="O20" s="12"/>
      <c r="P20" s="12"/>
      <c r="Q20" s="12"/>
      <c r="R20" s="12"/>
      <c r="S20" s="12"/>
      <c r="T20" s="12"/>
      <c r="U20" s="12"/>
      <c r="V20" s="12"/>
      <c r="W20" s="12"/>
      <c r="X20" s="12"/>
      <c r="Y20" s="12"/>
      <c r="Z20" s="12"/>
      <c r="AA20" s="12"/>
      <c r="AB20" s="12"/>
      <c r="AC20" s="12"/>
      <c r="AD20" s="12"/>
      <c r="AE20" s="12"/>
      <c r="AF20" s="12"/>
      <c r="AG20" s="12"/>
      <c r="AH20" s="12"/>
    </row>
    <row r="21" spans="1:34">
      <c r="A21" s="9">
        <v>19</v>
      </c>
      <c r="B21" s="9">
        <v>4044</v>
      </c>
      <c r="C21" s="9" t="s">
        <v>65</v>
      </c>
      <c r="D21" s="9" t="s">
        <v>66</v>
      </c>
      <c r="E21" s="10" t="str">
        <f>"78.48"</f>
        <v>78.48</v>
      </c>
      <c r="F21" s="11"/>
      <c r="G21" s="11">
        <v>2017</v>
      </c>
      <c r="H21" s="12" t="str">
        <f>"84.72"</f>
        <v>84.72</v>
      </c>
      <c r="I21" s="12" t="str">
        <f>"126.86"</f>
        <v>126.86</v>
      </c>
      <c r="J21" s="12" t="str">
        <f>"146.88"</f>
        <v>146.88</v>
      </c>
      <c r="K21" s="12"/>
      <c r="L21" s="12"/>
      <c r="M21" s="12"/>
      <c r="N21" s="12"/>
      <c r="O21" s="12" t="str">
        <f>"30.10"</f>
        <v>30.10</v>
      </c>
      <c r="P21" s="12"/>
      <c r="Q21" s="12"/>
      <c r="R21" s="12"/>
      <c r="S21" s="12"/>
      <c r="T21" s="12"/>
      <c r="U21" s="12"/>
      <c r="V21" s="12"/>
      <c r="W21" s="12"/>
      <c r="X21" s="12"/>
      <c r="Y21" s="12"/>
      <c r="Z21" s="12"/>
      <c r="AA21" s="12"/>
      <c r="AB21" s="12"/>
      <c r="AC21" s="12"/>
      <c r="AD21" s="12"/>
      <c r="AE21" s="12"/>
      <c r="AF21" s="12"/>
      <c r="AG21" s="12"/>
      <c r="AH21" s="12"/>
    </row>
    <row r="22" spans="1:34">
      <c r="A22" s="9">
        <v>20</v>
      </c>
      <c r="B22" s="9">
        <v>9963</v>
      </c>
      <c r="C22" s="9" t="s">
        <v>67</v>
      </c>
      <c r="D22" s="9" t="s">
        <v>39</v>
      </c>
      <c r="E22" s="10" t="str">
        <f>"78.49"</f>
        <v>78.49</v>
      </c>
      <c r="F22" s="11"/>
      <c r="G22" s="11">
        <v>2017</v>
      </c>
      <c r="H22" s="12" t="str">
        <f>"109.35"</f>
        <v>109.35</v>
      </c>
      <c r="I22" s="12" t="str">
        <f>"145.46"</f>
        <v>145.46</v>
      </c>
      <c r="J22" s="12"/>
      <c r="K22" s="12"/>
      <c r="L22" s="12"/>
      <c r="M22" s="12"/>
      <c r="N22" s="12" t="str">
        <f>"184.91"</f>
        <v>184.91</v>
      </c>
      <c r="O22" s="12" t="str">
        <f>"56.14"</f>
        <v>56.14</v>
      </c>
      <c r="P22" s="12"/>
      <c r="Q22" s="12"/>
      <c r="R22" s="12"/>
      <c r="S22" s="12"/>
      <c r="T22" s="12"/>
      <c r="U22" s="12" t="str">
        <f>"138.91"</f>
        <v>138.91</v>
      </c>
      <c r="V22" s="12"/>
      <c r="W22" s="12"/>
      <c r="X22" s="12"/>
      <c r="Y22" s="12"/>
      <c r="Z22" s="12" t="str">
        <f>"119.33"</f>
        <v>119.33</v>
      </c>
      <c r="AA22" s="12" t="str">
        <f>"142.15"</f>
        <v>142.15</v>
      </c>
      <c r="AB22" s="12"/>
      <c r="AC22" s="12"/>
      <c r="AD22" s="12" t="str">
        <f>"100.84"</f>
        <v>100.84</v>
      </c>
      <c r="AE22" s="12"/>
      <c r="AF22" s="12"/>
      <c r="AG22" s="12" t="str">
        <f>"107.27"</f>
        <v>107.27</v>
      </c>
      <c r="AH22" s="12" t="str">
        <f>"111.99"</f>
        <v>111.99</v>
      </c>
    </row>
    <row r="23" spans="1:34">
      <c r="A23" s="9">
        <v>21</v>
      </c>
      <c r="B23" s="9">
        <v>7707</v>
      </c>
      <c r="C23" s="9" t="s">
        <v>68</v>
      </c>
      <c r="D23" s="9" t="s">
        <v>39</v>
      </c>
      <c r="E23" s="10" t="str">
        <f>"78.68"</f>
        <v>78.68</v>
      </c>
      <c r="F23" s="11"/>
      <c r="G23" s="11">
        <v>2017</v>
      </c>
      <c r="H23" s="12" t="str">
        <f>"106.96"</f>
        <v>106.96</v>
      </c>
      <c r="I23" s="12"/>
      <c r="J23" s="12" t="str">
        <f>"160.66"</f>
        <v>160.66</v>
      </c>
      <c r="K23" s="12"/>
      <c r="L23" s="12"/>
      <c r="M23" s="12"/>
      <c r="N23" s="12"/>
      <c r="O23" s="12" t="str">
        <f>"41.60"</f>
        <v>41.60</v>
      </c>
      <c r="P23" s="12"/>
      <c r="Q23" s="12"/>
      <c r="R23" s="12"/>
      <c r="S23" s="12"/>
      <c r="T23" s="12"/>
      <c r="U23" s="12"/>
      <c r="V23" s="12"/>
      <c r="W23" s="12"/>
      <c r="X23" s="12"/>
      <c r="Y23" s="12"/>
      <c r="Z23" s="12" t="str">
        <f>"115.76"</f>
        <v>115.76</v>
      </c>
      <c r="AA23" s="12" t="str">
        <f>"136.77"</f>
        <v>136.77</v>
      </c>
      <c r="AB23" s="12"/>
      <c r="AC23" s="12"/>
      <c r="AD23" s="12"/>
      <c r="AE23" s="12"/>
      <c r="AF23" s="12"/>
      <c r="AG23" s="12"/>
      <c r="AH23" s="12"/>
    </row>
    <row r="24" spans="1:34">
      <c r="A24" s="9">
        <v>22</v>
      </c>
      <c r="B24" s="9">
        <v>5731</v>
      </c>
      <c r="C24" s="9" t="s">
        <v>69</v>
      </c>
      <c r="D24" s="9" t="s">
        <v>53</v>
      </c>
      <c r="E24" s="10" t="str">
        <f>"82.05"</f>
        <v>82.05</v>
      </c>
      <c r="F24" s="11"/>
      <c r="G24" s="11">
        <v>2017</v>
      </c>
      <c r="H24" s="12" t="str">
        <f>"105.14"</f>
        <v>105.14</v>
      </c>
      <c r="I24" s="12"/>
      <c r="J24" s="12"/>
      <c r="K24" s="12"/>
      <c r="L24" s="12"/>
      <c r="M24" s="12"/>
      <c r="N24" s="12"/>
      <c r="O24" s="12" t="str">
        <f>"12.90"</f>
        <v>12.90</v>
      </c>
      <c r="P24" s="12"/>
      <c r="Q24" s="12"/>
      <c r="R24" s="12" t="str">
        <f>"151.20"</f>
        <v>151.20</v>
      </c>
      <c r="S24" s="12"/>
      <c r="T24" s="12"/>
      <c r="U24" s="12"/>
      <c r="V24" s="12"/>
      <c r="W24" s="12"/>
      <c r="X24" s="12"/>
      <c r="Y24" s="12"/>
      <c r="Z24" s="12"/>
      <c r="AA24" s="12"/>
      <c r="AB24" s="12"/>
      <c r="AC24" s="12"/>
      <c r="AD24" s="12"/>
      <c r="AE24" s="12"/>
      <c r="AF24" s="12"/>
      <c r="AG24" s="12"/>
      <c r="AH24" s="12"/>
    </row>
    <row r="25" spans="1:34">
      <c r="A25" s="9">
        <v>23</v>
      </c>
      <c r="B25" s="9">
        <v>6652</v>
      </c>
      <c r="C25" s="9" t="s">
        <v>70</v>
      </c>
      <c r="D25" s="9" t="s">
        <v>71</v>
      </c>
      <c r="E25" s="10" t="str">
        <f>"82.92"</f>
        <v>82.92</v>
      </c>
      <c r="F25" s="11"/>
      <c r="G25" s="11">
        <v>2017</v>
      </c>
      <c r="H25" s="12" t="str">
        <f>"213.49"</f>
        <v>213.49</v>
      </c>
      <c r="I25" s="12"/>
      <c r="J25" s="12"/>
      <c r="K25" s="12"/>
      <c r="L25" s="12"/>
      <c r="M25" s="12"/>
      <c r="N25" s="12"/>
      <c r="O25" s="12" t="str">
        <f>"36.67"</f>
        <v>36.67</v>
      </c>
      <c r="P25" s="12"/>
      <c r="Q25" s="12"/>
      <c r="R25" s="12" t="str">
        <f>"226.83"</f>
        <v>226.83</v>
      </c>
      <c r="S25" s="12"/>
      <c r="T25" s="12"/>
      <c r="U25" s="12" t="str">
        <f>"202.41"</f>
        <v>202.41</v>
      </c>
      <c r="V25" s="12"/>
      <c r="W25" s="12" t="str">
        <f>"203.05"</f>
        <v>203.05</v>
      </c>
      <c r="X25" s="12"/>
      <c r="Y25" s="12"/>
      <c r="Z25" s="12"/>
      <c r="AA25" s="12"/>
      <c r="AB25" s="12"/>
      <c r="AC25" s="12"/>
      <c r="AD25" s="12"/>
      <c r="AE25" s="12"/>
      <c r="AF25" s="12"/>
      <c r="AG25" s="12"/>
      <c r="AH25" s="12" t="str">
        <f>"129.17"</f>
        <v>129.17</v>
      </c>
    </row>
    <row r="26" spans="1:34">
      <c r="A26" s="9">
        <v>24</v>
      </c>
      <c r="B26" s="9">
        <v>7994</v>
      </c>
      <c r="C26" s="9" t="s">
        <v>72</v>
      </c>
      <c r="D26" s="9" t="s">
        <v>73</v>
      </c>
      <c r="E26" s="10" t="str">
        <f>"88.84"</f>
        <v>88.84</v>
      </c>
      <c r="F26" s="11"/>
      <c r="G26" s="11">
        <v>2017</v>
      </c>
      <c r="H26" s="12" t="str">
        <f>"192.98"</f>
        <v>192.98</v>
      </c>
      <c r="I26" s="12"/>
      <c r="J26" s="12"/>
      <c r="K26" s="12"/>
      <c r="L26" s="12"/>
      <c r="M26" s="12"/>
      <c r="N26" s="12"/>
      <c r="O26" s="12" t="str">
        <f>"11.76"</f>
        <v>11.76</v>
      </c>
      <c r="P26" s="12"/>
      <c r="Q26" s="12"/>
      <c r="R26" s="12"/>
      <c r="S26" s="12"/>
      <c r="T26" s="12"/>
      <c r="U26" s="12"/>
      <c r="V26" s="12"/>
      <c r="W26" s="12"/>
      <c r="X26" s="12" t="str">
        <f>"165.91"</f>
        <v>165.91</v>
      </c>
      <c r="Y26" s="12"/>
      <c r="Z26" s="12"/>
      <c r="AA26" s="12"/>
      <c r="AB26" s="12"/>
      <c r="AC26" s="12"/>
      <c r="AD26" s="12"/>
      <c r="AE26" s="12"/>
      <c r="AF26" s="12"/>
      <c r="AG26" s="12"/>
      <c r="AH26" s="12"/>
    </row>
    <row r="27" spans="1:34">
      <c r="A27" s="9">
        <v>25</v>
      </c>
      <c r="B27" s="9">
        <v>3322</v>
      </c>
      <c r="C27" s="9" t="s">
        <v>74</v>
      </c>
      <c r="D27" s="9" t="s">
        <v>75</v>
      </c>
      <c r="E27" s="10" t="str">
        <f>"94.20"</f>
        <v>94.20</v>
      </c>
      <c r="F27" s="11"/>
      <c r="G27" s="11">
        <v>2017</v>
      </c>
      <c r="H27" s="12" t="str">
        <f>"97.55"</f>
        <v>97.55</v>
      </c>
      <c r="I27" s="12" t="str">
        <f>"80.35"</f>
        <v>80.35</v>
      </c>
      <c r="J27" s="12" t="str">
        <f>"108.04"</f>
        <v>108.04</v>
      </c>
      <c r="K27" s="12"/>
      <c r="L27" s="12"/>
      <c r="M27" s="12"/>
      <c r="N27" s="12"/>
      <c r="O27" s="12"/>
      <c r="P27" s="12"/>
      <c r="Q27" s="12"/>
      <c r="R27" s="12"/>
      <c r="S27" s="12"/>
      <c r="T27" s="12"/>
      <c r="U27" s="12"/>
      <c r="V27" s="12"/>
      <c r="W27" s="12"/>
      <c r="X27" s="12"/>
      <c r="Y27" s="12"/>
      <c r="Z27" s="12"/>
      <c r="AA27" s="12"/>
      <c r="AB27" s="12"/>
      <c r="AC27" s="12"/>
      <c r="AD27" s="12"/>
      <c r="AE27" s="12"/>
      <c r="AF27" s="12"/>
      <c r="AG27" s="12"/>
      <c r="AH27" s="12"/>
    </row>
    <row r="28" spans="1:34">
      <c r="A28" s="9">
        <v>26</v>
      </c>
      <c r="B28" s="9">
        <v>5507</v>
      </c>
      <c r="C28" s="9" t="s">
        <v>76</v>
      </c>
      <c r="D28" s="9" t="s">
        <v>39</v>
      </c>
      <c r="E28" s="10" t="str">
        <f>"98.11"</f>
        <v>98.11</v>
      </c>
      <c r="F28" s="11"/>
      <c r="G28" s="11">
        <v>2017</v>
      </c>
      <c r="H28" s="12" t="str">
        <f>"147.75"</f>
        <v>147.75</v>
      </c>
      <c r="I28" s="12" t="str">
        <f>"102.19"</f>
        <v>102.19</v>
      </c>
      <c r="J28" s="12" t="str">
        <f>"127.11"</f>
        <v>127.11</v>
      </c>
      <c r="K28" s="12"/>
      <c r="L28" s="12"/>
      <c r="M28" s="12"/>
      <c r="N28" s="12" t="str">
        <f>"130.83"</f>
        <v>130.83</v>
      </c>
      <c r="O28" s="12"/>
      <c r="P28" s="12"/>
      <c r="Q28" s="12"/>
      <c r="R28" s="12"/>
      <c r="S28" s="12"/>
      <c r="T28" s="12"/>
      <c r="U28" s="12"/>
      <c r="V28" s="12"/>
      <c r="W28" s="12"/>
      <c r="X28" s="12"/>
      <c r="Y28" s="12"/>
      <c r="Z28" s="12"/>
      <c r="AA28" s="12" t="str">
        <f>"128.96"</f>
        <v>128.96</v>
      </c>
      <c r="AB28" s="12"/>
      <c r="AC28" s="12"/>
      <c r="AD28" s="12"/>
      <c r="AE28" s="12"/>
      <c r="AF28" s="12"/>
      <c r="AG28" s="12"/>
      <c r="AH28" s="12" t="str">
        <f>"94.02"</f>
        <v>94.02</v>
      </c>
    </row>
    <row r="29" spans="1:34">
      <c r="A29" s="9">
        <v>27</v>
      </c>
      <c r="B29" s="9">
        <v>4368</v>
      </c>
      <c r="C29" s="9" t="s">
        <v>77</v>
      </c>
      <c r="D29" s="9" t="s">
        <v>78</v>
      </c>
      <c r="E29" s="10" t="str">
        <f>"98.13"</f>
        <v>98.13</v>
      </c>
      <c r="F29" s="11"/>
      <c r="G29" s="11">
        <v>2017</v>
      </c>
      <c r="H29" s="12" t="str">
        <f>"134.53"</f>
        <v>134.53</v>
      </c>
      <c r="I29" s="12"/>
      <c r="J29" s="12"/>
      <c r="K29" s="12" t="str">
        <f>"153.53"</f>
        <v>153.53</v>
      </c>
      <c r="L29" s="12" t="str">
        <f>"154.52"</f>
        <v>154.52</v>
      </c>
      <c r="M29" s="12"/>
      <c r="N29" s="12"/>
      <c r="O29" s="12" t="str">
        <f>"68.16"</f>
        <v>68.16</v>
      </c>
      <c r="P29" s="12"/>
      <c r="Q29" s="12"/>
      <c r="R29" s="12"/>
      <c r="S29" s="12"/>
      <c r="T29" s="12"/>
      <c r="U29" s="12"/>
      <c r="V29" s="12" t="str">
        <f>"130.35"</f>
        <v>130.35</v>
      </c>
      <c r="W29" s="12"/>
      <c r="X29" s="12" t="str">
        <f>"175.33"</f>
        <v>175.33</v>
      </c>
      <c r="Y29" s="12" t="str">
        <f>"150.90"</f>
        <v>150.90</v>
      </c>
      <c r="Z29" s="12"/>
      <c r="AA29" s="12"/>
      <c r="AB29" s="12" t="str">
        <f>"153.08"</f>
        <v>153.08</v>
      </c>
      <c r="AC29" s="12" t="str">
        <f>"206.79"</f>
        <v>206.79</v>
      </c>
      <c r="AD29" s="12" t="str">
        <f>"128.09"</f>
        <v>128.09</v>
      </c>
      <c r="AE29" s="12"/>
      <c r="AF29" s="12"/>
      <c r="AG29" s="12"/>
      <c r="AH29" s="12"/>
    </row>
    <row r="30" spans="1:34">
      <c r="A30" s="9">
        <v>28</v>
      </c>
      <c r="B30" s="9">
        <v>7795</v>
      </c>
      <c r="C30" s="9" t="s">
        <v>79</v>
      </c>
      <c r="D30" s="9" t="s">
        <v>71</v>
      </c>
      <c r="E30" s="10" t="str">
        <f>"100.31"</f>
        <v>100.31</v>
      </c>
      <c r="F30" s="11"/>
      <c r="G30" s="11">
        <v>2017</v>
      </c>
      <c r="H30" s="12" t="str">
        <f>"123.32"</f>
        <v>123.32</v>
      </c>
      <c r="I30" s="12"/>
      <c r="J30" s="12"/>
      <c r="K30" s="12"/>
      <c r="L30" s="12"/>
      <c r="M30" s="12"/>
      <c r="N30" s="12"/>
      <c r="O30" s="12"/>
      <c r="P30" s="12"/>
      <c r="Q30" s="12"/>
      <c r="R30" s="12" t="str">
        <f>"117.56"</f>
        <v>117.56</v>
      </c>
      <c r="S30" s="12"/>
      <c r="T30" s="12"/>
      <c r="U30" s="12" t="str">
        <f>"106.53"</f>
        <v>106.53</v>
      </c>
      <c r="V30" s="12"/>
      <c r="W30" s="12" t="str">
        <f>"130.56"</f>
        <v>130.56</v>
      </c>
      <c r="X30" s="12" t="str">
        <f>"97.23"</f>
        <v>97.23</v>
      </c>
      <c r="Y30" s="12" t="str">
        <f>"103.39"</f>
        <v>103.39</v>
      </c>
      <c r="Z30" s="12"/>
      <c r="AA30" s="12"/>
      <c r="AB30" s="12"/>
      <c r="AC30" s="12"/>
      <c r="AD30" s="12"/>
      <c r="AE30" s="12"/>
      <c r="AF30" s="12"/>
      <c r="AG30" s="12"/>
      <c r="AH30" s="12"/>
    </row>
    <row r="31" spans="1:34">
      <c r="A31" s="9">
        <v>29</v>
      </c>
      <c r="B31" s="9">
        <v>10215</v>
      </c>
      <c r="C31" s="9" t="s">
        <v>80</v>
      </c>
      <c r="D31" s="9" t="s">
        <v>39</v>
      </c>
      <c r="E31" s="10" t="str">
        <f>"100.99"</f>
        <v>100.99</v>
      </c>
      <c r="F31" s="11" t="s">
        <v>489</v>
      </c>
      <c r="G31" s="11">
        <v>2017</v>
      </c>
      <c r="H31" s="12" t="str">
        <f>"86.15"</f>
        <v>86.15</v>
      </c>
      <c r="I31" s="12" t="str">
        <f>"105.29"</f>
        <v>105.29</v>
      </c>
      <c r="J31" s="12" t="str">
        <f>"120.29"</f>
        <v>120.29</v>
      </c>
      <c r="K31" s="12"/>
      <c r="L31" s="12"/>
      <c r="M31" s="12" t="str">
        <f>"96.68"</f>
        <v>96.68</v>
      </c>
      <c r="N31" s="12" t="str">
        <f>"105.90"</f>
        <v>105.90</v>
      </c>
      <c r="O31" s="12"/>
      <c r="P31" s="12"/>
      <c r="Q31" s="12"/>
      <c r="R31" s="12"/>
      <c r="S31" s="12"/>
      <c r="T31" s="12"/>
      <c r="U31" s="12"/>
      <c r="V31" s="12"/>
      <c r="W31" s="12"/>
      <c r="X31" s="12"/>
      <c r="Y31" s="12"/>
      <c r="Z31" s="12"/>
      <c r="AA31" s="12"/>
      <c r="AB31" s="12"/>
      <c r="AC31" s="12"/>
      <c r="AD31" s="12"/>
      <c r="AE31" s="12"/>
      <c r="AF31" s="12"/>
      <c r="AG31" s="12"/>
      <c r="AH31" s="12"/>
    </row>
    <row r="32" spans="1:34">
      <c r="A32" s="9">
        <v>30</v>
      </c>
      <c r="B32" s="9">
        <v>5236</v>
      </c>
      <c r="C32" s="9" t="s">
        <v>81</v>
      </c>
      <c r="D32" s="9" t="s">
        <v>82</v>
      </c>
      <c r="E32" s="10" t="str">
        <f>"103.28"</f>
        <v>103.28</v>
      </c>
      <c r="F32" s="11"/>
      <c r="G32" s="11">
        <v>2017</v>
      </c>
      <c r="H32" s="12" t="str">
        <f>"91.51"</f>
        <v>91.51</v>
      </c>
      <c r="I32" s="12" t="str">
        <f>"102.31"</f>
        <v>102.31</v>
      </c>
      <c r="J32" s="12" t="str">
        <f>"118.76"</f>
        <v>118.76</v>
      </c>
      <c r="K32" s="12"/>
      <c r="L32" s="12"/>
      <c r="M32" s="12"/>
      <c r="N32" s="12"/>
      <c r="O32" s="12"/>
      <c r="P32" s="12"/>
      <c r="Q32" s="12"/>
      <c r="R32" s="12"/>
      <c r="S32" s="12"/>
      <c r="T32" s="12"/>
      <c r="U32" s="12"/>
      <c r="V32" s="12"/>
      <c r="W32" s="12"/>
      <c r="X32" s="12"/>
      <c r="Y32" s="12"/>
      <c r="Z32" s="12"/>
      <c r="AA32" s="12"/>
      <c r="AB32" s="12"/>
      <c r="AC32" s="12" t="str">
        <f>"104.25"</f>
        <v>104.25</v>
      </c>
      <c r="AD32" s="12"/>
      <c r="AE32" s="12"/>
      <c r="AF32" s="12"/>
      <c r="AG32" s="12"/>
      <c r="AH32" s="12"/>
    </row>
    <row r="33" spans="1:34">
      <c r="A33" s="9">
        <v>31</v>
      </c>
      <c r="B33" s="9">
        <v>9962</v>
      </c>
      <c r="C33" s="9" t="s">
        <v>83</v>
      </c>
      <c r="D33" s="9" t="s">
        <v>39</v>
      </c>
      <c r="E33" s="10" t="str">
        <f>"103.33"</f>
        <v>103.33</v>
      </c>
      <c r="F33" s="11"/>
      <c r="G33" s="11">
        <v>2017</v>
      </c>
      <c r="H33" s="12" t="str">
        <f>"166.44"</f>
        <v>166.44</v>
      </c>
      <c r="I33" s="12"/>
      <c r="J33" s="12" t="str">
        <f>"101.91"</f>
        <v>101.91</v>
      </c>
      <c r="K33" s="12"/>
      <c r="L33" s="12"/>
      <c r="M33" s="12"/>
      <c r="N33" s="12" t="str">
        <f>"104.74"</f>
        <v>104.74</v>
      </c>
      <c r="O33" s="12"/>
      <c r="P33" s="12"/>
      <c r="Q33" s="12"/>
      <c r="R33" s="12"/>
      <c r="S33" s="12"/>
      <c r="T33" s="12"/>
      <c r="U33" s="12"/>
      <c r="V33" s="12"/>
      <c r="W33" s="12"/>
      <c r="X33" s="12"/>
      <c r="Y33" s="12"/>
      <c r="Z33" s="12"/>
      <c r="AA33" s="12" t="str">
        <f>"126.54"</f>
        <v>126.54</v>
      </c>
      <c r="AB33" s="12"/>
      <c r="AC33" s="12"/>
      <c r="AD33" s="12"/>
      <c r="AE33" s="12"/>
      <c r="AF33" s="12"/>
      <c r="AG33" s="12" t="str">
        <f>"118.99"</f>
        <v>118.99</v>
      </c>
      <c r="AH33" s="12" t="str">
        <f>"113.04"</f>
        <v>113.04</v>
      </c>
    </row>
    <row r="34" spans="1:34">
      <c r="A34" s="9">
        <v>32</v>
      </c>
      <c r="B34" s="9">
        <v>5185</v>
      </c>
      <c r="C34" s="9" t="s">
        <v>84</v>
      </c>
      <c r="D34" s="9" t="s">
        <v>39</v>
      </c>
      <c r="E34" s="10" t="str">
        <f>"107.06"</f>
        <v>107.06</v>
      </c>
      <c r="F34" s="11" t="s">
        <v>40</v>
      </c>
      <c r="G34" s="11">
        <v>2017</v>
      </c>
      <c r="H34" s="12" t="str">
        <f>"74.35"</f>
        <v>74.35</v>
      </c>
      <c r="I34" s="12"/>
      <c r="J34" s="12"/>
      <c r="K34" s="12"/>
      <c r="L34" s="12"/>
      <c r="M34" s="12"/>
      <c r="N34" s="12"/>
      <c r="O34" s="12"/>
      <c r="P34" s="12"/>
      <c r="Q34" s="12"/>
      <c r="R34" s="12"/>
      <c r="S34" s="12"/>
      <c r="T34" s="12"/>
      <c r="U34" s="12"/>
      <c r="V34" s="12"/>
      <c r="W34" s="12"/>
      <c r="X34" s="12"/>
      <c r="Y34" s="12"/>
      <c r="Z34" s="12"/>
      <c r="AA34" s="12"/>
      <c r="AB34" s="12"/>
      <c r="AC34" s="12"/>
      <c r="AD34" s="12"/>
      <c r="AE34" s="12"/>
      <c r="AF34" s="12"/>
      <c r="AG34" s="12"/>
      <c r="AH34" s="12"/>
    </row>
    <row r="35" spans="1:34">
      <c r="A35" s="9">
        <v>33</v>
      </c>
      <c r="B35" s="9">
        <v>10561</v>
      </c>
      <c r="C35" s="9" t="s">
        <v>85</v>
      </c>
      <c r="D35" s="9" t="s">
        <v>39</v>
      </c>
      <c r="E35" s="10" t="str">
        <f>"108.40"</f>
        <v>108.40</v>
      </c>
      <c r="F35" s="11"/>
      <c r="G35" s="11">
        <v>2017</v>
      </c>
      <c r="H35" s="12" t="str">
        <f>"148.20"</f>
        <v>148.20</v>
      </c>
      <c r="I35" s="12" t="str">
        <f>"110.84"</f>
        <v>110.84</v>
      </c>
      <c r="J35" s="12" t="str">
        <f>"105.95"</f>
        <v>105.95</v>
      </c>
      <c r="K35" s="12"/>
      <c r="L35" s="12"/>
      <c r="M35" s="12"/>
      <c r="N35" s="12" t="str">
        <f>"145.27"</f>
        <v>145.27</v>
      </c>
      <c r="O35" s="12"/>
      <c r="P35" s="12"/>
      <c r="Q35" s="12"/>
      <c r="R35" s="12"/>
      <c r="S35" s="12"/>
      <c r="T35" s="12"/>
      <c r="U35" s="12"/>
      <c r="V35" s="12"/>
      <c r="W35" s="12"/>
      <c r="X35" s="12"/>
      <c r="Y35" s="12"/>
      <c r="Z35" s="12"/>
      <c r="AA35" s="12" t="str">
        <f>"135.46"</f>
        <v>135.46</v>
      </c>
      <c r="AB35" s="12"/>
      <c r="AC35" s="12"/>
      <c r="AD35" s="12"/>
      <c r="AE35" s="12"/>
      <c r="AF35" s="12"/>
      <c r="AG35" s="12"/>
      <c r="AH35" s="12"/>
    </row>
    <row r="36" spans="1:34">
      <c r="A36" s="9">
        <v>34</v>
      </c>
      <c r="B36" s="9">
        <v>5147</v>
      </c>
      <c r="C36" s="9" t="s">
        <v>86</v>
      </c>
      <c r="D36" s="9" t="s">
        <v>87</v>
      </c>
      <c r="E36" s="10" t="str">
        <f>"109.10"</f>
        <v>109.10</v>
      </c>
      <c r="F36" s="11"/>
      <c r="G36" s="11">
        <v>2017</v>
      </c>
      <c r="H36" s="12" t="str">
        <f>"148.21"</f>
        <v>148.21</v>
      </c>
      <c r="I36" s="12"/>
      <c r="J36" s="12"/>
      <c r="K36" s="12" t="str">
        <f>"236.45"</f>
        <v>236.45</v>
      </c>
      <c r="L36" s="12" t="str">
        <f>"177.81"</f>
        <v>177.81</v>
      </c>
      <c r="M36" s="12"/>
      <c r="N36" s="12"/>
      <c r="O36" s="12" t="str">
        <f>"77.26"</f>
        <v>77.26</v>
      </c>
      <c r="P36" s="12"/>
      <c r="Q36" s="12"/>
      <c r="R36" s="12"/>
      <c r="S36" s="12"/>
      <c r="T36" s="12"/>
      <c r="U36" s="12"/>
      <c r="V36" s="12"/>
      <c r="W36" s="12"/>
      <c r="X36" s="12"/>
      <c r="Y36" s="12"/>
      <c r="Z36" s="12"/>
      <c r="AA36" s="12"/>
      <c r="AB36" s="12"/>
      <c r="AC36" s="12"/>
      <c r="AD36" s="12"/>
      <c r="AE36" s="12" t="str">
        <f>"140.94"</f>
        <v>140.94</v>
      </c>
      <c r="AF36" s="12"/>
      <c r="AG36" s="12"/>
      <c r="AH36" s="12"/>
    </row>
    <row r="37" spans="1:34">
      <c r="A37" s="9">
        <v>35</v>
      </c>
      <c r="B37" s="9">
        <v>4573</v>
      </c>
      <c r="C37" s="9" t="s">
        <v>88</v>
      </c>
      <c r="D37" s="9" t="s">
        <v>89</v>
      </c>
      <c r="E37" s="10" t="str">
        <f>"110.15"</f>
        <v>110.15</v>
      </c>
      <c r="F37" s="11"/>
      <c r="G37" s="11">
        <v>2017</v>
      </c>
      <c r="H37" s="12" t="str">
        <f>"143.78"</f>
        <v>143.78</v>
      </c>
      <c r="I37" s="12"/>
      <c r="J37" s="12"/>
      <c r="K37" s="12"/>
      <c r="L37" s="12"/>
      <c r="M37" s="12"/>
      <c r="N37" s="12"/>
      <c r="O37" s="12" t="str">
        <f>"77.51"</f>
        <v>77.51</v>
      </c>
      <c r="P37" s="12"/>
      <c r="Q37" s="12"/>
      <c r="R37" s="12"/>
      <c r="S37" s="12"/>
      <c r="T37" s="12"/>
      <c r="U37" s="12"/>
      <c r="V37" s="12" t="str">
        <f>"142.78"</f>
        <v>142.78</v>
      </c>
      <c r="W37" s="12"/>
      <c r="X37" s="12" t="str">
        <f>"208.97"</f>
        <v>208.97</v>
      </c>
      <c r="Y37" s="12" t="str">
        <f>"188.50"</f>
        <v>188.50</v>
      </c>
      <c r="Z37" s="12"/>
      <c r="AA37" s="12"/>
      <c r="AB37" s="12" t="str">
        <f>"175.86"</f>
        <v>175.86</v>
      </c>
      <c r="AC37" s="12" t="str">
        <f>"190.35"</f>
        <v>190.35</v>
      </c>
      <c r="AD37" s="12"/>
      <c r="AE37" s="12" t="str">
        <f>"164.52"</f>
        <v>164.52</v>
      </c>
      <c r="AF37" s="12" t="str">
        <f>"169.49"</f>
        <v>169.49</v>
      </c>
      <c r="AG37" s="12"/>
      <c r="AH37" s="12"/>
    </row>
    <row r="38" spans="1:34">
      <c r="A38" s="9">
        <v>36</v>
      </c>
      <c r="B38" s="9">
        <v>1961</v>
      </c>
      <c r="C38" s="9" t="s">
        <v>90</v>
      </c>
      <c r="D38" s="9" t="s">
        <v>91</v>
      </c>
      <c r="E38" s="10" t="str">
        <f>"112.48"</f>
        <v>112.48</v>
      </c>
      <c r="F38" s="11" t="s">
        <v>40</v>
      </c>
      <c r="G38" s="11">
        <v>2017</v>
      </c>
      <c r="H38" s="12" t="str">
        <f>"78.11"</f>
        <v>78.11</v>
      </c>
      <c r="I38" s="12"/>
      <c r="J38" s="12"/>
      <c r="K38" s="12"/>
      <c r="L38" s="12"/>
      <c r="M38" s="12"/>
      <c r="N38" s="12"/>
      <c r="O38" s="12"/>
      <c r="P38" s="12"/>
      <c r="Q38" s="12"/>
      <c r="R38" s="12"/>
      <c r="S38" s="12"/>
      <c r="T38" s="12"/>
      <c r="U38" s="12"/>
      <c r="V38" s="12"/>
      <c r="W38" s="12"/>
      <c r="X38" s="12"/>
      <c r="Y38" s="12"/>
      <c r="Z38" s="12"/>
      <c r="AA38" s="12"/>
      <c r="AB38" s="12"/>
      <c r="AC38" s="12"/>
      <c r="AD38" s="12"/>
      <c r="AE38" s="12"/>
      <c r="AF38" s="12"/>
      <c r="AG38" s="12"/>
      <c r="AH38" s="12"/>
    </row>
    <row r="39" spans="1:34">
      <c r="A39" s="9">
        <v>37</v>
      </c>
      <c r="B39" s="9">
        <v>10310</v>
      </c>
      <c r="C39" s="9" t="s">
        <v>92</v>
      </c>
      <c r="D39" s="9" t="s">
        <v>93</v>
      </c>
      <c r="E39" s="10" t="str">
        <f>"116.47"</f>
        <v>116.47</v>
      </c>
      <c r="F39" s="11" t="s">
        <v>40</v>
      </c>
      <c r="G39" s="11">
        <v>2017</v>
      </c>
      <c r="H39" s="12" t="str">
        <f>"80.88"</f>
        <v>80.88</v>
      </c>
      <c r="I39" s="12"/>
      <c r="J39" s="12"/>
      <c r="K39" s="12"/>
      <c r="L39" s="12"/>
      <c r="M39" s="12"/>
      <c r="N39" s="12"/>
      <c r="O39" s="12"/>
      <c r="P39" s="12"/>
      <c r="Q39" s="12"/>
      <c r="R39" s="12"/>
      <c r="S39" s="12"/>
      <c r="T39" s="12"/>
      <c r="U39" s="12"/>
      <c r="V39" s="12"/>
      <c r="W39" s="12"/>
      <c r="X39" s="12"/>
      <c r="Y39" s="12"/>
      <c r="Z39" s="12"/>
      <c r="AA39" s="12"/>
      <c r="AB39" s="12"/>
      <c r="AC39" s="12"/>
      <c r="AD39" s="12"/>
      <c r="AE39" s="12"/>
      <c r="AF39" s="12"/>
      <c r="AG39" s="12"/>
      <c r="AH39" s="12"/>
    </row>
    <row r="40" spans="1:34">
      <c r="A40" s="9">
        <v>38</v>
      </c>
      <c r="B40" s="9">
        <v>7572</v>
      </c>
      <c r="C40" s="9" t="s">
        <v>94</v>
      </c>
      <c r="D40" s="9" t="s">
        <v>71</v>
      </c>
      <c r="E40" s="10" t="str">
        <f>"117.74"</f>
        <v>117.74</v>
      </c>
      <c r="F40" s="11"/>
      <c r="G40" s="11">
        <v>2017</v>
      </c>
      <c r="H40" s="12" t="str">
        <f>"147.27"</f>
        <v>147.27</v>
      </c>
      <c r="I40" s="12"/>
      <c r="J40" s="12"/>
      <c r="K40" s="12"/>
      <c r="L40" s="12"/>
      <c r="M40" s="12"/>
      <c r="N40" s="12"/>
      <c r="O40" s="12"/>
      <c r="P40" s="12"/>
      <c r="Q40" s="12"/>
      <c r="R40" s="12" t="str">
        <f>"111.15"</f>
        <v>111.15</v>
      </c>
      <c r="S40" s="12"/>
      <c r="T40" s="12"/>
      <c r="U40" s="12" t="str">
        <f>"124.32"</f>
        <v>124.32</v>
      </c>
      <c r="V40" s="12"/>
      <c r="W40" s="12" t="str">
        <f>"128.32"</f>
        <v>128.32</v>
      </c>
      <c r="X40" s="12"/>
      <c r="Y40" s="12"/>
      <c r="Z40" s="12"/>
      <c r="AA40" s="12"/>
      <c r="AB40" s="12"/>
      <c r="AC40" s="12"/>
      <c r="AD40" s="12"/>
      <c r="AE40" s="12"/>
      <c r="AF40" s="12"/>
      <c r="AG40" s="12"/>
      <c r="AH40" s="12"/>
    </row>
    <row r="41" spans="1:34">
      <c r="A41" s="9">
        <v>39</v>
      </c>
      <c r="B41" s="9">
        <v>2418</v>
      </c>
      <c r="C41" s="9" t="s">
        <v>95</v>
      </c>
      <c r="D41" s="9" t="s">
        <v>39</v>
      </c>
      <c r="E41" s="10" t="str">
        <f>"118.28"</f>
        <v>118.28</v>
      </c>
      <c r="F41" s="11"/>
      <c r="G41" s="11">
        <v>2017</v>
      </c>
      <c r="H41" s="12" t="str">
        <f>"138.44"</f>
        <v>138.44</v>
      </c>
      <c r="I41" s="12" t="str">
        <f>"165.49"</f>
        <v>165.49</v>
      </c>
      <c r="J41" s="12" t="str">
        <f>"202.85"</f>
        <v>202.85</v>
      </c>
      <c r="K41" s="12"/>
      <c r="L41" s="12"/>
      <c r="M41" s="12"/>
      <c r="N41" s="12"/>
      <c r="O41" s="12" t="str">
        <f>"71.07"</f>
        <v>71.07</v>
      </c>
      <c r="P41" s="12"/>
      <c r="Q41" s="12"/>
      <c r="R41" s="12"/>
      <c r="S41" s="12"/>
      <c r="T41" s="12"/>
      <c r="U41" s="12"/>
      <c r="V41" s="12"/>
      <c r="W41" s="12"/>
      <c r="X41" s="12" t="str">
        <f>"196.15"</f>
        <v>196.15</v>
      </c>
      <c r="Y41" s="12" t="str">
        <f>"218.25"</f>
        <v>218.25</v>
      </c>
      <c r="Z41" s="12"/>
      <c r="AA41" s="12"/>
      <c r="AB41" s="12"/>
      <c r="AC41" s="12"/>
      <c r="AD41" s="12"/>
      <c r="AE41" s="12"/>
      <c r="AF41" s="12"/>
      <c r="AG41" s="12"/>
      <c r="AH41" s="12"/>
    </row>
    <row r="42" spans="1:34">
      <c r="A42" s="9">
        <v>40</v>
      </c>
      <c r="B42" s="9">
        <v>11108</v>
      </c>
      <c r="C42" s="9" t="s">
        <v>96</v>
      </c>
      <c r="D42" s="9" t="s">
        <v>39</v>
      </c>
      <c r="E42" s="10" t="str">
        <f>"118.83"</f>
        <v>118.83</v>
      </c>
      <c r="F42" s="11"/>
      <c r="G42" s="11">
        <v>2017</v>
      </c>
      <c r="H42" s="12"/>
      <c r="I42" s="12"/>
      <c r="J42" s="12"/>
      <c r="K42" s="12"/>
      <c r="L42" s="12"/>
      <c r="M42" s="12" t="str">
        <f>"167.40"</f>
        <v>167.40</v>
      </c>
      <c r="N42" s="12" t="str">
        <f>"167.24"</f>
        <v>167.24</v>
      </c>
      <c r="O42" s="12"/>
      <c r="P42" s="12"/>
      <c r="Q42" s="12"/>
      <c r="R42" s="12"/>
      <c r="S42" s="12"/>
      <c r="T42" s="12"/>
      <c r="U42" s="12"/>
      <c r="V42" s="12"/>
      <c r="W42" s="12"/>
      <c r="X42" s="12"/>
      <c r="Y42" s="12"/>
      <c r="Z42" s="12" t="str">
        <f>"123.57"</f>
        <v>123.57</v>
      </c>
      <c r="AA42" s="12" t="str">
        <f>"170.96"</f>
        <v>170.96</v>
      </c>
      <c r="AB42" s="12"/>
      <c r="AC42" s="12"/>
      <c r="AD42" s="12"/>
      <c r="AE42" s="12" t="str">
        <f>"152.04"</f>
        <v>152.04</v>
      </c>
      <c r="AF42" s="12" t="str">
        <f>"174.33"</f>
        <v>174.33</v>
      </c>
      <c r="AG42" s="12"/>
      <c r="AH42" s="12" t="str">
        <f>"114.09"</f>
        <v>114.09</v>
      </c>
    </row>
    <row r="43" spans="1:34">
      <c r="A43" s="9">
        <v>41</v>
      </c>
      <c r="B43" s="9">
        <v>6589</v>
      </c>
      <c r="C43" s="9" t="s">
        <v>97</v>
      </c>
      <c r="D43" s="9" t="s">
        <v>53</v>
      </c>
      <c r="E43" s="10" t="str">
        <f>"119.48"</f>
        <v>119.48</v>
      </c>
      <c r="F43" s="11"/>
      <c r="G43" s="11">
        <v>2017</v>
      </c>
      <c r="H43" s="12" t="str">
        <f>"294.27"</f>
        <v>294.27</v>
      </c>
      <c r="I43" s="12"/>
      <c r="J43" s="12"/>
      <c r="K43" s="12"/>
      <c r="L43" s="12"/>
      <c r="M43" s="12"/>
      <c r="N43" s="12"/>
      <c r="O43" s="12" t="str">
        <f>"39.07"</f>
        <v>39.07</v>
      </c>
      <c r="P43" s="12"/>
      <c r="Q43" s="12"/>
      <c r="R43" s="12"/>
      <c r="S43" s="12"/>
      <c r="T43" s="12"/>
      <c r="U43" s="12" t="str">
        <f>"199.88"</f>
        <v>199.88</v>
      </c>
      <c r="V43" s="12"/>
      <c r="W43" s="12"/>
      <c r="X43" s="12"/>
      <c r="Y43" s="12"/>
      <c r="Z43" s="12"/>
      <c r="AA43" s="12"/>
      <c r="AB43" s="12"/>
      <c r="AC43" s="12"/>
      <c r="AD43" s="12"/>
      <c r="AE43" s="12"/>
      <c r="AF43" s="12"/>
      <c r="AG43" s="12"/>
      <c r="AH43" s="12"/>
    </row>
    <row r="44" spans="1:34">
      <c r="A44" s="9">
        <v>42</v>
      </c>
      <c r="B44" s="9">
        <v>8640</v>
      </c>
      <c r="C44" s="9" t="s">
        <v>98</v>
      </c>
      <c r="D44" s="9" t="s">
        <v>39</v>
      </c>
      <c r="E44" s="10" t="str">
        <f>"120.32"</f>
        <v>120.32</v>
      </c>
      <c r="F44" s="11"/>
      <c r="G44" s="11">
        <v>2017</v>
      </c>
      <c r="H44" s="12" t="str">
        <f>"118.98"</f>
        <v>118.98</v>
      </c>
      <c r="I44" s="12" t="str">
        <f>"120.66"</f>
        <v>120.66</v>
      </c>
      <c r="J44" s="12" t="str">
        <f>"146.32"</f>
        <v>146.32</v>
      </c>
      <c r="K44" s="12"/>
      <c r="L44" s="12"/>
      <c r="M44" s="12"/>
      <c r="N44" s="12" t="str">
        <f>"119.98"</f>
        <v>119.98</v>
      </c>
      <c r="O44" s="12"/>
      <c r="P44" s="12"/>
      <c r="Q44" s="12"/>
      <c r="R44" s="12"/>
      <c r="S44" s="12"/>
      <c r="T44" s="12"/>
      <c r="U44" s="12"/>
      <c r="V44" s="12"/>
      <c r="W44" s="12"/>
      <c r="X44" s="12"/>
      <c r="Y44" s="12"/>
      <c r="Z44" s="12"/>
      <c r="AA44" s="12"/>
      <c r="AB44" s="12"/>
      <c r="AC44" s="12"/>
      <c r="AD44" s="12"/>
      <c r="AE44" s="12"/>
      <c r="AF44" s="12"/>
      <c r="AG44" s="12"/>
      <c r="AH44" s="12"/>
    </row>
    <row r="45" spans="1:34">
      <c r="A45" s="9">
        <v>43</v>
      </c>
      <c r="B45" s="9">
        <v>7565</v>
      </c>
      <c r="C45" s="9" t="s">
        <v>99</v>
      </c>
      <c r="D45" s="9" t="s">
        <v>78</v>
      </c>
      <c r="E45" s="10" t="str">
        <f>"122.03"</f>
        <v>122.03</v>
      </c>
      <c r="F45" s="11"/>
      <c r="G45" s="11">
        <v>2017</v>
      </c>
      <c r="H45" s="12" t="str">
        <f>"134.45"</f>
        <v>134.45</v>
      </c>
      <c r="I45" s="12"/>
      <c r="J45" s="12"/>
      <c r="K45" s="12" t="str">
        <f>"111.48"</f>
        <v>111.48</v>
      </c>
      <c r="L45" s="12" t="str">
        <f>"132.57"</f>
        <v>132.57</v>
      </c>
      <c r="M45" s="12"/>
      <c r="N45" s="12"/>
      <c r="O45" s="12"/>
      <c r="P45" s="12"/>
      <c r="Q45" s="12"/>
      <c r="R45" s="12"/>
      <c r="S45" s="12"/>
      <c r="T45" s="12"/>
      <c r="U45" s="12"/>
      <c r="V45" s="12"/>
      <c r="W45" s="12"/>
      <c r="X45" s="12"/>
      <c r="Y45" s="12"/>
      <c r="Z45" s="12"/>
      <c r="AA45" s="12"/>
      <c r="AB45" s="12"/>
      <c r="AC45" s="12"/>
      <c r="AD45" s="12"/>
      <c r="AE45" s="12"/>
      <c r="AF45" s="12"/>
      <c r="AG45" s="12"/>
      <c r="AH45" s="12"/>
    </row>
    <row r="46" spans="1:34">
      <c r="A46" s="9">
        <v>44</v>
      </c>
      <c r="B46" s="9">
        <v>5415</v>
      </c>
      <c r="C46" s="9" t="s">
        <v>100</v>
      </c>
      <c r="D46" s="9" t="s">
        <v>71</v>
      </c>
      <c r="E46" s="10" t="str">
        <f>"122.70"</f>
        <v>122.70</v>
      </c>
      <c r="F46" s="11"/>
      <c r="G46" s="11">
        <v>2017</v>
      </c>
      <c r="H46" s="12" t="str">
        <f>"171.67"</f>
        <v>171.67</v>
      </c>
      <c r="I46" s="12"/>
      <c r="J46" s="12"/>
      <c r="K46" s="12"/>
      <c r="L46" s="12"/>
      <c r="M46" s="12"/>
      <c r="N46" s="12"/>
      <c r="O46" s="12"/>
      <c r="P46" s="12"/>
      <c r="Q46" s="12"/>
      <c r="R46" s="12" t="str">
        <f>"119.14"</f>
        <v>119.14</v>
      </c>
      <c r="S46" s="12"/>
      <c r="T46" s="12"/>
      <c r="U46" s="12"/>
      <c r="V46" s="12"/>
      <c r="W46" s="12" t="str">
        <f>"126.26"</f>
        <v>126.26</v>
      </c>
      <c r="X46" s="12"/>
      <c r="Y46" s="12"/>
      <c r="Z46" s="12"/>
      <c r="AA46" s="12"/>
      <c r="AB46" s="12"/>
      <c r="AC46" s="12"/>
      <c r="AD46" s="12"/>
      <c r="AE46" s="12"/>
      <c r="AF46" s="12"/>
      <c r="AG46" s="12"/>
      <c r="AH46" s="12"/>
    </row>
    <row r="47" spans="1:34">
      <c r="A47" s="9">
        <v>45</v>
      </c>
      <c r="B47" s="9">
        <v>10287</v>
      </c>
      <c r="C47" s="9" t="s">
        <v>101</v>
      </c>
      <c r="D47" s="9" t="s">
        <v>71</v>
      </c>
      <c r="E47" s="10" t="str">
        <f>"123.19"</f>
        <v>123.19</v>
      </c>
      <c r="F47" s="11"/>
      <c r="G47" s="11">
        <v>2017</v>
      </c>
      <c r="H47" s="12" t="str">
        <f>"218.29"</f>
        <v>218.29</v>
      </c>
      <c r="I47" s="12"/>
      <c r="J47" s="12"/>
      <c r="K47" s="12"/>
      <c r="L47" s="12"/>
      <c r="M47" s="12"/>
      <c r="N47" s="12"/>
      <c r="O47" s="12"/>
      <c r="P47" s="12"/>
      <c r="Q47" s="12"/>
      <c r="R47" s="12" t="str">
        <f>"128.45"</f>
        <v>128.45</v>
      </c>
      <c r="S47" s="12"/>
      <c r="T47" s="12"/>
      <c r="U47" s="12" t="str">
        <f>"117.92"</f>
        <v>117.92</v>
      </c>
      <c r="V47" s="12"/>
      <c r="W47" s="12" t="str">
        <f>"158.40"</f>
        <v>158.40</v>
      </c>
      <c r="X47" s="12"/>
      <c r="Y47" s="12"/>
      <c r="Z47" s="12"/>
      <c r="AA47" s="12"/>
      <c r="AB47" s="12"/>
      <c r="AC47" s="12"/>
      <c r="AD47" s="12"/>
      <c r="AE47" s="12"/>
      <c r="AF47" s="12"/>
      <c r="AG47" s="12"/>
      <c r="AH47" s="12"/>
    </row>
    <row r="48" spans="1:34">
      <c r="A48" s="9">
        <v>46</v>
      </c>
      <c r="B48" s="9">
        <v>4295</v>
      </c>
      <c r="C48" s="9" t="s">
        <v>102</v>
      </c>
      <c r="D48" s="9" t="s">
        <v>103</v>
      </c>
      <c r="E48" s="10" t="str">
        <f>"123.72"</f>
        <v>123.72</v>
      </c>
      <c r="F48" s="11"/>
      <c r="G48" s="11">
        <v>2017</v>
      </c>
      <c r="H48" s="12" t="str">
        <f>"211.92"</f>
        <v>211.92</v>
      </c>
      <c r="I48" s="12"/>
      <c r="J48" s="12"/>
      <c r="K48" s="12"/>
      <c r="L48" s="12"/>
      <c r="M48" s="12"/>
      <c r="N48" s="12"/>
      <c r="O48" s="12" t="str">
        <f>"73.72"</f>
        <v>73.72</v>
      </c>
      <c r="P48" s="12"/>
      <c r="Q48" s="12"/>
      <c r="R48" s="12"/>
      <c r="S48" s="12"/>
      <c r="T48" s="12"/>
      <c r="U48" s="12"/>
      <c r="V48" s="12"/>
      <c r="W48" s="12"/>
      <c r="X48" s="12" t="str">
        <f>"173.72"</f>
        <v>173.72</v>
      </c>
      <c r="Y48" s="12"/>
      <c r="Z48" s="12"/>
      <c r="AA48" s="12"/>
      <c r="AB48" s="12"/>
      <c r="AC48" s="12"/>
      <c r="AD48" s="12"/>
      <c r="AE48" s="12"/>
      <c r="AF48" s="12"/>
      <c r="AG48" s="12"/>
      <c r="AH48" s="12"/>
    </row>
    <row r="49" spans="1:34">
      <c r="A49" s="9">
        <v>47</v>
      </c>
      <c r="B49" s="9">
        <v>6601</v>
      </c>
      <c r="C49" s="9" t="s">
        <v>104</v>
      </c>
      <c r="D49" s="9" t="s">
        <v>39</v>
      </c>
      <c r="E49" s="10" t="str">
        <f>"126.29"</f>
        <v>126.29</v>
      </c>
      <c r="F49" s="11"/>
      <c r="G49" s="11">
        <v>2017</v>
      </c>
      <c r="H49" s="12" t="str">
        <f>"178.60"</f>
        <v>178.60</v>
      </c>
      <c r="I49" s="12" t="str">
        <f>"170.27"</f>
        <v>170.27</v>
      </c>
      <c r="J49" s="12" t="str">
        <f>"203.27"</f>
        <v>203.27</v>
      </c>
      <c r="K49" s="12"/>
      <c r="L49" s="12"/>
      <c r="M49" s="12"/>
      <c r="N49" s="12"/>
      <c r="O49" s="12" t="str">
        <f>"95.72"</f>
        <v>95.72</v>
      </c>
      <c r="P49" s="12"/>
      <c r="Q49" s="12"/>
      <c r="R49" s="12"/>
      <c r="S49" s="12"/>
      <c r="T49" s="12"/>
      <c r="U49" s="12"/>
      <c r="V49" s="12"/>
      <c r="W49" s="12"/>
      <c r="X49" s="12"/>
      <c r="Y49" s="12"/>
      <c r="Z49" s="12"/>
      <c r="AA49" s="12" t="str">
        <f>"239.17"</f>
        <v>239.17</v>
      </c>
      <c r="AB49" s="12"/>
      <c r="AC49" s="12"/>
      <c r="AD49" s="12"/>
      <c r="AE49" s="12"/>
      <c r="AF49" s="12"/>
      <c r="AG49" s="12"/>
      <c r="AH49" s="12" t="str">
        <f>"156.85"</f>
        <v>156.85</v>
      </c>
    </row>
    <row r="50" spans="1:34">
      <c r="A50" s="9">
        <v>48</v>
      </c>
      <c r="B50" s="9">
        <v>1957</v>
      </c>
      <c r="C50" s="9" t="s">
        <v>105</v>
      </c>
      <c r="D50" s="9" t="s">
        <v>53</v>
      </c>
      <c r="E50" s="10" t="str">
        <f>"127.36"</f>
        <v>127.36</v>
      </c>
      <c r="F50" s="11"/>
      <c r="G50" s="11">
        <v>2017</v>
      </c>
      <c r="H50" s="12" t="str">
        <f>"181.96"</f>
        <v>181.96</v>
      </c>
      <c r="I50" s="12"/>
      <c r="J50" s="12"/>
      <c r="K50" s="12"/>
      <c r="L50" s="12"/>
      <c r="M50" s="12"/>
      <c r="N50" s="12"/>
      <c r="O50" s="12"/>
      <c r="P50" s="12"/>
      <c r="Q50" s="12"/>
      <c r="R50" s="12"/>
      <c r="S50" s="12"/>
      <c r="T50" s="12"/>
      <c r="U50" s="12"/>
      <c r="V50" s="12"/>
      <c r="W50" s="12"/>
      <c r="X50" s="12"/>
      <c r="Y50" s="12"/>
      <c r="Z50" s="12"/>
      <c r="AA50" s="12"/>
      <c r="AB50" s="12" t="str">
        <f>"122.21"</f>
        <v>122.21</v>
      </c>
      <c r="AC50" s="12" t="str">
        <f>"132.51"</f>
        <v>132.51</v>
      </c>
      <c r="AD50" s="12"/>
      <c r="AE50" s="12"/>
      <c r="AF50" s="12"/>
      <c r="AG50" s="12"/>
      <c r="AH50" s="12"/>
    </row>
    <row r="51" spans="1:34">
      <c r="A51" s="9">
        <v>49</v>
      </c>
      <c r="B51" s="9">
        <v>7708</v>
      </c>
      <c r="C51" s="9" t="s">
        <v>143</v>
      </c>
      <c r="D51" s="9" t="s">
        <v>71</v>
      </c>
      <c r="E51" s="10">
        <v>129.07</v>
      </c>
      <c r="F51" s="11" t="s">
        <v>488</v>
      </c>
      <c r="G51" s="11">
        <v>2017</v>
      </c>
      <c r="H51" s="12" t="str">
        <f>"109.07"</f>
        <v>109.07</v>
      </c>
      <c r="I51" s="12"/>
      <c r="J51" s="12"/>
      <c r="K51" s="12"/>
      <c r="L51" s="12"/>
      <c r="M51" s="12"/>
      <c r="N51" s="12"/>
      <c r="O51" s="12"/>
      <c r="P51" s="12"/>
      <c r="Q51" s="12"/>
      <c r="R51" s="12"/>
      <c r="S51" s="12"/>
      <c r="T51" s="12"/>
      <c r="U51" s="12"/>
      <c r="V51" s="12"/>
      <c r="W51" s="12"/>
      <c r="X51" s="12"/>
      <c r="Y51" s="12"/>
      <c r="Z51" s="12"/>
      <c r="AA51" s="12"/>
      <c r="AB51" s="12"/>
      <c r="AC51" s="12"/>
      <c r="AD51" s="12"/>
      <c r="AE51" s="12"/>
      <c r="AF51" s="12"/>
      <c r="AG51" s="12"/>
      <c r="AH51" s="12" t="str">
        <f>"135.47"</f>
        <v>135.47</v>
      </c>
    </row>
    <row r="52" spans="1:34">
      <c r="A52" s="9">
        <v>50</v>
      </c>
      <c r="B52" s="9">
        <v>10852</v>
      </c>
      <c r="C52" s="9" t="s">
        <v>106</v>
      </c>
      <c r="D52" s="9" t="s">
        <v>39</v>
      </c>
      <c r="E52" s="10" t="str">
        <f>"129.79"</f>
        <v>129.79</v>
      </c>
      <c r="F52" s="11"/>
      <c r="G52" s="11">
        <v>2017</v>
      </c>
      <c r="H52" s="12" t="str">
        <f>"112.72"</f>
        <v>112.72</v>
      </c>
      <c r="I52" s="12"/>
      <c r="J52" s="12"/>
      <c r="K52" s="12"/>
      <c r="L52" s="12"/>
      <c r="M52" s="12"/>
      <c r="N52" s="12" t="str">
        <f>"146.97"</f>
        <v>146.97</v>
      </c>
      <c r="O52" s="12"/>
      <c r="P52" s="12"/>
      <c r="Q52" s="12"/>
      <c r="R52" s="12"/>
      <c r="S52" s="12"/>
      <c r="T52" s="12"/>
      <c r="U52" s="12"/>
      <c r="V52" s="12"/>
      <c r="W52" s="12"/>
      <c r="X52" s="12"/>
      <c r="Y52" s="12"/>
      <c r="Z52" s="12" t="str">
        <f>"162.80"</f>
        <v>162.80</v>
      </c>
      <c r="AA52" s="12" t="str">
        <f>"137.69"</f>
        <v>137.69</v>
      </c>
      <c r="AB52" s="12"/>
      <c r="AC52" s="12"/>
      <c r="AD52" s="12"/>
      <c r="AE52" s="12"/>
      <c r="AF52" s="12"/>
      <c r="AG52" s="12" t="str">
        <f>"137.23"</f>
        <v>137.23</v>
      </c>
      <c r="AH52" s="12" t="str">
        <f>"122.35"</f>
        <v>122.35</v>
      </c>
    </row>
    <row r="53" spans="1:34">
      <c r="A53" s="9">
        <v>51</v>
      </c>
      <c r="B53" s="9">
        <v>8642</v>
      </c>
      <c r="C53" s="9" t="s">
        <v>107</v>
      </c>
      <c r="D53" s="9" t="s">
        <v>39</v>
      </c>
      <c r="E53" s="10" t="str">
        <f>"136.54"</f>
        <v>136.54</v>
      </c>
      <c r="F53" s="11"/>
      <c r="G53" s="11">
        <v>2017</v>
      </c>
      <c r="H53" s="12" t="str">
        <f>"128.20"</f>
        <v>128.20</v>
      </c>
      <c r="I53" s="12"/>
      <c r="J53" s="12"/>
      <c r="K53" s="12"/>
      <c r="L53" s="12"/>
      <c r="M53" s="12"/>
      <c r="N53" s="12" t="str">
        <f>"148.77"</f>
        <v>148.77</v>
      </c>
      <c r="O53" s="12"/>
      <c r="P53" s="12"/>
      <c r="Q53" s="12"/>
      <c r="R53" s="12"/>
      <c r="S53" s="12"/>
      <c r="T53" s="12"/>
      <c r="U53" s="12"/>
      <c r="V53" s="12"/>
      <c r="W53" s="12"/>
      <c r="X53" s="12"/>
      <c r="Y53" s="12"/>
      <c r="Z53" s="12"/>
      <c r="AA53" s="12" t="str">
        <f>"124.31"</f>
        <v>124.31</v>
      </c>
      <c r="AB53" s="12"/>
      <c r="AC53" s="12"/>
      <c r="AD53" s="12"/>
      <c r="AE53" s="12"/>
      <c r="AF53" s="12" t="str">
        <f>"181.81"</f>
        <v>181.81</v>
      </c>
      <c r="AG53" s="12"/>
      <c r="AH53" s="12"/>
    </row>
    <row r="54" spans="1:34">
      <c r="A54" s="9">
        <v>52</v>
      </c>
      <c r="B54" s="9">
        <v>10423</v>
      </c>
      <c r="C54" s="9" t="s">
        <v>108</v>
      </c>
      <c r="D54" s="9" t="s">
        <v>71</v>
      </c>
      <c r="E54" s="10" t="str">
        <f>"136.66"</f>
        <v>136.66</v>
      </c>
      <c r="F54" s="11"/>
      <c r="G54" s="11">
        <v>2017</v>
      </c>
      <c r="H54" s="12" t="str">
        <f>"201.31"</f>
        <v>201.31</v>
      </c>
      <c r="I54" s="12" t="str">
        <f>"129.31"</f>
        <v>129.31</v>
      </c>
      <c r="J54" s="12" t="str">
        <f>"168.74"</f>
        <v>168.74</v>
      </c>
      <c r="K54" s="12"/>
      <c r="L54" s="12"/>
      <c r="M54" s="12"/>
      <c r="N54" s="12"/>
      <c r="O54" s="12"/>
      <c r="P54" s="12"/>
      <c r="Q54" s="12"/>
      <c r="R54" s="12" t="str">
        <f>"144.00"</f>
        <v>144.00</v>
      </c>
      <c r="S54" s="12"/>
      <c r="T54" s="12"/>
      <c r="U54" s="12" t="str">
        <f>"150.11"</f>
        <v>150.11</v>
      </c>
      <c r="V54" s="12"/>
      <c r="W54" s="12" t="str">
        <f>"184.74"</f>
        <v>184.74</v>
      </c>
      <c r="X54" s="12"/>
      <c r="Y54" s="12"/>
      <c r="Z54" s="12"/>
      <c r="AA54" s="12"/>
      <c r="AB54" s="12"/>
      <c r="AC54" s="12"/>
      <c r="AD54" s="12"/>
      <c r="AE54" s="12"/>
      <c r="AF54" s="12"/>
      <c r="AG54" s="12"/>
      <c r="AH54" s="12"/>
    </row>
    <row r="55" spans="1:34">
      <c r="A55" s="9">
        <v>53</v>
      </c>
      <c r="B55" s="9">
        <v>10699</v>
      </c>
      <c r="C55" s="9" t="s">
        <v>109</v>
      </c>
      <c r="D55" s="9" t="s">
        <v>48</v>
      </c>
      <c r="E55" s="10" t="str">
        <f>"137.14"</f>
        <v>137.14</v>
      </c>
      <c r="F55" s="11"/>
      <c r="G55" s="11">
        <v>2017</v>
      </c>
      <c r="H55" s="12" t="str">
        <f>"294.25"</f>
        <v>294.25</v>
      </c>
      <c r="I55" s="12"/>
      <c r="J55" s="12"/>
      <c r="K55" s="12"/>
      <c r="L55" s="12"/>
      <c r="M55" s="12"/>
      <c r="N55" s="12"/>
      <c r="O55" s="12"/>
      <c r="P55" s="12"/>
      <c r="Q55" s="12"/>
      <c r="R55" s="12" t="str">
        <f>"169.03"</f>
        <v>169.03</v>
      </c>
      <c r="S55" s="12"/>
      <c r="T55" s="12"/>
      <c r="U55" s="12"/>
      <c r="V55" s="12"/>
      <c r="W55" s="12"/>
      <c r="X55" s="12" t="str">
        <f>"146.09"</f>
        <v>146.09</v>
      </c>
      <c r="Y55" s="12" t="str">
        <f>"128.18"</f>
        <v>128.18</v>
      </c>
      <c r="Z55" s="12"/>
      <c r="AA55" s="12"/>
      <c r="AB55" s="12"/>
      <c r="AC55" s="12"/>
      <c r="AD55" s="12"/>
      <c r="AE55" s="12"/>
      <c r="AF55" s="12"/>
      <c r="AG55" s="12"/>
      <c r="AH55" s="12"/>
    </row>
    <row r="56" spans="1:34">
      <c r="A56" s="9">
        <v>54</v>
      </c>
      <c r="B56" s="9">
        <v>8328</v>
      </c>
      <c r="C56" s="9" t="s">
        <v>110</v>
      </c>
      <c r="D56" s="9" t="s">
        <v>111</v>
      </c>
      <c r="E56" s="10" t="str">
        <f>"139.88"</f>
        <v>139.88</v>
      </c>
      <c r="F56" s="11" t="s">
        <v>40</v>
      </c>
      <c r="G56" s="11">
        <v>2017</v>
      </c>
      <c r="H56" s="12" t="str">
        <f>"99.88"</f>
        <v>99.88</v>
      </c>
      <c r="I56" s="12"/>
      <c r="J56" s="12"/>
      <c r="K56" s="12"/>
      <c r="L56" s="12"/>
      <c r="M56" s="12"/>
      <c r="N56" s="12"/>
      <c r="O56" s="12"/>
      <c r="P56" s="12"/>
      <c r="Q56" s="12"/>
      <c r="R56" s="12"/>
      <c r="S56" s="12"/>
      <c r="T56" s="12"/>
      <c r="U56" s="12"/>
      <c r="V56" s="12"/>
      <c r="W56" s="12"/>
      <c r="X56" s="12"/>
      <c r="Y56" s="12"/>
      <c r="Z56" s="12"/>
      <c r="AA56" s="12"/>
      <c r="AB56" s="12"/>
      <c r="AC56" s="12"/>
      <c r="AD56" s="12"/>
      <c r="AE56" s="12"/>
      <c r="AF56" s="12"/>
      <c r="AG56" s="12"/>
      <c r="AH56" s="12"/>
    </row>
    <row r="57" spans="1:34">
      <c r="A57" s="9">
        <v>55</v>
      </c>
      <c r="B57" s="9">
        <v>4319</v>
      </c>
      <c r="C57" s="9" t="s">
        <v>112</v>
      </c>
      <c r="D57" s="9" t="s">
        <v>39</v>
      </c>
      <c r="E57" s="10" t="str">
        <f>"143.46"</f>
        <v>143.46</v>
      </c>
      <c r="F57" s="11"/>
      <c r="G57" s="11">
        <v>2017</v>
      </c>
      <c r="H57" s="12" t="str">
        <f>"170.30"</f>
        <v>170.30</v>
      </c>
      <c r="I57" s="12"/>
      <c r="J57" s="12"/>
      <c r="K57" s="12"/>
      <c r="L57" s="12"/>
      <c r="M57" s="12"/>
      <c r="N57" s="12" t="str">
        <f>"189.03"</f>
        <v>189.03</v>
      </c>
      <c r="O57" s="12"/>
      <c r="P57" s="12"/>
      <c r="Q57" s="12"/>
      <c r="R57" s="12"/>
      <c r="S57" s="12"/>
      <c r="T57" s="12"/>
      <c r="U57" s="12"/>
      <c r="V57" s="12"/>
      <c r="W57" s="12"/>
      <c r="X57" s="12"/>
      <c r="Y57" s="12"/>
      <c r="Z57" s="12"/>
      <c r="AA57" s="12" t="str">
        <f>"217.61"</f>
        <v>217.61</v>
      </c>
      <c r="AB57" s="12"/>
      <c r="AC57" s="12"/>
      <c r="AD57" s="12" t="str">
        <f>"138.73"</f>
        <v>138.73</v>
      </c>
      <c r="AE57" s="12"/>
      <c r="AF57" s="12" t="str">
        <f>"160.25"</f>
        <v>160.25</v>
      </c>
      <c r="AG57" s="12"/>
      <c r="AH57" s="12" t="str">
        <f>"148.19"</f>
        <v>148.19</v>
      </c>
    </row>
    <row r="58" spans="1:34">
      <c r="A58" s="9">
        <v>56</v>
      </c>
      <c r="B58" s="9">
        <v>10216</v>
      </c>
      <c r="C58" s="9" t="s">
        <v>113</v>
      </c>
      <c r="D58" s="9" t="s">
        <v>39</v>
      </c>
      <c r="E58" s="10" t="str">
        <f>"143.73"</f>
        <v>143.73</v>
      </c>
      <c r="F58" s="11"/>
      <c r="G58" s="11">
        <v>2017</v>
      </c>
      <c r="H58" s="12" t="str">
        <f>"113.62"</f>
        <v>113.62</v>
      </c>
      <c r="I58" s="12" t="str">
        <f>"138.87"</f>
        <v>138.87</v>
      </c>
      <c r="J58" s="12" t="str">
        <f>"169.16"</f>
        <v>169.16</v>
      </c>
      <c r="K58" s="12"/>
      <c r="L58" s="12"/>
      <c r="M58" s="12"/>
      <c r="N58" s="12" t="str">
        <f>"148.59"</f>
        <v>148.59</v>
      </c>
      <c r="O58" s="12"/>
      <c r="P58" s="12"/>
      <c r="Q58" s="12"/>
      <c r="R58" s="12"/>
      <c r="S58" s="12"/>
      <c r="T58" s="12"/>
      <c r="U58" s="12"/>
      <c r="V58" s="12"/>
      <c r="W58" s="12"/>
      <c r="X58" s="12"/>
      <c r="Y58" s="12"/>
      <c r="Z58" s="12"/>
      <c r="AA58" s="12" t="str">
        <f>"151.82"</f>
        <v>151.82</v>
      </c>
      <c r="AB58" s="12"/>
      <c r="AC58" s="12"/>
      <c r="AD58" s="12"/>
      <c r="AE58" s="12"/>
      <c r="AF58" s="12"/>
      <c r="AG58" s="12"/>
      <c r="AH58" s="12"/>
    </row>
    <row r="59" spans="1:34">
      <c r="A59" s="9">
        <v>57</v>
      </c>
      <c r="B59" s="9">
        <v>10176</v>
      </c>
      <c r="C59" s="9" t="s">
        <v>114</v>
      </c>
      <c r="D59" s="9" t="s">
        <v>39</v>
      </c>
      <c r="E59" s="10" t="str">
        <f>"147.44"</f>
        <v>147.44</v>
      </c>
      <c r="F59" s="11"/>
      <c r="G59" s="11">
        <v>2017</v>
      </c>
      <c r="H59" s="12" t="str">
        <f>"178.69"</f>
        <v>178.69</v>
      </c>
      <c r="I59" s="12"/>
      <c r="J59" s="12"/>
      <c r="K59" s="12"/>
      <c r="L59" s="12"/>
      <c r="M59" s="12"/>
      <c r="N59" s="12" t="str">
        <f>"187.60"</f>
        <v>187.60</v>
      </c>
      <c r="O59" s="12"/>
      <c r="P59" s="12"/>
      <c r="Q59" s="12"/>
      <c r="R59" s="12"/>
      <c r="S59" s="12"/>
      <c r="T59" s="12"/>
      <c r="U59" s="12"/>
      <c r="V59" s="12"/>
      <c r="W59" s="12"/>
      <c r="X59" s="12"/>
      <c r="Y59" s="12"/>
      <c r="Z59" s="12"/>
      <c r="AA59" s="12" t="str">
        <f>"178.21"</f>
        <v>178.21</v>
      </c>
      <c r="AB59" s="12"/>
      <c r="AC59" s="12"/>
      <c r="AD59" s="12"/>
      <c r="AE59" s="12"/>
      <c r="AF59" s="12" t="str">
        <f>"169.64"</f>
        <v>169.64</v>
      </c>
      <c r="AG59" s="12"/>
      <c r="AH59" s="12" t="str">
        <f>"125.24"</f>
        <v>125.24</v>
      </c>
    </row>
    <row r="60" spans="1:34">
      <c r="A60" s="9">
        <v>58</v>
      </c>
      <c r="B60" s="9">
        <v>8341</v>
      </c>
      <c r="C60" s="9" t="s">
        <v>115</v>
      </c>
      <c r="D60" s="9" t="s">
        <v>71</v>
      </c>
      <c r="E60" s="10" t="str">
        <f>"149.24"</f>
        <v>149.24</v>
      </c>
      <c r="F60" s="11"/>
      <c r="G60" s="11">
        <v>2017</v>
      </c>
      <c r="H60" s="12" t="str">
        <f>"154.26"</f>
        <v>154.26</v>
      </c>
      <c r="I60" s="12" t="str">
        <f>"150.89"</f>
        <v>150.89</v>
      </c>
      <c r="J60" s="12" t="str">
        <f>"147.58"</f>
        <v>147.58</v>
      </c>
      <c r="K60" s="12"/>
      <c r="L60" s="12"/>
      <c r="M60" s="12"/>
      <c r="N60" s="12"/>
      <c r="O60" s="12"/>
      <c r="P60" s="12"/>
      <c r="Q60" s="12"/>
      <c r="R60" s="12"/>
      <c r="S60" s="12"/>
      <c r="T60" s="12"/>
      <c r="U60" s="12"/>
      <c r="V60" s="12"/>
      <c r="W60" s="12" t="str">
        <f>"175.21"</f>
        <v>175.21</v>
      </c>
      <c r="X60" s="12"/>
      <c r="Y60" s="12"/>
      <c r="Z60" s="12"/>
      <c r="AA60" s="12"/>
      <c r="AB60" s="12"/>
      <c r="AC60" s="12"/>
      <c r="AD60" s="12"/>
      <c r="AE60" s="12"/>
      <c r="AF60" s="12"/>
      <c r="AG60" s="12"/>
      <c r="AH60" s="12"/>
    </row>
    <row r="61" spans="1:34">
      <c r="A61" s="9">
        <v>59</v>
      </c>
      <c r="B61" s="9">
        <v>8199</v>
      </c>
      <c r="C61" s="9" t="s">
        <v>136</v>
      </c>
      <c r="D61" s="9" t="s">
        <v>137</v>
      </c>
      <c r="E61" s="10">
        <v>150.99</v>
      </c>
      <c r="F61" s="11" t="s">
        <v>489</v>
      </c>
      <c r="G61" s="11">
        <v>2017</v>
      </c>
      <c r="H61" s="12" t="str">
        <f>"130.99"</f>
        <v>130.99</v>
      </c>
      <c r="I61" s="12"/>
      <c r="J61" s="12"/>
      <c r="K61" s="12"/>
      <c r="L61" s="12"/>
      <c r="M61" s="12"/>
      <c r="N61" s="12"/>
      <c r="O61" s="12"/>
      <c r="P61" s="12"/>
      <c r="Q61" s="12"/>
      <c r="R61" s="12"/>
      <c r="S61" s="12"/>
      <c r="T61" s="12"/>
      <c r="U61" s="12"/>
      <c r="V61" s="12"/>
      <c r="W61" s="12"/>
      <c r="X61" s="12"/>
      <c r="Y61" s="12"/>
      <c r="Z61" s="12"/>
      <c r="AA61" s="12"/>
      <c r="AB61" s="12"/>
      <c r="AC61" s="12"/>
      <c r="AD61" s="12"/>
      <c r="AE61" s="12"/>
      <c r="AF61" s="12"/>
      <c r="AG61" s="12"/>
      <c r="AH61" s="12"/>
    </row>
    <row r="62" spans="1:34">
      <c r="A62" s="9">
        <v>60</v>
      </c>
      <c r="B62" s="9">
        <v>3308</v>
      </c>
      <c r="C62" s="9" t="s">
        <v>116</v>
      </c>
      <c r="D62" s="9" t="s">
        <v>117</v>
      </c>
      <c r="E62" s="10" t="str">
        <f>"152.06"</f>
        <v>152.06</v>
      </c>
      <c r="F62" s="11"/>
      <c r="G62" s="11">
        <v>2017</v>
      </c>
      <c r="H62" s="12" t="str">
        <f>"201.00"</f>
        <v>201.00</v>
      </c>
      <c r="I62" s="12" t="str">
        <f>"152.96"</f>
        <v>152.96</v>
      </c>
      <c r="J62" s="12" t="str">
        <f>"180.71"</f>
        <v>180.71</v>
      </c>
      <c r="K62" s="12"/>
      <c r="L62" s="12"/>
      <c r="M62" s="12"/>
      <c r="N62" s="12"/>
      <c r="O62" s="12"/>
      <c r="P62" s="12" t="str">
        <f>"151.16"</f>
        <v>151.16</v>
      </c>
      <c r="Q62" s="12"/>
      <c r="R62" s="12"/>
      <c r="S62" s="12"/>
      <c r="T62" s="12"/>
      <c r="U62" s="12"/>
      <c r="V62" s="12" t="str">
        <f>"169.68"</f>
        <v>169.68</v>
      </c>
      <c r="W62" s="12"/>
      <c r="X62" s="12" t="str">
        <f>"206.76"</f>
        <v>206.76</v>
      </c>
      <c r="Y62" s="12" t="str">
        <f>"186.64"</f>
        <v>186.64</v>
      </c>
      <c r="Z62" s="12"/>
      <c r="AA62" s="12"/>
      <c r="AB62" s="12"/>
      <c r="AC62" s="12"/>
      <c r="AD62" s="12" t="str">
        <f>"155.99"</f>
        <v>155.99</v>
      </c>
      <c r="AE62" s="12"/>
      <c r="AF62" s="12"/>
      <c r="AG62" s="12"/>
      <c r="AH62" s="12"/>
    </row>
    <row r="63" spans="1:34">
      <c r="A63" s="9">
        <v>61</v>
      </c>
      <c r="B63" s="9">
        <v>7567</v>
      </c>
      <c r="C63" s="9" t="s">
        <v>118</v>
      </c>
      <c r="D63" s="9" t="s">
        <v>39</v>
      </c>
      <c r="E63" s="10" t="str">
        <f>"152.72"</f>
        <v>152.72</v>
      </c>
      <c r="F63" s="11"/>
      <c r="G63" s="11">
        <v>2017</v>
      </c>
      <c r="H63" s="12" t="str">
        <f>"196.00"</f>
        <v>196.00</v>
      </c>
      <c r="I63" s="12"/>
      <c r="J63" s="12"/>
      <c r="K63" s="12"/>
      <c r="L63" s="12"/>
      <c r="M63" s="12"/>
      <c r="N63" s="12" t="str">
        <f>"165.90"</f>
        <v>165.90</v>
      </c>
      <c r="O63" s="12"/>
      <c r="P63" s="12"/>
      <c r="Q63" s="12"/>
      <c r="R63" s="12"/>
      <c r="S63" s="12"/>
      <c r="T63" s="12"/>
      <c r="U63" s="12"/>
      <c r="V63" s="12"/>
      <c r="W63" s="12"/>
      <c r="X63" s="12"/>
      <c r="Y63" s="12"/>
      <c r="Z63" s="12"/>
      <c r="AA63" s="12" t="str">
        <f>"182.67"</f>
        <v>182.67</v>
      </c>
      <c r="AB63" s="12"/>
      <c r="AC63" s="12"/>
      <c r="AD63" s="12"/>
      <c r="AE63" s="12"/>
      <c r="AF63" s="12"/>
      <c r="AG63" s="12"/>
      <c r="AH63" s="12" t="str">
        <f>"139.53"</f>
        <v>139.53</v>
      </c>
    </row>
    <row r="64" spans="1:34">
      <c r="A64" s="9">
        <v>62</v>
      </c>
      <c r="B64" s="9">
        <v>1775</v>
      </c>
      <c r="C64" s="9" t="s">
        <v>119</v>
      </c>
      <c r="D64" s="9" t="s">
        <v>89</v>
      </c>
      <c r="E64" s="10" t="str">
        <f>"153.32"</f>
        <v>153.32</v>
      </c>
      <c r="F64" s="11"/>
      <c r="G64" s="11">
        <v>2017</v>
      </c>
      <c r="H64" s="12" t="str">
        <f>"167.73"</f>
        <v>167.73</v>
      </c>
      <c r="I64" s="12" t="str">
        <f>"148.95"</f>
        <v>148.95</v>
      </c>
      <c r="J64" s="12" t="str">
        <f>"187.95"</f>
        <v>187.95</v>
      </c>
      <c r="K64" s="12"/>
      <c r="L64" s="12"/>
      <c r="M64" s="12"/>
      <c r="N64" s="12"/>
      <c r="O64" s="12"/>
      <c r="P64" s="12" t="str">
        <f>"157.69"</f>
        <v>157.69</v>
      </c>
      <c r="Q64" s="12"/>
      <c r="R64" s="12"/>
      <c r="S64" s="12"/>
      <c r="T64" s="12"/>
      <c r="U64" s="12"/>
      <c r="V64" s="12"/>
      <c r="W64" s="12"/>
      <c r="X64" s="12"/>
      <c r="Y64" s="12"/>
      <c r="Z64" s="12"/>
      <c r="AA64" s="12"/>
      <c r="AB64" s="12"/>
      <c r="AC64" s="12"/>
      <c r="AD64" s="12"/>
      <c r="AE64" s="12"/>
      <c r="AF64" s="12"/>
      <c r="AG64" s="12"/>
      <c r="AH64" s="12"/>
    </row>
    <row r="65" spans="1:34">
      <c r="A65" s="9">
        <v>63</v>
      </c>
      <c r="B65" s="9">
        <v>5490</v>
      </c>
      <c r="C65" s="9" t="s">
        <v>120</v>
      </c>
      <c r="D65" s="9" t="s">
        <v>71</v>
      </c>
      <c r="E65" s="10" t="str">
        <f>"156.16"</f>
        <v>156.16</v>
      </c>
      <c r="F65" s="11"/>
      <c r="G65" s="11">
        <v>2017</v>
      </c>
      <c r="H65" s="12" t="str">
        <f>"140.69"</f>
        <v>140.69</v>
      </c>
      <c r="I65" s="12"/>
      <c r="J65" s="12"/>
      <c r="K65" s="12"/>
      <c r="L65" s="12"/>
      <c r="M65" s="12"/>
      <c r="N65" s="12"/>
      <c r="O65" s="12"/>
      <c r="P65" s="12"/>
      <c r="Q65" s="12"/>
      <c r="R65" s="12" t="str">
        <f>"135.04"</f>
        <v>135.04</v>
      </c>
      <c r="S65" s="12"/>
      <c r="T65" s="12"/>
      <c r="U65" s="12"/>
      <c r="V65" s="12"/>
      <c r="W65" s="12" t="str">
        <f>"177.27"</f>
        <v>177.27</v>
      </c>
      <c r="X65" s="12"/>
      <c r="Y65" s="12"/>
      <c r="Z65" s="12"/>
      <c r="AA65" s="12"/>
      <c r="AB65" s="12"/>
      <c r="AC65" s="12"/>
      <c r="AD65" s="12"/>
      <c r="AE65" s="12"/>
      <c r="AF65" s="12"/>
      <c r="AG65" s="12"/>
      <c r="AH65" s="12"/>
    </row>
    <row r="66" spans="1:34">
      <c r="A66" s="9">
        <v>64</v>
      </c>
      <c r="B66" s="9">
        <v>8104</v>
      </c>
      <c r="C66" s="9" t="s">
        <v>121</v>
      </c>
      <c r="D66" s="9" t="s">
        <v>122</v>
      </c>
      <c r="E66" s="10" t="str">
        <f>"156.32"</f>
        <v>156.32</v>
      </c>
      <c r="F66" s="11"/>
      <c r="G66" s="11">
        <v>2017</v>
      </c>
      <c r="H66" s="12" t="str">
        <f>"155.42"</f>
        <v>155.42</v>
      </c>
      <c r="I66" s="12" t="str">
        <f>"175.56"</f>
        <v>175.56</v>
      </c>
      <c r="J66" s="12" t="str">
        <f>"195.47"</f>
        <v>195.47</v>
      </c>
      <c r="K66" s="12"/>
      <c r="L66" s="12"/>
      <c r="M66" s="12"/>
      <c r="N66" s="12"/>
      <c r="O66" s="12" t="str">
        <f>"137.07"</f>
        <v>137.07</v>
      </c>
      <c r="P66" s="12"/>
      <c r="Q66" s="12"/>
      <c r="R66" s="12"/>
      <c r="S66" s="12"/>
      <c r="T66" s="12"/>
      <c r="U66" s="12"/>
      <c r="V66" s="12"/>
      <c r="W66" s="12"/>
      <c r="X66" s="12" t="str">
        <f>"226.19"</f>
        <v>226.19</v>
      </c>
      <c r="Y66" s="12" t="str">
        <f>"184.99"</f>
        <v>184.99</v>
      </c>
      <c r="Z66" s="12"/>
      <c r="AA66" s="12"/>
      <c r="AB66" s="12" t="str">
        <f>"210.22"</f>
        <v>210.22</v>
      </c>
      <c r="AC66" s="12" t="str">
        <f>"259.30"</f>
        <v>259.30</v>
      </c>
      <c r="AD66" s="12" t="str">
        <f>"203.55"</f>
        <v>203.55</v>
      </c>
      <c r="AE66" s="12"/>
      <c r="AF66" s="12"/>
      <c r="AG66" s="12"/>
      <c r="AH66" s="12"/>
    </row>
    <row r="67" spans="1:34">
      <c r="A67" s="9">
        <v>65</v>
      </c>
      <c r="B67" s="9">
        <v>8326</v>
      </c>
      <c r="C67" s="9" t="s">
        <v>123</v>
      </c>
      <c r="D67" s="9" t="s">
        <v>71</v>
      </c>
      <c r="E67" s="10" t="str">
        <f>"156.92"</f>
        <v>156.92</v>
      </c>
      <c r="F67" s="11" t="s">
        <v>489</v>
      </c>
      <c r="G67" s="11">
        <v>2017</v>
      </c>
      <c r="H67" s="12" t="str">
        <f>"145.56"</f>
        <v>145.56</v>
      </c>
      <c r="I67" s="12"/>
      <c r="J67" s="12"/>
      <c r="K67" s="12"/>
      <c r="L67" s="12"/>
      <c r="M67" s="12"/>
      <c r="N67" s="12"/>
      <c r="O67" s="12"/>
      <c r="P67" s="12"/>
      <c r="Q67" s="12"/>
      <c r="R67" s="12"/>
      <c r="S67" s="12"/>
      <c r="T67" s="12"/>
      <c r="U67" s="12"/>
      <c r="V67" s="12"/>
      <c r="W67" s="12" t="str">
        <f>"179.51"</f>
        <v>179.51</v>
      </c>
      <c r="X67" s="12" t="str">
        <f>"168.72"</f>
        <v>168.72</v>
      </c>
      <c r="Y67" s="12" t="str">
        <f>"145.12"</f>
        <v>145.12</v>
      </c>
      <c r="Z67" s="12"/>
      <c r="AA67" s="12"/>
      <c r="AB67" s="12"/>
      <c r="AC67" s="12"/>
      <c r="AD67" s="12"/>
      <c r="AE67" s="12"/>
      <c r="AF67" s="12"/>
      <c r="AG67" s="12"/>
      <c r="AH67" s="12"/>
    </row>
    <row r="68" spans="1:34">
      <c r="A68" s="9">
        <v>66</v>
      </c>
      <c r="B68" s="9">
        <v>10333</v>
      </c>
      <c r="C68" s="9" t="s">
        <v>124</v>
      </c>
      <c r="D68" s="9" t="s">
        <v>48</v>
      </c>
      <c r="E68" s="10" t="str">
        <f>"156.95"</f>
        <v>156.95</v>
      </c>
      <c r="F68" s="11" t="s">
        <v>37</v>
      </c>
      <c r="G68" s="11">
        <v>2017</v>
      </c>
      <c r="H68" s="12" t="str">
        <f>"190.79"</f>
        <v>190.79</v>
      </c>
      <c r="I68" s="12"/>
      <c r="J68" s="12"/>
      <c r="K68" s="12"/>
      <c r="L68" s="12"/>
      <c r="M68" s="12"/>
      <c r="N68" s="12"/>
      <c r="O68" s="12"/>
      <c r="P68" s="12"/>
      <c r="Q68" s="12"/>
      <c r="R68" s="12" t="str">
        <f>"116.95"</f>
        <v>116.95</v>
      </c>
      <c r="S68" s="12"/>
      <c r="T68" s="12"/>
      <c r="U68" s="12"/>
      <c r="V68" s="12"/>
      <c r="W68" s="12"/>
      <c r="X68" s="12"/>
      <c r="Y68" s="12"/>
      <c r="Z68" s="12"/>
      <c r="AA68" s="12"/>
      <c r="AB68" s="12"/>
      <c r="AC68" s="12"/>
      <c r="AD68" s="12"/>
      <c r="AE68" s="12"/>
      <c r="AF68" s="12"/>
      <c r="AG68" s="12"/>
      <c r="AH68" s="12"/>
    </row>
    <row r="69" spans="1:34">
      <c r="A69" s="9">
        <v>67</v>
      </c>
      <c r="B69" s="9">
        <v>6698</v>
      </c>
      <c r="C69" s="9" t="s">
        <v>125</v>
      </c>
      <c r="D69" s="9" t="s">
        <v>39</v>
      </c>
      <c r="E69" s="10" t="str">
        <f>"159.99"</f>
        <v>159.99</v>
      </c>
      <c r="F69" s="11"/>
      <c r="G69" s="11">
        <v>2017</v>
      </c>
      <c r="H69" s="12"/>
      <c r="I69" s="12" t="str">
        <f>"191.58"</f>
        <v>191.58</v>
      </c>
      <c r="J69" s="12" t="str">
        <f>"268.70"</f>
        <v>268.70</v>
      </c>
      <c r="K69" s="12"/>
      <c r="L69" s="12"/>
      <c r="M69" s="12" t="str">
        <f>"244.27"</f>
        <v>244.27</v>
      </c>
      <c r="N69" s="12" t="str">
        <f>"246.43"</f>
        <v>246.43</v>
      </c>
      <c r="O69" s="12"/>
      <c r="P69" s="12"/>
      <c r="Q69" s="12"/>
      <c r="R69" s="12"/>
      <c r="S69" s="12"/>
      <c r="T69" s="12"/>
      <c r="U69" s="12"/>
      <c r="V69" s="12"/>
      <c r="W69" s="12"/>
      <c r="X69" s="12"/>
      <c r="Y69" s="12"/>
      <c r="Z69" s="12" t="str">
        <f>"128.39"</f>
        <v>128.39</v>
      </c>
      <c r="AA69" s="12" t="str">
        <f>"214.45"</f>
        <v>214.45</v>
      </c>
      <c r="AB69" s="12"/>
      <c r="AC69" s="12"/>
      <c r="AD69" s="12"/>
      <c r="AE69" s="12"/>
      <c r="AF69" s="12"/>
      <c r="AG69" s="12"/>
      <c r="AH69" s="12"/>
    </row>
    <row r="70" spans="1:34">
      <c r="A70" s="9">
        <v>68</v>
      </c>
      <c r="B70" s="9">
        <v>1356</v>
      </c>
      <c r="C70" s="9" t="s">
        <v>126</v>
      </c>
      <c r="D70" s="9" t="s">
        <v>127</v>
      </c>
      <c r="E70" s="10" t="str">
        <f>"165.77"</f>
        <v>165.77</v>
      </c>
      <c r="F70" s="11" t="s">
        <v>40</v>
      </c>
      <c r="G70" s="11">
        <v>2017</v>
      </c>
      <c r="H70" s="12" t="str">
        <f>"125.77"</f>
        <v>125.77</v>
      </c>
      <c r="I70" s="12"/>
      <c r="J70" s="12"/>
      <c r="K70" s="12"/>
      <c r="L70" s="12"/>
      <c r="M70" s="12"/>
      <c r="N70" s="12"/>
      <c r="O70" s="12"/>
      <c r="P70" s="12"/>
      <c r="Q70" s="12"/>
      <c r="R70" s="12"/>
      <c r="S70" s="12"/>
      <c r="T70" s="12"/>
      <c r="U70" s="12"/>
      <c r="V70" s="12"/>
      <c r="W70" s="12"/>
      <c r="X70" s="12"/>
      <c r="Y70" s="12"/>
      <c r="Z70" s="12"/>
      <c r="AA70" s="12"/>
      <c r="AB70" s="12"/>
      <c r="AC70" s="12"/>
      <c r="AD70" s="12"/>
      <c r="AE70" s="12"/>
      <c r="AF70" s="12"/>
      <c r="AG70" s="12"/>
      <c r="AH70" s="12"/>
    </row>
    <row r="71" spans="1:34">
      <c r="A71" s="9">
        <v>69</v>
      </c>
      <c r="B71" s="9">
        <v>3668</v>
      </c>
      <c r="C71" s="9" t="s">
        <v>128</v>
      </c>
      <c r="D71" s="9" t="s">
        <v>129</v>
      </c>
      <c r="E71" s="10" t="str">
        <f>"167.55"</f>
        <v>167.55</v>
      </c>
      <c r="F71" s="11"/>
      <c r="G71" s="11">
        <v>2017</v>
      </c>
      <c r="H71" s="12" t="str">
        <f>"219.82"</f>
        <v>219.82</v>
      </c>
      <c r="I71" s="12"/>
      <c r="J71" s="12"/>
      <c r="K71" s="12"/>
      <c r="L71" s="12"/>
      <c r="M71" s="12"/>
      <c r="N71" s="12"/>
      <c r="O71" s="12"/>
      <c r="P71" s="12"/>
      <c r="Q71" s="12"/>
      <c r="R71" s="12"/>
      <c r="S71" s="12"/>
      <c r="T71" s="12"/>
      <c r="U71" s="12"/>
      <c r="V71" s="12"/>
      <c r="W71" s="12"/>
      <c r="X71" s="12" t="str">
        <f>"222.78"</f>
        <v>222.78</v>
      </c>
      <c r="Y71" s="12" t="str">
        <f>"181.68"</f>
        <v>181.68</v>
      </c>
      <c r="Z71" s="12"/>
      <c r="AA71" s="12"/>
      <c r="AB71" s="12"/>
      <c r="AC71" s="12"/>
      <c r="AD71" s="12" t="str">
        <f>"153.41"</f>
        <v>153.41</v>
      </c>
      <c r="AE71" s="12"/>
      <c r="AF71" s="12"/>
      <c r="AG71" s="12"/>
      <c r="AH71" s="12"/>
    </row>
    <row r="72" spans="1:34">
      <c r="A72" s="9">
        <v>70</v>
      </c>
      <c r="B72" s="9">
        <v>5491</v>
      </c>
      <c r="C72" s="9" t="s">
        <v>130</v>
      </c>
      <c r="D72" s="9" t="s">
        <v>71</v>
      </c>
      <c r="E72" s="10" t="str">
        <f>"168.50"</f>
        <v>168.50</v>
      </c>
      <c r="F72" s="11"/>
      <c r="G72" s="11">
        <v>2017</v>
      </c>
      <c r="H72" s="12"/>
      <c r="I72" s="12"/>
      <c r="J72" s="12"/>
      <c r="K72" s="12"/>
      <c r="L72" s="12"/>
      <c r="M72" s="12"/>
      <c r="N72" s="12"/>
      <c r="O72" s="12"/>
      <c r="P72" s="12"/>
      <c r="Q72" s="12"/>
      <c r="R72" s="12" t="str">
        <f>"161.04"</f>
        <v>161.04</v>
      </c>
      <c r="S72" s="12"/>
      <c r="T72" s="12"/>
      <c r="U72" s="12"/>
      <c r="V72" s="12"/>
      <c r="W72" s="12" t="str">
        <f>"175.96"</f>
        <v>175.96</v>
      </c>
      <c r="X72" s="12"/>
      <c r="Y72" s="12"/>
      <c r="Z72" s="12"/>
      <c r="AA72" s="12"/>
      <c r="AB72" s="12"/>
      <c r="AC72" s="12"/>
      <c r="AD72" s="12"/>
      <c r="AE72" s="12"/>
      <c r="AF72" s="12"/>
      <c r="AG72" s="12"/>
      <c r="AH72" s="12"/>
    </row>
    <row r="73" spans="1:34">
      <c r="A73" s="9">
        <v>71</v>
      </c>
      <c r="B73" s="9">
        <v>2410</v>
      </c>
      <c r="C73" s="9" t="s">
        <v>131</v>
      </c>
      <c r="D73" s="9" t="s">
        <v>39</v>
      </c>
      <c r="E73" s="10" t="str">
        <f>"168.58"</f>
        <v>168.58</v>
      </c>
      <c r="F73" s="11" t="s">
        <v>40</v>
      </c>
      <c r="G73" s="11">
        <v>2017</v>
      </c>
      <c r="H73" s="12" t="str">
        <f>"128.58"</f>
        <v>128.58</v>
      </c>
      <c r="I73" s="12"/>
      <c r="J73" s="12"/>
      <c r="K73" s="12"/>
      <c r="L73" s="12"/>
      <c r="M73" s="12"/>
      <c r="N73" s="12"/>
      <c r="O73" s="12"/>
      <c r="P73" s="12"/>
      <c r="Q73" s="12"/>
      <c r="R73" s="12"/>
      <c r="S73" s="12"/>
      <c r="T73" s="12"/>
      <c r="U73" s="12"/>
      <c r="V73" s="12"/>
      <c r="W73" s="12"/>
      <c r="X73" s="12"/>
      <c r="Y73" s="12"/>
      <c r="Z73" s="12"/>
      <c r="AA73" s="12"/>
      <c r="AB73" s="12"/>
      <c r="AC73" s="12"/>
      <c r="AD73" s="12"/>
      <c r="AE73" s="12"/>
      <c r="AF73" s="12"/>
      <c r="AG73" s="12"/>
      <c r="AH73" s="12"/>
    </row>
    <row r="74" spans="1:34">
      <c r="A74" s="9">
        <v>72</v>
      </c>
      <c r="B74" s="9">
        <v>5734</v>
      </c>
      <c r="C74" s="9" t="s">
        <v>132</v>
      </c>
      <c r="D74" s="9" t="s">
        <v>39</v>
      </c>
      <c r="E74" s="10" t="str">
        <f>"169.80"</f>
        <v>169.80</v>
      </c>
      <c r="F74" s="11"/>
      <c r="G74" s="11">
        <v>2017</v>
      </c>
      <c r="H74" s="12" t="str">
        <f>"177.78"</f>
        <v>177.78</v>
      </c>
      <c r="I74" s="12"/>
      <c r="J74" s="12"/>
      <c r="K74" s="12"/>
      <c r="L74" s="12"/>
      <c r="M74" s="12"/>
      <c r="N74" s="12" t="str">
        <f>"192.71"</f>
        <v>192.71</v>
      </c>
      <c r="O74" s="12"/>
      <c r="P74" s="12"/>
      <c r="Q74" s="12"/>
      <c r="R74" s="12"/>
      <c r="S74" s="12"/>
      <c r="T74" s="12"/>
      <c r="U74" s="12"/>
      <c r="V74" s="12"/>
      <c r="W74" s="12"/>
      <c r="X74" s="12"/>
      <c r="Y74" s="12"/>
      <c r="Z74" s="12"/>
      <c r="AA74" s="12" t="str">
        <f>"201.26"</f>
        <v>201.26</v>
      </c>
      <c r="AB74" s="12"/>
      <c r="AC74" s="12"/>
      <c r="AD74" s="12"/>
      <c r="AE74" s="12"/>
      <c r="AF74" s="12"/>
      <c r="AG74" s="12"/>
      <c r="AH74" s="12" t="str">
        <f>"146.88"</f>
        <v>146.88</v>
      </c>
    </row>
    <row r="75" spans="1:34">
      <c r="A75" s="9">
        <v>73</v>
      </c>
      <c r="B75" s="9">
        <v>3875</v>
      </c>
      <c r="C75" s="9" t="s">
        <v>133</v>
      </c>
      <c r="D75" s="9" t="s">
        <v>134</v>
      </c>
      <c r="E75" s="10" t="str">
        <f>"170.14"</f>
        <v>170.14</v>
      </c>
      <c r="F75" s="11"/>
      <c r="G75" s="11">
        <v>2017</v>
      </c>
      <c r="H75" s="12" t="str">
        <f>"179.29"</f>
        <v>179.29</v>
      </c>
      <c r="I75" s="12"/>
      <c r="J75" s="12"/>
      <c r="K75" s="12"/>
      <c r="L75" s="12" t="str">
        <f>"200.05"</f>
        <v>200.05</v>
      </c>
      <c r="M75" s="12"/>
      <c r="N75" s="12"/>
      <c r="O75" s="12" t="str">
        <f>"140.23"</f>
        <v>140.23</v>
      </c>
      <c r="P75" s="12"/>
      <c r="Q75" s="12"/>
      <c r="R75" s="12"/>
      <c r="S75" s="12"/>
      <c r="T75" s="12"/>
      <c r="U75" s="12"/>
      <c r="V75" s="12"/>
      <c r="W75" s="12"/>
      <c r="X75" s="12"/>
      <c r="Y75" s="12"/>
      <c r="Z75" s="12"/>
      <c r="AA75" s="12"/>
      <c r="AB75" s="12"/>
      <c r="AC75" s="12"/>
      <c r="AD75" s="12"/>
      <c r="AE75" s="12"/>
      <c r="AF75" s="12"/>
      <c r="AG75" s="12"/>
      <c r="AH75" s="12"/>
    </row>
    <row r="76" spans="1:34">
      <c r="A76" s="9">
        <v>74</v>
      </c>
      <c r="B76" s="9">
        <v>7841</v>
      </c>
      <c r="C76" s="9" t="s">
        <v>135</v>
      </c>
      <c r="D76" s="9" t="s">
        <v>39</v>
      </c>
      <c r="E76" s="10" t="str">
        <f>"170.54"</f>
        <v>170.54</v>
      </c>
      <c r="F76" s="11" t="s">
        <v>40</v>
      </c>
      <c r="G76" s="11">
        <v>2017</v>
      </c>
      <c r="H76" s="12" t="str">
        <f>"130.54"</f>
        <v>130.54</v>
      </c>
      <c r="I76" s="12"/>
      <c r="J76" s="12"/>
      <c r="K76" s="12"/>
      <c r="L76" s="12"/>
      <c r="M76" s="12"/>
      <c r="N76" s="12"/>
      <c r="O76" s="12"/>
      <c r="P76" s="12"/>
      <c r="Q76" s="12"/>
      <c r="R76" s="12"/>
      <c r="S76" s="12"/>
      <c r="T76" s="12"/>
      <c r="U76" s="12"/>
      <c r="V76" s="12"/>
      <c r="W76" s="12"/>
      <c r="X76" s="12"/>
      <c r="Y76" s="12"/>
      <c r="Z76" s="12"/>
      <c r="AA76" s="12"/>
      <c r="AB76" s="12"/>
      <c r="AC76" s="12"/>
      <c r="AD76" s="12"/>
      <c r="AE76" s="12"/>
      <c r="AF76" s="12"/>
      <c r="AG76" s="12"/>
      <c r="AH76" s="12"/>
    </row>
    <row r="77" spans="1:34">
      <c r="A77" s="9">
        <v>75</v>
      </c>
      <c r="B77" s="9">
        <v>11400</v>
      </c>
      <c r="C77" s="9" t="s">
        <v>138</v>
      </c>
      <c r="D77" s="9" t="s">
        <v>139</v>
      </c>
      <c r="E77" s="10" t="str">
        <f>"170.99"</f>
        <v>170.99</v>
      </c>
      <c r="F77" s="11" t="s">
        <v>37</v>
      </c>
      <c r="G77" s="11">
        <v>2017</v>
      </c>
      <c r="H77" s="12"/>
      <c r="I77" s="12" t="str">
        <f>"130.99"</f>
        <v>130.99</v>
      </c>
      <c r="J77" s="12"/>
      <c r="K77" s="12"/>
      <c r="L77" s="12"/>
      <c r="M77" s="12"/>
      <c r="N77" s="12"/>
      <c r="O77" s="12"/>
      <c r="P77" s="12"/>
      <c r="Q77" s="12"/>
      <c r="R77" s="12"/>
      <c r="S77" s="12"/>
      <c r="T77" s="12"/>
      <c r="U77" s="12"/>
      <c r="V77" s="12"/>
      <c r="W77" s="12"/>
      <c r="X77" s="12"/>
      <c r="Y77" s="12"/>
      <c r="Z77" s="12"/>
      <c r="AA77" s="12"/>
      <c r="AB77" s="12"/>
      <c r="AC77" s="12"/>
      <c r="AD77" s="12"/>
      <c r="AE77" s="12"/>
      <c r="AF77" s="12"/>
      <c r="AG77" s="12"/>
      <c r="AH77" s="12"/>
    </row>
    <row r="78" spans="1:34">
      <c r="A78" s="9">
        <v>76</v>
      </c>
      <c r="B78" s="9">
        <v>11107</v>
      </c>
      <c r="C78" s="9" t="s">
        <v>140</v>
      </c>
      <c r="D78" s="9" t="s">
        <v>39</v>
      </c>
      <c r="E78" s="10" t="str">
        <f>"172.32"</f>
        <v>172.32</v>
      </c>
      <c r="F78" s="11"/>
      <c r="G78" s="11">
        <v>2017</v>
      </c>
      <c r="H78" s="12"/>
      <c r="I78" s="12"/>
      <c r="J78" s="12"/>
      <c r="K78" s="12"/>
      <c r="L78" s="12"/>
      <c r="M78" s="12" t="str">
        <f>"214.59"</f>
        <v>214.59</v>
      </c>
      <c r="N78" s="12" t="str">
        <f>"255.93"</f>
        <v>255.93</v>
      </c>
      <c r="O78" s="12"/>
      <c r="P78" s="12"/>
      <c r="Q78" s="12"/>
      <c r="R78" s="12"/>
      <c r="S78" s="12"/>
      <c r="T78" s="12"/>
      <c r="U78" s="12"/>
      <c r="V78" s="12"/>
      <c r="W78" s="12"/>
      <c r="X78" s="12"/>
      <c r="Y78" s="12"/>
      <c r="Z78" s="12" t="str">
        <f>"147.38"</f>
        <v>147.38</v>
      </c>
      <c r="AA78" s="12" t="str">
        <f>"223.00"</f>
        <v>223.00</v>
      </c>
      <c r="AB78" s="12"/>
      <c r="AC78" s="12"/>
      <c r="AD78" s="12"/>
      <c r="AE78" s="12"/>
      <c r="AF78" s="12"/>
      <c r="AG78" s="12"/>
      <c r="AH78" s="12" t="str">
        <f>"197.25"</f>
        <v>197.25</v>
      </c>
    </row>
    <row r="79" spans="1:34">
      <c r="A79" s="9">
        <v>77</v>
      </c>
      <c r="B79" s="9">
        <v>10503</v>
      </c>
      <c r="C79" s="9" t="s">
        <v>141</v>
      </c>
      <c r="D79" s="9" t="s">
        <v>71</v>
      </c>
      <c r="E79" s="10" t="str">
        <f>"174.69"</f>
        <v>174.69</v>
      </c>
      <c r="F79" s="11"/>
      <c r="G79" s="11">
        <v>2017</v>
      </c>
      <c r="H79" s="12" t="str">
        <f>"298.84"</f>
        <v>298.84</v>
      </c>
      <c r="I79" s="12"/>
      <c r="J79" s="12"/>
      <c r="K79" s="12"/>
      <c r="L79" s="12"/>
      <c r="M79" s="12"/>
      <c r="N79" s="12"/>
      <c r="O79" s="12"/>
      <c r="P79" s="12"/>
      <c r="Q79" s="12"/>
      <c r="R79" s="12" t="str">
        <f>"338.21"</f>
        <v>338.21</v>
      </c>
      <c r="S79" s="12"/>
      <c r="T79" s="12"/>
      <c r="U79" s="12" t="str">
        <f>"267.24"</f>
        <v>267.24</v>
      </c>
      <c r="V79" s="12"/>
      <c r="W79" s="12"/>
      <c r="X79" s="12"/>
      <c r="Y79" s="12"/>
      <c r="Z79" s="12"/>
      <c r="AA79" s="12"/>
      <c r="AB79" s="12"/>
      <c r="AC79" s="12"/>
      <c r="AD79" s="12"/>
      <c r="AE79" s="12"/>
      <c r="AF79" s="12"/>
      <c r="AG79" s="12" t="str">
        <f>"181.90"</f>
        <v>181.90</v>
      </c>
      <c r="AH79" s="12" t="str">
        <f>"167.47"</f>
        <v>167.47</v>
      </c>
    </row>
    <row r="80" spans="1:34">
      <c r="A80" s="9">
        <v>78</v>
      </c>
      <c r="B80" s="9">
        <v>3433</v>
      </c>
      <c r="C80" s="9" t="s">
        <v>142</v>
      </c>
      <c r="D80" s="9" t="s">
        <v>36</v>
      </c>
      <c r="E80" s="10" t="str">
        <f>"175.20"</f>
        <v>175.20</v>
      </c>
      <c r="F80" s="11"/>
      <c r="G80" s="11">
        <v>2017</v>
      </c>
      <c r="H80" s="12" t="str">
        <f>"203.53"</f>
        <v>203.53</v>
      </c>
      <c r="I80" s="12"/>
      <c r="J80" s="12"/>
      <c r="K80" s="12"/>
      <c r="L80" s="12"/>
      <c r="M80" s="12"/>
      <c r="N80" s="12"/>
      <c r="O80" s="12" t="str">
        <f>"155.28"</f>
        <v>155.28</v>
      </c>
      <c r="P80" s="12"/>
      <c r="Q80" s="12"/>
      <c r="R80" s="12"/>
      <c r="S80" s="12"/>
      <c r="T80" s="12"/>
      <c r="U80" s="12"/>
      <c r="V80" s="12"/>
      <c r="W80" s="12"/>
      <c r="X80" s="12" t="str">
        <f>"237.40"</f>
        <v>237.40</v>
      </c>
      <c r="Y80" s="12" t="str">
        <f>"195.11"</f>
        <v>195.11</v>
      </c>
      <c r="Z80" s="12"/>
      <c r="AA80" s="12"/>
      <c r="AB80" s="12"/>
      <c r="AC80" s="12"/>
      <c r="AD80" s="12"/>
      <c r="AE80" s="12"/>
      <c r="AF80" s="12"/>
      <c r="AG80" s="12"/>
      <c r="AH80" s="12"/>
    </row>
    <row r="81" spans="1:34">
      <c r="A81" s="9">
        <v>79</v>
      </c>
      <c r="B81" s="9">
        <v>10814</v>
      </c>
      <c r="C81" s="9" t="s">
        <v>144</v>
      </c>
      <c r="D81" s="9" t="s">
        <v>71</v>
      </c>
      <c r="E81" s="10" t="str">
        <f>"175.56"</f>
        <v>175.56</v>
      </c>
      <c r="F81" s="11"/>
      <c r="G81" s="11">
        <v>2017</v>
      </c>
      <c r="H81" s="12" t="str">
        <f>"379.54"</f>
        <v>379.54</v>
      </c>
      <c r="I81" s="12"/>
      <c r="J81" s="12"/>
      <c r="K81" s="12"/>
      <c r="L81" s="12"/>
      <c r="M81" s="12"/>
      <c r="N81" s="12"/>
      <c r="O81" s="12"/>
      <c r="P81" s="12"/>
      <c r="Q81" s="12"/>
      <c r="R81" s="12" t="str">
        <f>"248.79"</f>
        <v>248.79</v>
      </c>
      <c r="S81" s="12"/>
      <c r="T81" s="12"/>
      <c r="U81" s="12" t="str">
        <f>"257.45"</f>
        <v>257.45</v>
      </c>
      <c r="V81" s="12"/>
      <c r="W81" s="12" t="str">
        <f>"263.22"</f>
        <v>263.22</v>
      </c>
      <c r="X81" s="12" t="str">
        <f>"218.18"</f>
        <v>218.18</v>
      </c>
      <c r="Y81" s="12" t="str">
        <f>"228.16"</f>
        <v>228.16</v>
      </c>
      <c r="Z81" s="12"/>
      <c r="AA81" s="12"/>
      <c r="AB81" s="12"/>
      <c r="AC81" s="12"/>
      <c r="AD81" s="12" t="str">
        <f>"132.93"</f>
        <v>132.93</v>
      </c>
      <c r="AE81" s="12"/>
      <c r="AF81" s="12"/>
      <c r="AG81" s="12"/>
      <c r="AH81" s="12"/>
    </row>
    <row r="82" spans="1:34">
      <c r="A82" s="9">
        <v>80</v>
      </c>
      <c r="B82" s="9">
        <v>5501</v>
      </c>
      <c r="C82" s="9" t="s">
        <v>145</v>
      </c>
      <c r="D82" s="9" t="s">
        <v>71</v>
      </c>
      <c r="E82" s="10" t="str">
        <f>"175.82"</f>
        <v>175.82</v>
      </c>
      <c r="F82" s="11"/>
      <c r="G82" s="11">
        <v>2017</v>
      </c>
      <c r="H82" s="12" t="str">
        <f>"166.87"</f>
        <v>166.87</v>
      </c>
      <c r="I82" s="12"/>
      <c r="J82" s="12"/>
      <c r="K82" s="12"/>
      <c r="L82" s="12"/>
      <c r="M82" s="12"/>
      <c r="N82" s="12"/>
      <c r="O82" s="12" t="str">
        <f>"145.67"</f>
        <v>145.67</v>
      </c>
      <c r="P82" s="12"/>
      <c r="Q82" s="12"/>
      <c r="R82" s="12" t="str">
        <f>"294.64"</f>
        <v>294.64</v>
      </c>
      <c r="S82" s="12"/>
      <c r="T82" s="12"/>
      <c r="U82" s="12"/>
      <c r="V82" s="12"/>
      <c r="W82" s="12" t="str">
        <f>"256.49"</f>
        <v>256.49</v>
      </c>
      <c r="X82" s="12"/>
      <c r="Y82" s="12"/>
      <c r="Z82" s="12"/>
      <c r="AA82" s="12"/>
      <c r="AB82" s="12"/>
      <c r="AC82" s="12"/>
      <c r="AD82" s="12" t="str">
        <f>"205.97"</f>
        <v>205.97</v>
      </c>
      <c r="AE82" s="12"/>
      <c r="AF82" s="12"/>
      <c r="AG82" s="12"/>
      <c r="AH82" s="12"/>
    </row>
    <row r="83" spans="1:34">
      <c r="A83" s="9">
        <v>81</v>
      </c>
      <c r="B83" s="9">
        <v>11074</v>
      </c>
      <c r="C83" s="9" t="s">
        <v>146</v>
      </c>
      <c r="D83" s="9" t="s">
        <v>147</v>
      </c>
      <c r="E83" s="10" t="str">
        <f>"179.03"</f>
        <v>179.03</v>
      </c>
      <c r="F83" s="11"/>
      <c r="G83" s="11">
        <v>2017</v>
      </c>
      <c r="H83" s="12" t="str">
        <f>"261.71"</f>
        <v>261.71</v>
      </c>
      <c r="I83" s="12"/>
      <c r="J83" s="12"/>
      <c r="K83" s="12"/>
      <c r="L83" s="12"/>
      <c r="M83" s="12"/>
      <c r="N83" s="12"/>
      <c r="O83" s="12"/>
      <c r="P83" s="12"/>
      <c r="Q83" s="12" t="str">
        <f>"177.37"</f>
        <v>177.37</v>
      </c>
      <c r="R83" s="12"/>
      <c r="S83" s="12"/>
      <c r="T83" s="12" t="str">
        <f>"180.69"</f>
        <v>180.69</v>
      </c>
      <c r="U83" s="12"/>
      <c r="V83" s="12"/>
      <c r="W83" s="12"/>
      <c r="X83" s="12"/>
      <c r="Y83" s="12"/>
      <c r="Z83" s="12"/>
      <c r="AA83" s="12"/>
      <c r="AB83" s="12"/>
      <c r="AC83" s="12"/>
      <c r="AD83" s="12"/>
      <c r="AE83" s="12"/>
      <c r="AF83" s="12"/>
      <c r="AG83" s="12"/>
      <c r="AH83" s="12"/>
    </row>
    <row r="84" spans="1:34">
      <c r="A84" s="9">
        <v>82</v>
      </c>
      <c r="B84" s="9">
        <v>10877</v>
      </c>
      <c r="C84" s="9" t="s">
        <v>148</v>
      </c>
      <c r="D84" s="9" t="s">
        <v>39</v>
      </c>
      <c r="E84" s="10" t="str">
        <f>"179.35"</f>
        <v>179.35</v>
      </c>
      <c r="F84" s="11"/>
      <c r="G84" s="11">
        <v>2017</v>
      </c>
      <c r="H84" s="12" t="str">
        <f>"434.42"</f>
        <v>434.42</v>
      </c>
      <c r="I84" s="12"/>
      <c r="J84" s="12"/>
      <c r="K84" s="12"/>
      <c r="L84" s="12"/>
      <c r="M84" s="12" t="str">
        <f>"215.26"</f>
        <v>215.26</v>
      </c>
      <c r="N84" s="12" t="str">
        <f>"260.06"</f>
        <v>260.06</v>
      </c>
      <c r="O84" s="12"/>
      <c r="P84" s="12"/>
      <c r="Q84" s="12"/>
      <c r="R84" s="12"/>
      <c r="S84" s="12"/>
      <c r="T84" s="12"/>
      <c r="U84" s="12"/>
      <c r="V84" s="12"/>
      <c r="W84" s="12"/>
      <c r="X84" s="12"/>
      <c r="Y84" s="12"/>
      <c r="Z84" s="12" t="str">
        <f>"181.12"</f>
        <v>181.12</v>
      </c>
      <c r="AA84" s="12" t="str">
        <f>"217.43"</f>
        <v>217.43</v>
      </c>
      <c r="AB84" s="12"/>
      <c r="AC84" s="12"/>
      <c r="AD84" s="12"/>
      <c r="AE84" s="12"/>
      <c r="AF84" s="12" t="str">
        <f>"184.74"</f>
        <v>184.74</v>
      </c>
      <c r="AG84" s="12"/>
      <c r="AH84" s="12" t="str">
        <f>"177.57"</f>
        <v>177.57</v>
      </c>
    </row>
    <row r="85" spans="1:34">
      <c r="A85" s="9">
        <v>83</v>
      </c>
      <c r="B85" s="9">
        <v>5736</v>
      </c>
      <c r="C85" s="9" t="s">
        <v>149</v>
      </c>
      <c r="D85" s="9" t="s">
        <v>53</v>
      </c>
      <c r="E85" s="10" t="str">
        <f>"179.80"</f>
        <v>179.80</v>
      </c>
      <c r="F85" s="11" t="s">
        <v>40</v>
      </c>
      <c r="G85" s="11">
        <v>2017</v>
      </c>
      <c r="H85" s="12" t="str">
        <f>"139.80"</f>
        <v>139.80</v>
      </c>
      <c r="I85" s="12"/>
      <c r="J85" s="12"/>
      <c r="K85" s="12"/>
      <c r="L85" s="12"/>
      <c r="M85" s="12"/>
      <c r="N85" s="12"/>
      <c r="O85" s="12"/>
      <c r="P85" s="12"/>
      <c r="Q85" s="12"/>
      <c r="R85" s="12"/>
      <c r="S85" s="12"/>
      <c r="T85" s="12"/>
      <c r="U85" s="12"/>
      <c r="V85" s="12"/>
      <c r="W85" s="12"/>
      <c r="X85" s="12"/>
      <c r="Y85" s="12"/>
      <c r="Z85" s="12"/>
      <c r="AA85" s="12"/>
      <c r="AB85" s="12"/>
      <c r="AC85" s="12"/>
      <c r="AD85" s="12"/>
      <c r="AE85" s="12"/>
      <c r="AF85" s="12"/>
      <c r="AG85" s="12"/>
      <c r="AH85" s="12"/>
    </row>
    <row r="86" spans="1:34">
      <c r="A86" s="9">
        <v>84</v>
      </c>
      <c r="B86" s="9">
        <v>1835</v>
      </c>
      <c r="C86" s="9" t="s">
        <v>150</v>
      </c>
      <c r="D86" s="9" t="s">
        <v>151</v>
      </c>
      <c r="E86" s="10" t="str">
        <f>"179.98"</f>
        <v>179.98</v>
      </c>
      <c r="F86" s="11" t="s">
        <v>37</v>
      </c>
      <c r="G86" s="11">
        <v>2017</v>
      </c>
      <c r="H86" s="12" t="str">
        <f>"163.23"</f>
        <v>163.23</v>
      </c>
      <c r="I86" s="12"/>
      <c r="J86" s="12"/>
      <c r="K86" s="12"/>
      <c r="L86" s="12"/>
      <c r="M86" s="12"/>
      <c r="N86" s="12"/>
      <c r="O86" s="12" t="str">
        <f>"139.98"</f>
        <v>139.98</v>
      </c>
      <c r="P86" s="12"/>
      <c r="Q86" s="12"/>
      <c r="R86" s="12"/>
      <c r="S86" s="12"/>
      <c r="T86" s="12"/>
      <c r="U86" s="12"/>
      <c r="V86" s="12"/>
      <c r="W86" s="12"/>
      <c r="X86" s="12"/>
      <c r="Y86" s="12"/>
      <c r="Z86" s="12"/>
      <c r="AA86" s="12"/>
      <c r="AB86" s="12"/>
      <c r="AC86" s="12"/>
      <c r="AD86" s="12"/>
      <c r="AE86" s="12"/>
      <c r="AF86" s="12"/>
      <c r="AG86" s="12"/>
      <c r="AH86" s="12"/>
    </row>
    <row r="87" spans="1:34">
      <c r="A87" s="9">
        <v>85</v>
      </c>
      <c r="B87" s="9">
        <v>4331</v>
      </c>
      <c r="C87" s="9" t="s">
        <v>152</v>
      </c>
      <c r="D87" s="9" t="s">
        <v>153</v>
      </c>
      <c r="E87" s="10" t="str">
        <f>"181.23"</f>
        <v>181.23</v>
      </c>
      <c r="F87" s="11"/>
      <c r="G87" s="11">
        <v>2017</v>
      </c>
      <c r="H87" s="12" t="str">
        <f>"166.91"</f>
        <v>166.91</v>
      </c>
      <c r="I87" s="12"/>
      <c r="J87" s="12" t="str">
        <f>"208.28"</f>
        <v>208.28</v>
      </c>
      <c r="K87" s="12"/>
      <c r="L87" s="12"/>
      <c r="M87" s="12"/>
      <c r="N87" s="12"/>
      <c r="O87" s="12"/>
      <c r="P87" s="12"/>
      <c r="Q87" s="12"/>
      <c r="R87" s="12"/>
      <c r="S87" s="12"/>
      <c r="T87" s="12"/>
      <c r="U87" s="12"/>
      <c r="V87" s="12" t="str">
        <f>"169.82"</f>
        <v>169.82</v>
      </c>
      <c r="W87" s="12"/>
      <c r="X87" s="12" t="str">
        <f>"210.57"</f>
        <v>210.57</v>
      </c>
      <c r="Y87" s="12" t="str">
        <f>"192.63"</f>
        <v>192.63</v>
      </c>
      <c r="Z87" s="12"/>
      <c r="AA87" s="12"/>
      <c r="AB87" s="12"/>
      <c r="AC87" s="12"/>
      <c r="AD87" s="12"/>
      <c r="AE87" s="12"/>
      <c r="AF87" s="12"/>
      <c r="AG87" s="12"/>
      <c r="AH87" s="12"/>
    </row>
    <row r="88" spans="1:34">
      <c r="A88" s="9">
        <v>86</v>
      </c>
      <c r="B88" s="9">
        <v>11223</v>
      </c>
      <c r="C88" s="9" t="s">
        <v>154</v>
      </c>
      <c r="D88" s="9" t="s">
        <v>71</v>
      </c>
      <c r="E88" s="10" t="str">
        <f>"181.54"</f>
        <v>181.54</v>
      </c>
      <c r="F88" s="11"/>
      <c r="G88" s="11">
        <v>2017</v>
      </c>
      <c r="H88" s="12"/>
      <c r="I88" s="12"/>
      <c r="J88" s="12"/>
      <c r="K88" s="12"/>
      <c r="L88" s="12"/>
      <c r="M88" s="12"/>
      <c r="N88" s="12"/>
      <c r="O88" s="12"/>
      <c r="P88" s="12"/>
      <c r="Q88" s="12"/>
      <c r="R88" s="12" t="str">
        <f>"178.78"</f>
        <v>178.78</v>
      </c>
      <c r="S88" s="12"/>
      <c r="T88" s="12"/>
      <c r="U88" s="12" t="str">
        <f>"184.29"</f>
        <v>184.29</v>
      </c>
      <c r="V88" s="12"/>
      <c r="W88" s="12" t="str">
        <f>"200.81"</f>
        <v>200.81</v>
      </c>
      <c r="X88" s="12"/>
      <c r="Y88" s="12"/>
      <c r="Z88" s="12"/>
      <c r="AA88" s="12"/>
      <c r="AB88" s="12"/>
      <c r="AC88" s="12"/>
      <c r="AD88" s="12"/>
      <c r="AE88" s="12"/>
      <c r="AF88" s="12"/>
      <c r="AG88" s="12"/>
      <c r="AH88" s="12"/>
    </row>
    <row r="89" spans="1:34">
      <c r="A89" s="9">
        <v>87</v>
      </c>
      <c r="B89" s="9">
        <v>5095</v>
      </c>
      <c r="C89" s="9" t="s">
        <v>155</v>
      </c>
      <c r="D89" s="9" t="s">
        <v>156</v>
      </c>
      <c r="E89" s="10" t="str">
        <f>"182.44"</f>
        <v>182.44</v>
      </c>
      <c r="F89" s="11" t="s">
        <v>40</v>
      </c>
      <c r="G89" s="11">
        <v>2017</v>
      </c>
      <c r="H89" s="12" t="str">
        <f>"142.44"</f>
        <v>142.44</v>
      </c>
      <c r="I89" s="12"/>
      <c r="J89" s="12"/>
      <c r="K89" s="12"/>
      <c r="L89" s="12"/>
      <c r="M89" s="12"/>
      <c r="N89" s="12"/>
      <c r="O89" s="12"/>
      <c r="P89" s="12"/>
      <c r="Q89" s="12"/>
      <c r="R89" s="12"/>
      <c r="S89" s="12"/>
      <c r="T89" s="12"/>
      <c r="U89" s="12"/>
      <c r="V89" s="12"/>
      <c r="W89" s="12"/>
      <c r="X89" s="12"/>
      <c r="Y89" s="12"/>
      <c r="Z89" s="12"/>
      <c r="AA89" s="12"/>
      <c r="AB89" s="12"/>
      <c r="AC89" s="12"/>
      <c r="AD89" s="12"/>
      <c r="AE89" s="12"/>
      <c r="AF89" s="12"/>
      <c r="AG89" s="12"/>
      <c r="AH89" s="12"/>
    </row>
    <row r="90" spans="1:34">
      <c r="A90" s="9">
        <v>88</v>
      </c>
      <c r="B90" s="9">
        <v>5486</v>
      </c>
      <c r="C90" s="9" t="s">
        <v>157</v>
      </c>
      <c r="D90" s="9" t="s">
        <v>71</v>
      </c>
      <c r="E90" s="10" t="str">
        <f>"182.70"</f>
        <v>182.70</v>
      </c>
      <c r="F90" s="11" t="s">
        <v>37</v>
      </c>
      <c r="G90" s="11">
        <v>2017</v>
      </c>
      <c r="H90" s="12" t="str">
        <f>"159.48"</f>
        <v>159.48</v>
      </c>
      <c r="I90" s="12"/>
      <c r="J90" s="12"/>
      <c r="K90" s="12"/>
      <c r="L90" s="12"/>
      <c r="M90" s="12"/>
      <c r="N90" s="12"/>
      <c r="O90" s="12"/>
      <c r="P90" s="12"/>
      <c r="Q90" s="12"/>
      <c r="R90" s="12"/>
      <c r="S90" s="12"/>
      <c r="T90" s="12"/>
      <c r="U90" s="12"/>
      <c r="V90" s="12"/>
      <c r="W90" s="12" t="str">
        <f>"142.70"</f>
        <v>142.70</v>
      </c>
      <c r="X90" s="12"/>
      <c r="Y90" s="12"/>
      <c r="Z90" s="12"/>
      <c r="AA90" s="12"/>
      <c r="AB90" s="12"/>
      <c r="AC90" s="12"/>
      <c r="AD90" s="12"/>
      <c r="AE90" s="12"/>
      <c r="AF90" s="12"/>
      <c r="AG90" s="12"/>
      <c r="AH90" s="12"/>
    </row>
    <row r="91" spans="1:34">
      <c r="A91" s="9">
        <v>89</v>
      </c>
      <c r="B91" s="9">
        <v>2419</v>
      </c>
      <c r="C91" s="9" t="s">
        <v>158</v>
      </c>
      <c r="D91" s="9" t="s">
        <v>159</v>
      </c>
      <c r="E91" s="10" t="str">
        <f>"183.33"</f>
        <v>183.33</v>
      </c>
      <c r="F91" s="11"/>
      <c r="G91" s="11">
        <v>2017</v>
      </c>
      <c r="H91" s="12" t="str">
        <f>"256.97"</f>
        <v>256.97</v>
      </c>
      <c r="I91" s="12"/>
      <c r="J91" s="12"/>
      <c r="K91" s="12"/>
      <c r="L91" s="12"/>
      <c r="M91" s="12"/>
      <c r="N91" s="12"/>
      <c r="O91" s="12" t="str">
        <f>"146.18"</f>
        <v>146.18</v>
      </c>
      <c r="P91" s="12"/>
      <c r="Q91" s="12"/>
      <c r="R91" s="12"/>
      <c r="S91" s="12"/>
      <c r="T91" s="12"/>
      <c r="U91" s="12"/>
      <c r="V91" s="12"/>
      <c r="W91" s="12"/>
      <c r="X91" s="12" t="str">
        <f>"288.26"</f>
        <v>288.26</v>
      </c>
      <c r="Y91" s="12" t="str">
        <f>"239.94"</f>
        <v>239.94</v>
      </c>
      <c r="Z91" s="12"/>
      <c r="AA91" s="12"/>
      <c r="AB91" s="12"/>
      <c r="AC91" s="12"/>
      <c r="AD91" s="12" t="str">
        <f>"220.48"</f>
        <v>220.48</v>
      </c>
      <c r="AE91" s="12"/>
      <c r="AF91" s="12" t="str">
        <f>"235.63"</f>
        <v>235.63</v>
      </c>
      <c r="AG91" s="12"/>
      <c r="AH91" s="12"/>
    </row>
    <row r="92" spans="1:34">
      <c r="A92" s="9">
        <v>90</v>
      </c>
      <c r="B92" s="9">
        <v>9953</v>
      </c>
      <c r="C92" s="9" t="s">
        <v>160</v>
      </c>
      <c r="D92" s="9" t="s">
        <v>71</v>
      </c>
      <c r="E92" s="10" t="str">
        <f>"183.57"</f>
        <v>183.57</v>
      </c>
      <c r="F92" s="11"/>
      <c r="G92" s="11">
        <v>2017</v>
      </c>
      <c r="H92" s="12" t="str">
        <f>"201.79"</f>
        <v>201.79</v>
      </c>
      <c r="I92" s="12"/>
      <c r="J92" s="12"/>
      <c r="K92" s="12"/>
      <c r="L92" s="12"/>
      <c r="M92" s="12"/>
      <c r="N92" s="12"/>
      <c r="O92" s="12"/>
      <c r="P92" s="12"/>
      <c r="Q92" s="12"/>
      <c r="R92" s="12" t="str">
        <f>"230.43"</f>
        <v>230.43</v>
      </c>
      <c r="S92" s="12"/>
      <c r="T92" s="12"/>
      <c r="U92" s="12" t="str">
        <f>"178.09"</f>
        <v>178.09</v>
      </c>
      <c r="V92" s="12"/>
      <c r="W92" s="12" t="str">
        <f>"189.04"</f>
        <v>189.04</v>
      </c>
      <c r="X92" s="12"/>
      <c r="Y92" s="12"/>
      <c r="Z92" s="12"/>
      <c r="AA92" s="12"/>
      <c r="AB92" s="12"/>
      <c r="AC92" s="12"/>
      <c r="AD92" s="12"/>
      <c r="AE92" s="12"/>
      <c r="AF92" s="12"/>
      <c r="AG92" s="12"/>
      <c r="AH92" s="12"/>
    </row>
    <row r="93" spans="1:34">
      <c r="A93" s="9">
        <v>91</v>
      </c>
      <c r="B93" s="9">
        <v>3604</v>
      </c>
      <c r="C93" s="9" t="s">
        <v>161</v>
      </c>
      <c r="D93" s="9" t="s">
        <v>162</v>
      </c>
      <c r="E93" s="10" t="str">
        <f>"184.32"</f>
        <v>184.32</v>
      </c>
      <c r="F93" s="11"/>
      <c r="G93" s="11">
        <v>2017</v>
      </c>
      <c r="H93" s="12" t="str">
        <f>"213.94"</f>
        <v>213.94</v>
      </c>
      <c r="I93" s="12"/>
      <c r="J93" s="12"/>
      <c r="K93" s="12" t="str">
        <f>"213.37"</f>
        <v>213.37</v>
      </c>
      <c r="L93" s="12" t="str">
        <f>"179.28"</f>
        <v>179.28</v>
      </c>
      <c r="M93" s="12"/>
      <c r="N93" s="12"/>
      <c r="O93" s="12"/>
      <c r="P93" s="12"/>
      <c r="Q93" s="12"/>
      <c r="R93" s="12"/>
      <c r="S93" s="12"/>
      <c r="T93" s="12"/>
      <c r="U93" s="12"/>
      <c r="V93" s="12"/>
      <c r="W93" s="12"/>
      <c r="X93" s="12"/>
      <c r="Y93" s="12"/>
      <c r="Z93" s="12"/>
      <c r="AA93" s="12"/>
      <c r="AB93" s="12"/>
      <c r="AC93" s="12"/>
      <c r="AD93" s="12"/>
      <c r="AE93" s="12" t="str">
        <f>"189.36"</f>
        <v>189.36</v>
      </c>
      <c r="AF93" s="12"/>
      <c r="AG93" s="12"/>
      <c r="AH93" s="12"/>
    </row>
    <row r="94" spans="1:34">
      <c r="A94" s="9">
        <v>92</v>
      </c>
      <c r="B94" s="9">
        <v>10661</v>
      </c>
      <c r="C94" s="9" t="s">
        <v>163</v>
      </c>
      <c r="D94" s="9" t="s">
        <v>53</v>
      </c>
      <c r="E94" s="10" t="str">
        <f>"188.79"</f>
        <v>188.79</v>
      </c>
      <c r="F94" s="11"/>
      <c r="G94" s="11">
        <v>2017</v>
      </c>
      <c r="H94" s="12" t="str">
        <f>"103.20"</f>
        <v>103.20</v>
      </c>
      <c r="I94" s="12"/>
      <c r="J94" s="12"/>
      <c r="K94" s="12"/>
      <c r="L94" s="12"/>
      <c r="M94" s="12"/>
      <c r="N94" s="12"/>
      <c r="O94" s="12"/>
      <c r="P94" s="12"/>
      <c r="Q94" s="12"/>
      <c r="R94" s="12"/>
      <c r="S94" s="12"/>
      <c r="T94" s="12"/>
      <c r="U94" s="12"/>
      <c r="V94" s="12"/>
      <c r="W94" s="12"/>
      <c r="X94" s="12" t="str">
        <f>"191.55"</f>
        <v>191.55</v>
      </c>
      <c r="Y94" s="12" t="str">
        <f>"186.02"</f>
        <v>186.02</v>
      </c>
      <c r="Z94" s="12"/>
      <c r="AA94" s="12"/>
      <c r="AB94" s="12"/>
      <c r="AC94" s="12"/>
      <c r="AD94" s="12"/>
      <c r="AE94" s="12"/>
      <c r="AF94" s="12"/>
      <c r="AG94" s="12"/>
      <c r="AH94" s="12"/>
    </row>
    <row r="95" spans="1:34">
      <c r="A95" s="9">
        <v>93</v>
      </c>
      <c r="B95" s="9">
        <v>10421</v>
      </c>
      <c r="C95" s="9" t="s">
        <v>164</v>
      </c>
      <c r="D95" s="9" t="s">
        <v>71</v>
      </c>
      <c r="E95" s="10" t="str">
        <f>"189.83"</f>
        <v>189.83</v>
      </c>
      <c r="F95" s="11"/>
      <c r="G95" s="11">
        <v>2017</v>
      </c>
      <c r="H95" s="12" t="str">
        <f>"312.19"</f>
        <v>312.19</v>
      </c>
      <c r="I95" s="12"/>
      <c r="J95" s="12"/>
      <c r="K95" s="12"/>
      <c r="L95" s="12"/>
      <c r="M95" s="12"/>
      <c r="N95" s="12"/>
      <c r="O95" s="12"/>
      <c r="P95" s="12"/>
      <c r="Q95" s="12"/>
      <c r="R95" s="12" t="str">
        <f>"183.70"</f>
        <v>183.70</v>
      </c>
      <c r="S95" s="12"/>
      <c r="T95" s="12"/>
      <c r="U95" s="12"/>
      <c r="V95" s="12"/>
      <c r="W95" s="12" t="str">
        <f>"195.95"</f>
        <v>195.95</v>
      </c>
      <c r="X95" s="12"/>
      <c r="Y95" s="12"/>
      <c r="Z95" s="12"/>
      <c r="AA95" s="12"/>
      <c r="AB95" s="12"/>
      <c r="AC95" s="12"/>
      <c r="AD95" s="12"/>
      <c r="AE95" s="12"/>
      <c r="AF95" s="12"/>
      <c r="AG95" s="12"/>
      <c r="AH95" s="12"/>
    </row>
    <row r="96" spans="1:34">
      <c r="A96" s="9">
        <v>94</v>
      </c>
      <c r="B96" s="9">
        <v>6674</v>
      </c>
      <c r="C96" s="9" t="s">
        <v>165</v>
      </c>
      <c r="D96" s="9" t="s">
        <v>127</v>
      </c>
      <c r="E96" s="10" t="str">
        <f>"190.20"</f>
        <v>190.20</v>
      </c>
      <c r="F96" s="11"/>
      <c r="G96" s="11">
        <v>2017</v>
      </c>
      <c r="H96" s="12" t="str">
        <f>"223.92"</f>
        <v>223.92</v>
      </c>
      <c r="I96" s="12"/>
      <c r="J96" s="12"/>
      <c r="K96" s="12"/>
      <c r="L96" s="12"/>
      <c r="M96" s="12"/>
      <c r="N96" s="12"/>
      <c r="O96" s="12" t="str">
        <f>"141.50"</f>
        <v>141.50</v>
      </c>
      <c r="P96" s="12"/>
      <c r="Q96" s="12"/>
      <c r="R96" s="12"/>
      <c r="S96" s="12"/>
      <c r="T96" s="12"/>
      <c r="U96" s="12"/>
      <c r="V96" s="12"/>
      <c r="W96" s="12"/>
      <c r="X96" s="12" t="str">
        <f>"252.42"</f>
        <v>252.42</v>
      </c>
      <c r="Y96" s="12" t="str">
        <f>"238.90"</f>
        <v>238.90</v>
      </c>
      <c r="Z96" s="12"/>
      <c r="AA96" s="12"/>
      <c r="AB96" s="12"/>
      <c r="AC96" s="12"/>
      <c r="AD96" s="12"/>
      <c r="AE96" s="12"/>
      <c r="AF96" s="12" t="str">
        <f>"262.18"</f>
        <v>262.18</v>
      </c>
      <c r="AG96" s="12"/>
      <c r="AH96" s="12"/>
    </row>
    <row r="97" spans="1:34">
      <c r="A97" s="9">
        <v>95</v>
      </c>
      <c r="B97" s="9">
        <v>10667</v>
      </c>
      <c r="C97" s="9" t="s">
        <v>166</v>
      </c>
      <c r="D97" s="9" t="s">
        <v>53</v>
      </c>
      <c r="E97" s="10" t="str">
        <f>"191.49"</f>
        <v>191.49</v>
      </c>
      <c r="F97" s="11" t="s">
        <v>37</v>
      </c>
      <c r="G97" s="11">
        <v>2017</v>
      </c>
      <c r="H97" s="12" t="str">
        <f>"253.33"</f>
        <v>253.33</v>
      </c>
      <c r="I97" s="12"/>
      <c r="J97" s="12"/>
      <c r="K97" s="12"/>
      <c r="L97" s="12"/>
      <c r="M97" s="12"/>
      <c r="N97" s="12"/>
      <c r="O97" s="12" t="str">
        <f>"151.49"</f>
        <v>151.49</v>
      </c>
      <c r="P97" s="12"/>
      <c r="Q97" s="12"/>
      <c r="R97" s="12"/>
      <c r="S97" s="12"/>
      <c r="T97" s="12"/>
      <c r="U97" s="12"/>
      <c r="V97" s="12"/>
      <c r="W97" s="12"/>
      <c r="X97" s="12"/>
      <c r="Y97" s="12"/>
      <c r="Z97" s="12"/>
      <c r="AA97" s="12"/>
      <c r="AB97" s="12"/>
      <c r="AC97" s="12"/>
      <c r="AD97" s="12"/>
      <c r="AE97" s="12"/>
      <c r="AF97" s="12"/>
      <c r="AG97" s="12"/>
      <c r="AH97" s="12"/>
    </row>
    <row r="98" spans="1:34">
      <c r="A98" s="9">
        <v>96</v>
      </c>
      <c r="B98" s="9">
        <v>3285</v>
      </c>
      <c r="C98" s="9" t="s">
        <v>167</v>
      </c>
      <c r="D98" s="9" t="s">
        <v>168</v>
      </c>
      <c r="E98" s="10" t="str">
        <f>"192.70"</f>
        <v>192.70</v>
      </c>
      <c r="F98" s="11" t="s">
        <v>40</v>
      </c>
      <c r="G98" s="11">
        <v>2017</v>
      </c>
      <c r="H98" s="12" t="str">
        <f>"152.70"</f>
        <v>152.70</v>
      </c>
      <c r="I98" s="12"/>
      <c r="J98" s="12"/>
      <c r="K98" s="12"/>
      <c r="L98" s="12"/>
      <c r="M98" s="12"/>
      <c r="N98" s="12"/>
      <c r="O98" s="12"/>
      <c r="P98" s="12"/>
      <c r="Q98" s="12"/>
      <c r="R98" s="12"/>
      <c r="S98" s="12"/>
      <c r="T98" s="12"/>
      <c r="U98" s="12"/>
      <c r="V98" s="12"/>
      <c r="W98" s="12"/>
      <c r="X98" s="12"/>
      <c r="Y98" s="12"/>
      <c r="Z98" s="12"/>
      <c r="AA98" s="12"/>
      <c r="AB98" s="12"/>
      <c r="AC98" s="12"/>
      <c r="AD98" s="12"/>
      <c r="AE98" s="12"/>
      <c r="AF98" s="12"/>
      <c r="AG98" s="12"/>
      <c r="AH98" s="12"/>
    </row>
    <row r="99" spans="1:34">
      <c r="A99" s="9">
        <v>97</v>
      </c>
      <c r="B99" s="9">
        <v>10964</v>
      </c>
      <c r="C99" s="9" t="s">
        <v>169</v>
      </c>
      <c r="D99" s="9" t="s">
        <v>170</v>
      </c>
      <c r="E99" s="10" t="str">
        <f>"194.21"</f>
        <v>194.21</v>
      </c>
      <c r="F99" s="11" t="s">
        <v>37</v>
      </c>
      <c r="G99" s="11">
        <v>2017</v>
      </c>
      <c r="H99" s="12" t="str">
        <f>"148.92"</f>
        <v>148.92</v>
      </c>
      <c r="I99" s="12"/>
      <c r="J99" s="12"/>
      <c r="K99" s="12"/>
      <c r="L99" s="12"/>
      <c r="M99" s="12"/>
      <c r="N99" s="12"/>
      <c r="O99" s="12"/>
      <c r="P99" s="12"/>
      <c r="Q99" s="12"/>
      <c r="R99" s="12"/>
      <c r="S99" s="12"/>
      <c r="T99" s="12"/>
      <c r="U99" s="12"/>
      <c r="V99" s="12"/>
      <c r="W99" s="12"/>
      <c r="X99" s="12"/>
      <c r="Y99" s="12"/>
      <c r="Z99" s="12"/>
      <c r="AA99" s="12"/>
      <c r="AB99" s="12"/>
      <c r="AC99" s="12"/>
      <c r="AD99" s="12" t="str">
        <f>"154.21"</f>
        <v>154.21</v>
      </c>
      <c r="AE99" s="12"/>
      <c r="AF99" s="12"/>
      <c r="AG99" s="12"/>
      <c r="AH99" s="12"/>
    </row>
    <row r="100" spans="1:34">
      <c r="A100" s="9">
        <v>98</v>
      </c>
      <c r="B100" s="9">
        <v>4047</v>
      </c>
      <c r="C100" s="9" t="s">
        <v>171</v>
      </c>
      <c r="D100" s="9" t="s">
        <v>172</v>
      </c>
      <c r="E100" s="10" t="str">
        <f>"195.22"</f>
        <v>195.22</v>
      </c>
      <c r="F100" s="11"/>
      <c r="G100" s="11">
        <v>2017</v>
      </c>
      <c r="H100" s="12" t="str">
        <f>"270.17"</f>
        <v>270.17</v>
      </c>
      <c r="I100" s="12"/>
      <c r="J100" s="12"/>
      <c r="K100" s="12"/>
      <c r="L100" s="12"/>
      <c r="M100" s="12"/>
      <c r="N100" s="12"/>
      <c r="O100" s="12" t="str">
        <f>"209.78"</f>
        <v>209.78</v>
      </c>
      <c r="P100" s="12"/>
      <c r="Q100" s="12"/>
      <c r="R100" s="12"/>
      <c r="S100" s="12"/>
      <c r="T100" s="12"/>
      <c r="U100" s="12"/>
      <c r="V100" s="12" t="str">
        <f>"180.66"</f>
        <v>180.66</v>
      </c>
      <c r="W100" s="12"/>
      <c r="X100" s="12"/>
      <c r="Y100" s="12"/>
      <c r="Z100" s="12"/>
      <c r="AA100" s="12"/>
      <c r="AB100" s="12"/>
      <c r="AC100" s="12"/>
      <c r="AD100" s="12"/>
      <c r="AE100" s="12"/>
      <c r="AF100" s="12"/>
      <c r="AG100" s="12"/>
      <c r="AH100" s="12"/>
    </row>
    <row r="101" spans="1:34">
      <c r="A101" s="9">
        <v>99</v>
      </c>
      <c r="B101" s="9">
        <v>7631</v>
      </c>
      <c r="C101" s="9" t="s">
        <v>173</v>
      </c>
      <c r="D101" s="9" t="s">
        <v>39</v>
      </c>
      <c r="E101" s="10" t="str">
        <f>"196.28"</f>
        <v>196.28</v>
      </c>
      <c r="F101" s="11"/>
      <c r="G101" s="11">
        <v>2017</v>
      </c>
      <c r="H101" s="12" t="str">
        <f>"302.93"</f>
        <v>302.93</v>
      </c>
      <c r="I101" s="12"/>
      <c r="J101" s="12"/>
      <c r="K101" s="12"/>
      <c r="L101" s="12"/>
      <c r="M101" s="12" t="str">
        <f>"217.13"</f>
        <v>217.13</v>
      </c>
      <c r="N101" s="12" t="str">
        <f>"238.45"</f>
        <v>238.45</v>
      </c>
      <c r="O101" s="12"/>
      <c r="P101" s="12"/>
      <c r="Q101" s="12"/>
      <c r="R101" s="12"/>
      <c r="S101" s="12"/>
      <c r="T101" s="12"/>
      <c r="U101" s="12"/>
      <c r="V101" s="12"/>
      <c r="W101" s="12"/>
      <c r="X101" s="12"/>
      <c r="Y101" s="12"/>
      <c r="Z101" s="12" t="str">
        <f>"175.43"</f>
        <v>175.43</v>
      </c>
      <c r="AA101" s="12" t="str">
        <f>"224.86"</f>
        <v>224.86</v>
      </c>
      <c r="AB101" s="12"/>
      <c r="AC101" s="12"/>
      <c r="AD101" s="12"/>
      <c r="AE101" s="12"/>
      <c r="AF101" s="12"/>
      <c r="AG101" s="12"/>
      <c r="AH101" s="12" t="str">
        <f>"219.81"</f>
        <v>219.81</v>
      </c>
    </row>
    <row r="102" spans="1:34">
      <c r="A102" s="9">
        <v>100</v>
      </c>
      <c r="B102" s="9">
        <v>3207</v>
      </c>
      <c r="C102" s="9" t="s">
        <v>174</v>
      </c>
      <c r="D102" s="9" t="s">
        <v>175</v>
      </c>
      <c r="E102" s="10" t="str">
        <f>"197.39"</f>
        <v>197.39</v>
      </c>
      <c r="F102" s="11" t="s">
        <v>37</v>
      </c>
      <c r="G102" s="11">
        <v>2017</v>
      </c>
      <c r="H102" s="12" t="str">
        <f>"283.44"</f>
        <v>283.44</v>
      </c>
      <c r="I102" s="12"/>
      <c r="J102" s="12"/>
      <c r="K102" s="12"/>
      <c r="L102" s="12"/>
      <c r="M102" s="12"/>
      <c r="N102" s="12"/>
      <c r="O102" s="12"/>
      <c r="P102" s="12"/>
      <c r="Q102" s="12"/>
      <c r="R102" s="12"/>
      <c r="S102" s="12"/>
      <c r="T102" s="12"/>
      <c r="U102" s="12"/>
      <c r="V102" s="12" t="str">
        <f>"157.39"</f>
        <v>157.39</v>
      </c>
      <c r="W102" s="12"/>
      <c r="X102" s="12"/>
      <c r="Y102" s="12"/>
      <c r="Z102" s="12"/>
      <c r="AA102" s="12"/>
      <c r="AB102" s="12"/>
      <c r="AC102" s="12"/>
      <c r="AD102" s="12"/>
      <c r="AE102" s="12"/>
      <c r="AF102" s="12"/>
      <c r="AG102" s="12"/>
      <c r="AH102" s="12"/>
    </row>
    <row r="103" spans="1:34">
      <c r="A103" s="9">
        <v>101</v>
      </c>
      <c r="B103" s="9">
        <v>10825</v>
      </c>
      <c r="C103" s="9" t="s">
        <v>176</v>
      </c>
      <c r="D103" s="9" t="s">
        <v>71</v>
      </c>
      <c r="E103" s="10" t="str">
        <f>"198.80"</f>
        <v>198.80</v>
      </c>
      <c r="F103" s="11"/>
      <c r="G103" s="11">
        <v>2017</v>
      </c>
      <c r="H103" s="12" t="str">
        <f>"260.38"</f>
        <v>260.38</v>
      </c>
      <c r="I103" s="12"/>
      <c r="J103" s="12"/>
      <c r="K103" s="12"/>
      <c r="L103" s="12"/>
      <c r="M103" s="12"/>
      <c r="N103" s="12"/>
      <c r="O103" s="12"/>
      <c r="P103" s="12"/>
      <c r="Q103" s="12"/>
      <c r="R103" s="12" t="str">
        <f>"236.23"</f>
        <v>236.23</v>
      </c>
      <c r="S103" s="12"/>
      <c r="T103" s="12"/>
      <c r="U103" s="12" t="str">
        <f>"213.41"</f>
        <v>213.41</v>
      </c>
      <c r="V103" s="12"/>
      <c r="W103" s="12" t="str">
        <f>"184.18"</f>
        <v>184.18</v>
      </c>
      <c r="X103" s="12"/>
      <c r="Y103" s="12"/>
      <c r="Z103" s="12"/>
      <c r="AA103" s="12"/>
      <c r="AB103" s="12"/>
      <c r="AC103" s="12"/>
      <c r="AD103" s="12"/>
      <c r="AE103" s="12"/>
      <c r="AF103" s="12"/>
      <c r="AG103" s="12"/>
      <c r="AH103" s="12"/>
    </row>
    <row r="104" spans="1:34">
      <c r="A104" s="9">
        <v>102</v>
      </c>
      <c r="B104" s="9">
        <v>8622</v>
      </c>
      <c r="C104" s="9" t="s">
        <v>177</v>
      </c>
      <c r="D104" s="9" t="s">
        <v>39</v>
      </c>
      <c r="E104" s="10" t="str">
        <f>"199.76"</f>
        <v>199.76</v>
      </c>
      <c r="F104" s="11"/>
      <c r="G104" s="11">
        <v>2017</v>
      </c>
      <c r="H104" s="12" t="str">
        <f>"175.70"</f>
        <v>175.70</v>
      </c>
      <c r="I104" s="12"/>
      <c r="J104" s="12"/>
      <c r="K104" s="12"/>
      <c r="L104" s="12"/>
      <c r="M104" s="12"/>
      <c r="N104" s="12" t="str">
        <f>"185.80"</f>
        <v>185.80</v>
      </c>
      <c r="O104" s="12"/>
      <c r="P104" s="12"/>
      <c r="Q104" s="12"/>
      <c r="R104" s="12"/>
      <c r="S104" s="12"/>
      <c r="T104" s="12"/>
      <c r="U104" s="12"/>
      <c r="V104" s="12"/>
      <c r="W104" s="12"/>
      <c r="X104" s="12"/>
      <c r="Y104" s="12"/>
      <c r="Z104" s="12"/>
      <c r="AA104" s="12" t="str">
        <f>"213.71"</f>
        <v>213.71</v>
      </c>
      <c r="AB104" s="12"/>
      <c r="AC104" s="12"/>
      <c r="AD104" s="12"/>
      <c r="AE104" s="12"/>
      <c r="AF104" s="12"/>
      <c r="AG104" s="12"/>
      <c r="AH104" s="12"/>
    </row>
    <row r="105" spans="1:34">
      <c r="A105" s="9">
        <v>103</v>
      </c>
      <c r="B105" s="9">
        <v>1490</v>
      </c>
      <c r="C105" s="9" t="s">
        <v>178</v>
      </c>
      <c r="D105" s="9" t="s">
        <v>179</v>
      </c>
      <c r="E105" s="10" t="str">
        <f>"200.13"</f>
        <v>200.13</v>
      </c>
      <c r="F105" s="11" t="s">
        <v>40</v>
      </c>
      <c r="G105" s="11">
        <v>2017</v>
      </c>
      <c r="H105" s="12" t="str">
        <f>"160.13"</f>
        <v>160.13</v>
      </c>
      <c r="I105" s="12"/>
      <c r="J105" s="12"/>
      <c r="K105" s="12"/>
      <c r="L105" s="12"/>
      <c r="M105" s="12"/>
      <c r="N105" s="12"/>
      <c r="O105" s="12"/>
      <c r="P105" s="12"/>
      <c r="Q105" s="12"/>
      <c r="R105" s="12"/>
      <c r="S105" s="12"/>
      <c r="T105" s="12"/>
      <c r="U105" s="12"/>
      <c r="V105" s="12"/>
      <c r="W105" s="12"/>
      <c r="X105" s="12"/>
      <c r="Y105" s="12"/>
      <c r="Z105" s="12"/>
      <c r="AA105" s="12"/>
      <c r="AB105" s="12"/>
      <c r="AC105" s="12"/>
      <c r="AD105" s="12"/>
      <c r="AE105" s="12"/>
      <c r="AF105" s="12"/>
      <c r="AG105" s="12"/>
      <c r="AH105" s="12"/>
    </row>
    <row r="106" spans="1:34">
      <c r="A106" s="9">
        <v>104</v>
      </c>
      <c r="B106" s="9">
        <v>2023</v>
      </c>
      <c r="C106" s="9" t="s">
        <v>180</v>
      </c>
      <c r="D106" s="9" t="s">
        <v>181</v>
      </c>
      <c r="E106" s="10" t="str">
        <f>"200.96"</f>
        <v>200.96</v>
      </c>
      <c r="F106" s="11"/>
      <c r="G106" s="11">
        <v>2017</v>
      </c>
      <c r="H106" s="12" t="str">
        <f>"229.69"</f>
        <v>229.69</v>
      </c>
      <c r="I106" s="12"/>
      <c r="J106" s="12"/>
      <c r="K106" s="12"/>
      <c r="L106" s="12"/>
      <c r="M106" s="12"/>
      <c r="N106" s="12"/>
      <c r="O106" s="12"/>
      <c r="P106" s="12" t="str">
        <f>"202.02"</f>
        <v>202.02</v>
      </c>
      <c r="Q106" s="12"/>
      <c r="R106" s="12"/>
      <c r="S106" s="12"/>
      <c r="T106" s="12"/>
      <c r="U106" s="12"/>
      <c r="V106" s="12" t="str">
        <f>"199.89"</f>
        <v>199.89</v>
      </c>
      <c r="W106" s="12"/>
      <c r="X106" s="12"/>
      <c r="Y106" s="12"/>
      <c r="Z106" s="12"/>
      <c r="AA106" s="12"/>
      <c r="AB106" s="12"/>
      <c r="AC106" s="12"/>
      <c r="AD106" s="12"/>
      <c r="AE106" s="12"/>
      <c r="AF106" s="12"/>
      <c r="AG106" s="12"/>
      <c r="AH106" s="12"/>
    </row>
    <row r="107" spans="1:34">
      <c r="A107" s="9">
        <v>105</v>
      </c>
      <c r="B107" s="9">
        <v>11174</v>
      </c>
      <c r="C107" s="9" t="s">
        <v>182</v>
      </c>
      <c r="D107" s="9" t="s">
        <v>71</v>
      </c>
      <c r="E107" s="10" t="str">
        <f>"201.33"</f>
        <v>201.33</v>
      </c>
      <c r="F107" s="11"/>
      <c r="G107" s="11">
        <v>2017</v>
      </c>
      <c r="H107" s="12"/>
      <c r="I107" s="12"/>
      <c r="J107" s="12"/>
      <c r="K107" s="12"/>
      <c r="L107" s="12"/>
      <c r="M107" s="12"/>
      <c r="N107" s="12"/>
      <c r="O107" s="12"/>
      <c r="P107" s="12"/>
      <c r="Q107" s="12"/>
      <c r="R107" s="12"/>
      <c r="S107" s="12"/>
      <c r="T107" s="12"/>
      <c r="U107" s="12"/>
      <c r="V107" s="12"/>
      <c r="W107" s="12" t="str">
        <f>"311.42"</f>
        <v>311.42</v>
      </c>
      <c r="X107" s="12"/>
      <c r="Y107" s="12"/>
      <c r="Z107" s="12"/>
      <c r="AA107" s="12"/>
      <c r="AB107" s="12"/>
      <c r="AC107" s="12"/>
      <c r="AD107" s="12"/>
      <c r="AE107" s="12" t="str">
        <f>"205.73"</f>
        <v>205.73</v>
      </c>
      <c r="AF107" s="12" t="str">
        <f>"196.92"</f>
        <v>196.92</v>
      </c>
      <c r="AG107" s="12"/>
      <c r="AH107" s="12"/>
    </row>
    <row r="108" spans="1:34">
      <c r="A108" s="9">
        <v>106</v>
      </c>
      <c r="B108" s="9">
        <v>9955</v>
      </c>
      <c r="C108" s="9" t="s">
        <v>183</v>
      </c>
      <c r="D108" s="9" t="s">
        <v>147</v>
      </c>
      <c r="E108" s="10" t="str">
        <f>"202.16"</f>
        <v>202.16</v>
      </c>
      <c r="F108" s="11"/>
      <c r="G108" s="11">
        <v>2017</v>
      </c>
      <c r="H108" s="12" t="str">
        <f>"218.00"</f>
        <v>218.00</v>
      </c>
      <c r="I108" s="12"/>
      <c r="J108" s="12"/>
      <c r="K108" s="12"/>
      <c r="L108" s="12"/>
      <c r="M108" s="12"/>
      <c r="N108" s="12"/>
      <c r="O108" s="12"/>
      <c r="P108" s="12"/>
      <c r="Q108" s="12" t="str">
        <f>"207.65"</f>
        <v>207.65</v>
      </c>
      <c r="R108" s="12"/>
      <c r="S108" s="12"/>
      <c r="T108" s="12" t="str">
        <f>"196.66"</f>
        <v>196.66</v>
      </c>
      <c r="U108" s="12"/>
      <c r="V108" s="12"/>
      <c r="W108" s="12"/>
      <c r="X108" s="12"/>
      <c r="Y108" s="12"/>
      <c r="Z108" s="12"/>
      <c r="AA108" s="12"/>
      <c r="AB108" s="12"/>
      <c r="AC108" s="12"/>
      <c r="AD108" s="12"/>
      <c r="AE108" s="12"/>
      <c r="AF108" s="12"/>
      <c r="AG108" s="12"/>
      <c r="AH108" s="12"/>
    </row>
    <row r="109" spans="1:34">
      <c r="A109" s="9">
        <v>107</v>
      </c>
      <c r="B109" s="9">
        <v>4381</v>
      </c>
      <c r="C109" s="9" t="s">
        <v>184</v>
      </c>
      <c r="D109" s="9" t="s">
        <v>185</v>
      </c>
      <c r="E109" s="10" t="str">
        <f>"202.92"</f>
        <v>202.92</v>
      </c>
      <c r="F109" s="11" t="s">
        <v>37</v>
      </c>
      <c r="G109" s="11">
        <v>2017</v>
      </c>
      <c r="H109" s="12" t="str">
        <f>"218.82"</f>
        <v>218.82</v>
      </c>
      <c r="I109" s="12"/>
      <c r="J109" s="12"/>
      <c r="K109" s="12"/>
      <c r="L109" s="12"/>
      <c r="M109" s="12"/>
      <c r="N109" s="12"/>
      <c r="O109" s="12"/>
      <c r="P109" s="12"/>
      <c r="Q109" s="12"/>
      <c r="R109" s="12"/>
      <c r="S109" s="12"/>
      <c r="T109" s="12"/>
      <c r="U109" s="12"/>
      <c r="V109" s="12"/>
      <c r="W109" s="12"/>
      <c r="X109" s="12"/>
      <c r="Y109" s="12"/>
      <c r="Z109" s="12"/>
      <c r="AA109" s="12"/>
      <c r="AB109" s="12"/>
      <c r="AC109" s="12"/>
      <c r="AD109" s="12" t="str">
        <f>"162.92"</f>
        <v>162.92</v>
      </c>
      <c r="AE109" s="12"/>
      <c r="AF109" s="12"/>
      <c r="AG109" s="12"/>
      <c r="AH109" s="12"/>
    </row>
    <row r="110" spans="1:34">
      <c r="A110" s="9">
        <v>108</v>
      </c>
      <c r="B110" s="9">
        <v>6869</v>
      </c>
      <c r="C110" s="9" t="s">
        <v>186</v>
      </c>
      <c r="D110" s="9" t="s">
        <v>187</v>
      </c>
      <c r="E110" s="10" t="str">
        <f>"203.90"</f>
        <v>203.90</v>
      </c>
      <c r="F110" s="11"/>
      <c r="G110" s="11">
        <v>2017</v>
      </c>
      <c r="H110" s="12" t="str">
        <f>"300.76"</f>
        <v>300.76</v>
      </c>
      <c r="I110" s="12"/>
      <c r="J110" s="12"/>
      <c r="K110" s="12"/>
      <c r="L110" s="12"/>
      <c r="M110" s="12"/>
      <c r="N110" s="12"/>
      <c r="O110" s="12" t="str">
        <f>"213.96"</f>
        <v>213.96</v>
      </c>
      <c r="P110" s="12"/>
      <c r="Q110" s="12"/>
      <c r="R110" s="12"/>
      <c r="S110" s="12"/>
      <c r="T110" s="12"/>
      <c r="U110" s="12"/>
      <c r="V110" s="12"/>
      <c r="W110" s="12"/>
      <c r="X110" s="12"/>
      <c r="Y110" s="12"/>
      <c r="Z110" s="12"/>
      <c r="AA110" s="12"/>
      <c r="AB110" s="12"/>
      <c r="AC110" s="12"/>
      <c r="AD110" s="12"/>
      <c r="AE110" s="12"/>
      <c r="AF110" s="12" t="str">
        <f>"193.84"</f>
        <v>193.84</v>
      </c>
      <c r="AG110" s="12"/>
      <c r="AH110" s="12"/>
    </row>
    <row r="111" spans="1:34">
      <c r="A111" s="9">
        <v>109</v>
      </c>
      <c r="B111" s="9">
        <v>3902</v>
      </c>
      <c r="C111" s="9" t="s">
        <v>188</v>
      </c>
      <c r="D111" s="9" t="s">
        <v>189</v>
      </c>
      <c r="E111" s="10" t="str">
        <f>"204.08"</f>
        <v>204.08</v>
      </c>
      <c r="F111" s="11"/>
      <c r="G111" s="11">
        <v>2017</v>
      </c>
      <c r="H111" s="12" t="str">
        <f>"164.11"</f>
        <v>164.11</v>
      </c>
      <c r="I111" s="12"/>
      <c r="J111" s="12" t="str">
        <f>"191.15"</f>
        <v>191.15</v>
      </c>
      <c r="K111" s="12"/>
      <c r="L111" s="12"/>
      <c r="M111" s="12"/>
      <c r="N111" s="12"/>
      <c r="O111" s="12"/>
      <c r="P111" s="12"/>
      <c r="Q111" s="12"/>
      <c r="R111" s="12"/>
      <c r="S111" s="12"/>
      <c r="T111" s="12"/>
      <c r="U111" s="12"/>
      <c r="V111" s="12"/>
      <c r="W111" s="12"/>
      <c r="X111" s="12" t="str">
        <f>"234.60"</f>
        <v>234.60</v>
      </c>
      <c r="Y111" s="12" t="str">
        <f>"217.01"</f>
        <v>217.01</v>
      </c>
      <c r="Z111" s="12"/>
      <c r="AA111" s="12"/>
      <c r="AB111" s="12"/>
      <c r="AC111" s="12"/>
      <c r="AD111" s="12"/>
      <c r="AE111" s="12"/>
      <c r="AF111" s="12"/>
      <c r="AG111" s="12"/>
      <c r="AH111" s="12"/>
    </row>
    <row r="112" spans="1:34">
      <c r="A112" s="9">
        <v>110</v>
      </c>
      <c r="B112" s="9">
        <v>3075</v>
      </c>
      <c r="C112" s="9" t="s">
        <v>190</v>
      </c>
      <c r="D112" s="9" t="s">
        <v>191</v>
      </c>
      <c r="E112" s="10" t="str">
        <f>"204.30"</f>
        <v>204.30</v>
      </c>
      <c r="F112" s="11"/>
      <c r="G112" s="11">
        <v>2017</v>
      </c>
      <c r="H112" s="12" t="str">
        <f>"307.13"</f>
        <v>307.13</v>
      </c>
      <c r="I112" s="12"/>
      <c r="J112" s="12"/>
      <c r="K112" s="12"/>
      <c r="L112" s="12"/>
      <c r="M112" s="12"/>
      <c r="N112" s="12"/>
      <c r="O112" s="12"/>
      <c r="P112" s="12"/>
      <c r="Q112" s="12"/>
      <c r="R112" s="12"/>
      <c r="S112" s="12"/>
      <c r="T112" s="12"/>
      <c r="U112" s="12"/>
      <c r="V112" s="12"/>
      <c r="W112" s="12"/>
      <c r="X112" s="12" t="str">
        <f>"232.00"</f>
        <v>232.00</v>
      </c>
      <c r="Y112" s="12" t="str">
        <f>"177.14"</f>
        <v>177.14</v>
      </c>
      <c r="Z112" s="12"/>
      <c r="AA112" s="12"/>
      <c r="AB112" s="12"/>
      <c r="AC112" s="12" t="str">
        <f>"231.45"</f>
        <v>231.45</v>
      </c>
      <c r="AD112" s="12"/>
      <c r="AE112" s="12"/>
      <c r="AF112" s="12"/>
      <c r="AG112" s="12"/>
      <c r="AH112" s="12"/>
    </row>
    <row r="113" spans="1:34">
      <c r="A113" s="9">
        <v>111</v>
      </c>
      <c r="B113" s="9">
        <v>6972</v>
      </c>
      <c r="C113" s="9" t="s">
        <v>192</v>
      </c>
      <c r="D113" s="9" t="s">
        <v>189</v>
      </c>
      <c r="E113" s="10" t="str">
        <f>"205.01"</f>
        <v>205.01</v>
      </c>
      <c r="F113" s="11"/>
      <c r="G113" s="11">
        <v>2017</v>
      </c>
      <c r="H113" s="12" t="str">
        <f>"198.61"</f>
        <v>198.61</v>
      </c>
      <c r="I113" s="12"/>
      <c r="J113" s="12"/>
      <c r="K113" s="12"/>
      <c r="L113" s="12"/>
      <c r="M113" s="12"/>
      <c r="N113" s="12"/>
      <c r="O113" s="12" t="str">
        <f>"229.64"</f>
        <v>229.64</v>
      </c>
      <c r="P113" s="12"/>
      <c r="Q113" s="12"/>
      <c r="R113" s="12"/>
      <c r="S113" s="12"/>
      <c r="T113" s="12"/>
      <c r="U113" s="12"/>
      <c r="V113" s="12" t="str">
        <f>"180.38"</f>
        <v>180.38</v>
      </c>
      <c r="W113" s="12"/>
      <c r="X113" s="12"/>
      <c r="Y113" s="12"/>
      <c r="Z113" s="12"/>
      <c r="AA113" s="12"/>
      <c r="AB113" s="12"/>
      <c r="AC113" s="12"/>
      <c r="AD113" s="12"/>
      <c r="AE113" s="12"/>
      <c r="AF113" s="12"/>
      <c r="AG113" s="12"/>
      <c r="AH113" s="12"/>
    </row>
    <row r="114" spans="1:34">
      <c r="A114" s="9">
        <v>112</v>
      </c>
      <c r="B114" s="9">
        <v>5448</v>
      </c>
      <c r="C114" s="9" t="s">
        <v>193</v>
      </c>
      <c r="D114" s="9" t="s">
        <v>64</v>
      </c>
      <c r="E114" s="10" t="str">
        <f>"205.17"</f>
        <v>205.17</v>
      </c>
      <c r="F114" s="11"/>
      <c r="G114" s="11">
        <v>2017</v>
      </c>
      <c r="H114" s="12" t="str">
        <f>"172.23"</f>
        <v>172.23</v>
      </c>
      <c r="I114" s="12" t="str">
        <f>"214.06"</f>
        <v>214.06</v>
      </c>
      <c r="J114" s="12" t="str">
        <f>"234.87"</f>
        <v>234.87</v>
      </c>
      <c r="K114" s="12" t="str">
        <f>"228.49"</f>
        <v>228.49</v>
      </c>
      <c r="L114" s="12" t="str">
        <f>"209.63"</f>
        <v>209.63</v>
      </c>
      <c r="M114" s="12"/>
      <c r="N114" s="12"/>
      <c r="O114" s="12"/>
      <c r="P114" s="12" t="str">
        <f>"218.62"</f>
        <v>218.62</v>
      </c>
      <c r="Q114" s="12"/>
      <c r="R114" s="12"/>
      <c r="S114" s="12"/>
      <c r="T114" s="12"/>
      <c r="U114" s="12"/>
      <c r="V114" s="12" t="str">
        <f>"205.82"</f>
        <v>205.82</v>
      </c>
      <c r="W114" s="12"/>
      <c r="X114" s="12" t="str">
        <f>"259.23"</f>
        <v>259.23</v>
      </c>
      <c r="Y114" s="12" t="str">
        <f>"236.01"</f>
        <v>236.01</v>
      </c>
      <c r="Z114" s="12"/>
      <c r="AA114" s="12"/>
      <c r="AB114" s="12"/>
      <c r="AC114" s="12"/>
      <c r="AD114" s="12" t="str">
        <f>"204.52"</f>
        <v>204.52</v>
      </c>
      <c r="AE114" s="12"/>
      <c r="AF114" s="12"/>
      <c r="AG114" s="12"/>
      <c r="AH114" s="12"/>
    </row>
    <row r="115" spans="1:34">
      <c r="A115" s="9">
        <v>113</v>
      </c>
      <c r="B115" s="9">
        <v>10149</v>
      </c>
      <c r="C115" s="9" t="s">
        <v>194</v>
      </c>
      <c r="D115" s="9" t="s">
        <v>39</v>
      </c>
      <c r="E115" s="10" t="str">
        <f>"205.18"</f>
        <v>205.18</v>
      </c>
      <c r="F115" s="11"/>
      <c r="G115" s="11">
        <v>2017</v>
      </c>
      <c r="H115" s="12" t="str">
        <f>"314.34"</f>
        <v>314.34</v>
      </c>
      <c r="I115" s="12"/>
      <c r="J115" s="12"/>
      <c r="K115" s="12"/>
      <c r="L115" s="12"/>
      <c r="M115" s="12"/>
      <c r="N115" s="12"/>
      <c r="O115" s="12"/>
      <c r="P115" s="12"/>
      <c r="Q115" s="12"/>
      <c r="R115" s="12"/>
      <c r="S115" s="12"/>
      <c r="T115" s="12"/>
      <c r="U115" s="12"/>
      <c r="V115" s="12"/>
      <c r="W115" s="12"/>
      <c r="X115" s="12"/>
      <c r="Y115" s="12"/>
      <c r="Z115" s="12"/>
      <c r="AA115" s="12"/>
      <c r="AB115" s="12"/>
      <c r="AC115" s="12"/>
      <c r="AD115" s="12" t="str">
        <f>"201.62"</f>
        <v>201.62</v>
      </c>
      <c r="AE115" s="12"/>
      <c r="AF115" s="12" t="str">
        <f>"239.74"</f>
        <v>239.74</v>
      </c>
      <c r="AG115" s="12" t="str">
        <f>"208.73"</f>
        <v>208.73</v>
      </c>
      <c r="AH115" s="12" t="str">
        <f>"224.14"</f>
        <v>224.14</v>
      </c>
    </row>
    <row r="116" spans="1:34">
      <c r="A116" s="9">
        <v>114</v>
      </c>
      <c r="B116" s="9">
        <v>11051</v>
      </c>
      <c r="C116" s="9" t="s">
        <v>195</v>
      </c>
      <c r="D116" s="9" t="s">
        <v>48</v>
      </c>
      <c r="E116" s="10" t="str">
        <f>"205.51"</f>
        <v>205.51</v>
      </c>
      <c r="F116" s="11"/>
      <c r="G116" s="11">
        <v>2017</v>
      </c>
      <c r="H116" s="12" t="str">
        <f>"520.79"</f>
        <v>520.79</v>
      </c>
      <c r="I116" s="12"/>
      <c r="J116" s="12"/>
      <c r="K116" s="12"/>
      <c r="L116" s="12"/>
      <c r="M116" s="12"/>
      <c r="N116" s="12"/>
      <c r="O116" s="12"/>
      <c r="P116" s="12"/>
      <c r="Q116" s="12" t="str">
        <f>"251.08"</f>
        <v>251.08</v>
      </c>
      <c r="R116" s="12"/>
      <c r="S116" s="12" t="str">
        <f>"159.93"</f>
        <v>159.93</v>
      </c>
      <c r="T116" s="12"/>
      <c r="U116" s="12"/>
      <c r="V116" s="12"/>
      <c r="W116" s="12"/>
      <c r="X116" s="12"/>
      <c r="Y116" s="12"/>
      <c r="Z116" s="12"/>
      <c r="AA116" s="12"/>
      <c r="AB116" s="12"/>
      <c r="AC116" s="12"/>
      <c r="AD116" s="12"/>
      <c r="AE116" s="12"/>
      <c r="AF116" s="12"/>
      <c r="AG116" s="12"/>
      <c r="AH116" s="12"/>
    </row>
    <row r="117" spans="1:34">
      <c r="A117" s="9">
        <v>115</v>
      </c>
      <c r="B117" s="9">
        <v>11155</v>
      </c>
      <c r="C117" s="9" t="s">
        <v>196</v>
      </c>
      <c r="D117" s="9" t="s">
        <v>71</v>
      </c>
      <c r="E117" s="10" t="str">
        <f>"208.02"</f>
        <v>208.02</v>
      </c>
      <c r="F117" s="11"/>
      <c r="G117" s="11">
        <v>2017</v>
      </c>
      <c r="H117" s="12"/>
      <c r="I117" s="12"/>
      <c r="J117" s="12"/>
      <c r="K117" s="12"/>
      <c r="L117" s="12"/>
      <c r="M117" s="12"/>
      <c r="N117" s="12"/>
      <c r="O117" s="12" t="str">
        <f>"166.28"</f>
        <v>166.28</v>
      </c>
      <c r="P117" s="12"/>
      <c r="Q117" s="12"/>
      <c r="R117" s="12"/>
      <c r="S117" s="12"/>
      <c r="T117" s="12"/>
      <c r="U117" s="12"/>
      <c r="V117" s="12"/>
      <c r="W117" s="12" t="str">
        <f>"249.76"</f>
        <v>249.76</v>
      </c>
      <c r="X117" s="12"/>
      <c r="Y117" s="12"/>
      <c r="Z117" s="12"/>
      <c r="AA117" s="12"/>
      <c r="AB117" s="12"/>
      <c r="AC117" s="12"/>
      <c r="AD117" s="12"/>
      <c r="AE117" s="12"/>
      <c r="AF117" s="12"/>
      <c r="AG117" s="12"/>
      <c r="AH117" s="12"/>
    </row>
    <row r="118" spans="1:34">
      <c r="A118" s="9">
        <v>116</v>
      </c>
      <c r="B118" s="9">
        <v>11037</v>
      </c>
      <c r="C118" s="9" t="s">
        <v>197</v>
      </c>
      <c r="D118" s="9" t="s">
        <v>71</v>
      </c>
      <c r="E118" s="10" t="str">
        <f>"209.58"</f>
        <v>209.58</v>
      </c>
      <c r="F118" s="11"/>
      <c r="G118" s="11">
        <v>2017</v>
      </c>
      <c r="H118" s="12" t="str">
        <f>"223.42"</f>
        <v>223.42</v>
      </c>
      <c r="I118" s="12"/>
      <c r="J118" s="12"/>
      <c r="K118" s="12"/>
      <c r="L118" s="12"/>
      <c r="M118" s="12"/>
      <c r="N118" s="12"/>
      <c r="O118" s="12"/>
      <c r="P118" s="12"/>
      <c r="Q118" s="12"/>
      <c r="R118" s="12" t="str">
        <f>"232.63"</f>
        <v>232.63</v>
      </c>
      <c r="S118" s="12"/>
      <c r="T118" s="12"/>
      <c r="U118" s="12" t="str">
        <f>"217.60"</f>
        <v>217.60</v>
      </c>
      <c r="V118" s="12"/>
      <c r="W118" s="12" t="str">
        <f>"201.56"</f>
        <v>201.56</v>
      </c>
      <c r="X118" s="12"/>
      <c r="Y118" s="12"/>
      <c r="Z118" s="12"/>
      <c r="AA118" s="12"/>
      <c r="AB118" s="12"/>
      <c r="AC118" s="12"/>
      <c r="AD118" s="12"/>
      <c r="AE118" s="12"/>
      <c r="AF118" s="12"/>
      <c r="AG118" s="12"/>
      <c r="AH118" s="12"/>
    </row>
    <row r="119" spans="1:34">
      <c r="A119" s="9">
        <v>117</v>
      </c>
      <c r="B119" s="9">
        <v>5462</v>
      </c>
      <c r="C119" s="9" t="s">
        <v>198</v>
      </c>
      <c r="D119" s="9" t="s">
        <v>189</v>
      </c>
      <c r="E119" s="10" t="str">
        <f>"212.03"</f>
        <v>212.03</v>
      </c>
      <c r="F119" s="11"/>
      <c r="G119" s="11">
        <v>2017</v>
      </c>
      <c r="H119" s="12" t="str">
        <f>"217.28"</f>
        <v>217.28</v>
      </c>
      <c r="I119" s="12"/>
      <c r="J119" s="12"/>
      <c r="K119" s="12"/>
      <c r="L119" s="12"/>
      <c r="M119" s="12"/>
      <c r="N119" s="12"/>
      <c r="O119" s="12" t="str">
        <f>"206.24"</f>
        <v>206.24</v>
      </c>
      <c r="P119" s="12"/>
      <c r="Q119" s="12"/>
      <c r="R119" s="12"/>
      <c r="S119" s="12"/>
      <c r="T119" s="12"/>
      <c r="U119" s="12"/>
      <c r="V119" s="12" t="str">
        <f>"217.82"</f>
        <v>217.82</v>
      </c>
      <c r="W119" s="12"/>
      <c r="X119" s="12"/>
      <c r="Y119" s="12"/>
      <c r="Z119" s="12"/>
      <c r="AA119" s="12"/>
      <c r="AB119" s="12"/>
      <c r="AC119" s="12"/>
      <c r="AD119" s="12"/>
      <c r="AE119" s="12"/>
      <c r="AF119" s="12"/>
      <c r="AG119" s="12"/>
      <c r="AH119" s="12"/>
    </row>
    <row r="120" spans="1:34">
      <c r="A120" s="9">
        <v>118</v>
      </c>
      <c r="B120" s="9">
        <v>3870</v>
      </c>
      <c r="C120" s="9" t="s">
        <v>199</v>
      </c>
      <c r="D120" s="9" t="s">
        <v>137</v>
      </c>
      <c r="E120" s="10" t="str">
        <f>"212.72"</f>
        <v>212.72</v>
      </c>
      <c r="F120" s="11"/>
      <c r="G120" s="11">
        <v>2017</v>
      </c>
      <c r="H120" s="12" t="str">
        <f>"262.82"</f>
        <v>262.82</v>
      </c>
      <c r="I120" s="12"/>
      <c r="J120" s="12"/>
      <c r="K120" s="12"/>
      <c r="L120" s="12" t="str">
        <f>"226.72"</f>
        <v>226.72</v>
      </c>
      <c r="M120" s="12"/>
      <c r="N120" s="12"/>
      <c r="O120" s="12"/>
      <c r="P120" s="12"/>
      <c r="Q120" s="12"/>
      <c r="R120" s="12"/>
      <c r="S120" s="12"/>
      <c r="T120" s="12"/>
      <c r="U120" s="12"/>
      <c r="V120" s="12"/>
      <c r="W120" s="12"/>
      <c r="X120" s="12"/>
      <c r="Y120" s="12"/>
      <c r="Z120" s="12"/>
      <c r="AA120" s="12"/>
      <c r="AB120" s="12"/>
      <c r="AC120" s="12"/>
      <c r="AD120" s="12" t="str">
        <f>"198.71"</f>
        <v>198.71</v>
      </c>
      <c r="AE120" s="12"/>
      <c r="AF120" s="12"/>
      <c r="AG120" s="12"/>
      <c r="AH120" s="12"/>
    </row>
    <row r="121" spans="1:34">
      <c r="A121" s="9">
        <v>119</v>
      </c>
      <c r="B121" s="9">
        <v>10324</v>
      </c>
      <c r="C121" s="9" t="s">
        <v>200</v>
      </c>
      <c r="D121" s="9" t="s">
        <v>201</v>
      </c>
      <c r="E121" s="10" t="str">
        <f>"213.15"</f>
        <v>213.15</v>
      </c>
      <c r="F121" s="11"/>
      <c r="G121" s="11">
        <v>2017</v>
      </c>
      <c r="H121" s="12" t="str">
        <f>"251.11"</f>
        <v>251.11</v>
      </c>
      <c r="I121" s="12"/>
      <c r="J121" s="12"/>
      <c r="K121" s="12"/>
      <c r="L121" s="12"/>
      <c r="M121" s="12"/>
      <c r="N121" s="12"/>
      <c r="O121" s="12"/>
      <c r="P121" s="12"/>
      <c r="Q121" s="12" t="str">
        <f>"255.90"</f>
        <v>255.90</v>
      </c>
      <c r="R121" s="12"/>
      <c r="S121" s="12" t="str">
        <f>"170.40"</f>
        <v>170.40</v>
      </c>
      <c r="T121" s="12"/>
      <c r="U121" s="12"/>
      <c r="V121" s="12"/>
      <c r="W121" s="12"/>
      <c r="X121" s="12"/>
      <c r="Y121" s="12"/>
      <c r="Z121" s="12"/>
      <c r="AA121" s="12"/>
      <c r="AB121" s="12"/>
      <c r="AC121" s="12"/>
      <c r="AD121" s="12"/>
      <c r="AE121" s="12"/>
      <c r="AF121" s="12"/>
      <c r="AG121" s="12"/>
      <c r="AH121" s="12"/>
    </row>
    <row r="122" spans="1:34">
      <c r="A122" s="9">
        <v>120</v>
      </c>
      <c r="B122" s="9">
        <v>7582</v>
      </c>
      <c r="C122" s="9" t="s">
        <v>202</v>
      </c>
      <c r="D122" s="9" t="s">
        <v>203</v>
      </c>
      <c r="E122" s="10" t="str">
        <f>"214.00"</f>
        <v>214.00</v>
      </c>
      <c r="F122" s="11" t="s">
        <v>40</v>
      </c>
      <c r="G122" s="11">
        <v>2017</v>
      </c>
      <c r="H122" s="12" t="str">
        <f>"174.00"</f>
        <v>174.00</v>
      </c>
      <c r="I122" s="12"/>
      <c r="J122" s="12"/>
      <c r="K122" s="12"/>
      <c r="L122" s="12"/>
      <c r="M122" s="12"/>
      <c r="N122" s="12"/>
      <c r="O122" s="12"/>
      <c r="P122" s="12"/>
      <c r="Q122" s="12"/>
      <c r="R122" s="12"/>
      <c r="S122" s="12"/>
      <c r="T122" s="12"/>
      <c r="U122" s="12"/>
      <c r="V122" s="12"/>
      <c r="W122" s="12"/>
      <c r="X122" s="12"/>
      <c r="Y122" s="12"/>
      <c r="Z122" s="12"/>
      <c r="AA122" s="12"/>
      <c r="AB122" s="12"/>
      <c r="AC122" s="12"/>
      <c r="AD122" s="12"/>
      <c r="AE122" s="12"/>
      <c r="AF122" s="12"/>
      <c r="AG122" s="12"/>
      <c r="AH122" s="12"/>
    </row>
    <row r="123" spans="1:34">
      <c r="A123" s="9">
        <v>121</v>
      </c>
      <c r="B123" s="9">
        <v>5260</v>
      </c>
      <c r="C123" s="9" t="s">
        <v>204</v>
      </c>
      <c r="D123" s="9" t="s">
        <v>205</v>
      </c>
      <c r="E123" s="10" t="str">
        <f>"214.03"</f>
        <v>214.03</v>
      </c>
      <c r="F123" s="11"/>
      <c r="G123" s="11">
        <v>2017</v>
      </c>
      <c r="H123" s="12" t="str">
        <f>"171.60"</f>
        <v>171.60</v>
      </c>
      <c r="I123" s="12"/>
      <c r="J123" s="12"/>
      <c r="K123" s="12"/>
      <c r="L123" s="12"/>
      <c r="M123" s="12"/>
      <c r="N123" s="12"/>
      <c r="O123" s="12"/>
      <c r="P123" s="12"/>
      <c r="Q123" s="12"/>
      <c r="R123" s="12"/>
      <c r="S123" s="12"/>
      <c r="T123" s="12"/>
      <c r="U123" s="12"/>
      <c r="V123" s="12"/>
      <c r="W123" s="12"/>
      <c r="X123" s="12" t="str">
        <f>"221.58"</f>
        <v>221.58</v>
      </c>
      <c r="Y123" s="12" t="str">
        <f>"206.47"</f>
        <v>206.47</v>
      </c>
      <c r="Z123" s="12"/>
      <c r="AA123" s="12"/>
      <c r="AB123" s="12"/>
      <c r="AC123" s="12"/>
      <c r="AD123" s="12"/>
      <c r="AE123" s="12"/>
      <c r="AF123" s="12"/>
      <c r="AG123" s="12"/>
      <c r="AH123" s="12"/>
    </row>
    <row r="124" spans="1:34">
      <c r="A124" s="9">
        <v>122</v>
      </c>
      <c r="B124" s="9">
        <v>11101</v>
      </c>
      <c r="C124" s="9" t="s">
        <v>206</v>
      </c>
      <c r="D124" s="9" t="s">
        <v>71</v>
      </c>
      <c r="E124" s="10" t="str">
        <f>"215.71"</f>
        <v>215.71</v>
      </c>
      <c r="F124" s="11"/>
      <c r="G124" s="11">
        <v>2017</v>
      </c>
      <c r="H124" s="12" t="str">
        <f>"298.43"</f>
        <v>298.43</v>
      </c>
      <c r="I124" s="12"/>
      <c r="J124" s="12"/>
      <c r="K124" s="12"/>
      <c r="L124" s="12"/>
      <c r="M124" s="12"/>
      <c r="N124" s="12"/>
      <c r="O124" s="12"/>
      <c r="P124" s="12"/>
      <c r="Q124" s="12"/>
      <c r="R124" s="12" t="str">
        <f>"244.22"</f>
        <v>244.22</v>
      </c>
      <c r="S124" s="12"/>
      <c r="T124" s="12"/>
      <c r="U124" s="12"/>
      <c r="V124" s="12"/>
      <c r="W124" s="12" t="str">
        <f>"254.81"</f>
        <v>254.81</v>
      </c>
      <c r="X124" s="12" t="str">
        <f>"226.59"</f>
        <v>226.59</v>
      </c>
      <c r="Y124" s="12" t="str">
        <f>"204.82"</f>
        <v>204.82</v>
      </c>
      <c r="Z124" s="12"/>
      <c r="AA124" s="12"/>
      <c r="AB124" s="12"/>
      <c r="AC124" s="12"/>
      <c r="AD124" s="12" t="str">
        <f>"243.21"</f>
        <v>243.21</v>
      </c>
      <c r="AE124" s="12"/>
      <c r="AF124" s="12"/>
      <c r="AG124" s="12"/>
      <c r="AH124" s="12"/>
    </row>
    <row r="125" spans="1:34">
      <c r="A125" s="9">
        <v>123</v>
      </c>
      <c r="B125" s="9">
        <v>2217</v>
      </c>
      <c r="C125" s="9" t="s">
        <v>207</v>
      </c>
      <c r="D125" s="9" t="s">
        <v>208</v>
      </c>
      <c r="E125" s="10" t="str">
        <f>"216.67"</f>
        <v>216.67</v>
      </c>
      <c r="F125" s="11" t="s">
        <v>40</v>
      </c>
      <c r="G125" s="11">
        <v>2017</v>
      </c>
      <c r="H125" s="12" t="str">
        <f>"176.67"</f>
        <v>176.67</v>
      </c>
      <c r="I125" s="12"/>
      <c r="J125" s="12"/>
      <c r="K125" s="12"/>
      <c r="L125" s="12"/>
      <c r="M125" s="12"/>
      <c r="N125" s="12"/>
      <c r="O125" s="12"/>
      <c r="P125" s="12"/>
      <c r="Q125" s="12"/>
      <c r="R125" s="12"/>
      <c r="S125" s="12"/>
      <c r="T125" s="12"/>
      <c r="U125" s="12"/>
      <c r="V125" s="12"/>
      <c r="W125" s="12"/>
      <c r="X125" s="12"/>
      <c r="Y125" s="12"/>
      <c r="Z125" s="12"/>
      <c r="AA125" s="12"/>
      <c r="AB125" s="12"/>
      <c r="AC125" s="12"/>
      <c r="AD125" s="12"/>
      <c r="AE125" s="12"/>
      <c r="AF125" s="12"/>
      <c r="AG125" s="12"/>
      <c r="AH125" s="12"/>
    </row>
    <row r="126" spans="1:34">
      <c r="A126" s="9">
        <v>124</v>
      </c>
      <c r="B126" s="9">
        <v>5768</v>
      </c>
      <c r="C126" s="9" t="s">
        <v>209</v>
      </c>
      <c r="D126" s="9" t="s">
        <v>71</v>
      </c>
      <c r="E126" s="10" t="str">
        <f>"217.63"</f>
        <v>217.63</v>
      </c>
      <c r="F126" s="11"/>
      <c r="G126" s="11">
        <v>2017</v>
      </c>
      <c r="H126" s="12" t="str">
        <f>"245.21"</f>
        <v>245.21</v>
      </c>
      <c r="I126" s="12"/>
      <c r="J126" s="12"/>
      <c r="K126" s="12"/>
      <c r="L126" s="12"/>
      <c r="M126" s="12"/>
      <c r="N126" s="12"/>
      <c r="O126" s="12" t="str">
        <f>"200.43"</f>
        <v>200.43</v>
      </c>
      <c r="P126" s="12"/>
      <c r="Q126" s="12"/>
      <c r="R126" s="12" t="str">
        <f>"289.37"</f>
        <v>289.37</v>
      </c>
      <c r="S126" s="12"/>
      <c r="T126" s="12"/>
      <c r="U126" s="12" t="str">
        <f>"265.18"</f>
        <v>265.18</v>
      </c>
      <c r="V126" s="12"/>
      <c r="W126" s="12" t="str">
        <f>"234.82"</f>
        <v>234.82</v>
      </c>
      <c r="X126" s="12"/>
      <c r="Y126" s="12"/>
      <c r="Z126" s="12"/>
      <c r="AA126" s="12"/>
      <c r="AB126" s="12"/>
      <c r="AC126" s="12"/>
      <c r="AD126" s="12"/>
      <c r="AE126" s="12"/>
      <c r="AF126" s="12"/>
      <c r="AG126" s="12"/>
      <c r="AH126" s="12"/>
    </row>
    <row r="127" spans="1:34">
      <c r="A127" s="9">
        <v>125</v>
      </c>
      <c r="B127" s="9">
        <v>2469</v>
      </c>
      <c r="C127" s="9" t="s">
        <v>210</v>
      </c>
      <c r="D127" s="9" t="s">
        <v>211</v>
      </c>
      <c r="E127" s="10" t="str">
        <f>"224.32"</f>
        <v>224.32</v>
      </c>
      <c r="F127" s="11"/>
      <c r="G127" s="11">
        <v>2017</v>
      </c>
      <c r="H127" s="12" t="str">
        <f>"194.38"</f>
        <v>194.38</v>
      </c>
      <c r="I127" s="12"/>
      <c r="J127" s="12"/>
      <c r="K127" s="12"/>
      <c r="L127" s="12"/>
      <c r="M127" s="12"/>
      <c r="N127" s="12"/>
      <c r="O127" s="12"/>
      <c r="P127" s="12"/>
      <c r="Q127" s="12"/>
      <c r="R127" s="12"/>
      <c r="S127" s="12"/>
      <c r="T127" s="12"/>
      <c r="U127" s="12"/>
      <c r="V127" s="12"/>
      <c r="W127" s="12"/>
      <c r="X127" s="12" t="str">
        <f>"230.19"</f>
        <v>230.19</v>
      </c>
      <c r="Y127" s="12" t="str">
        <f>"218.45"</f>
        <v>218.45</v>
      </c>
      <c r="Z127" s="12"/>
      <c r="AA127" s="12"/>
      <c r="AB127" s="12"/>
      <c r="AC127" s="12"/>
      <c r="AD127" s="12"/>
      <c r="AE127" s="12"/>
      <c r="AF127" s="12"/>
      <c r="AG127" s="12"/>
      <c r="AH127" s="12"/>
    </row>
    <row r="128" spans="1:34">
      <c r="A128" s="9">
        <v>126</v>
      </c>
      <c r="B128" s="9">
        <v>5716</v>
      </c>
      <c r="C128" s="9" t="s">
        <v>212</v>
      </c>
      <c r="D128" s="9" t="s">
        <v>39</v>
      </c>
      <c r="E128" s="10" t="str">
        <f>"225.09"</f>
        <v>225.09</v>
      </c>
      <c r="F128" s="11" t="s">
        <v>37</v>
      </c>
      <c r="G128" s="11">
        <v>2017</v>
      </c>
      <c r="H128" s="12" t="str">
        <f>"206.68"</f>
        <v>206.68</v>
      </c>
      <c r="I128" s="12"/>
      <c r="J128" s="12"/>
      <c r="K128" s="12"/>
      <c r="L128" s="12"/>
      <c r="M128" s="12"/>
      <c r="N128" s="12" t="str">
        <f>"185.09"</f>
        <v>185.09</v>
      </c>
      <c r="O128" s="12"/>
      <c r="P128" s="12"/>
      <c r="Q128" s="12"/>
      <c r="R128" s="12"/>
      <c r="S128" s="12"/>
      <c r="T128" s="12"/>
      <c r="U128" s="12"/>
      <c r="V128" s="12"/>
      <c r="W128" s="12"/>
      <c r="X128" s="12"/>
      <c r="Y128" s="12"/>
      <c r="Z128" s="12"/>
      <c r="AA128" s="12"/>
      <c r="AB128" s="12"/>
      <c r="AC128" s="12"/>
      <c r="AD128" s="12"/>
      <c r="AE128" s="12"/>
      <c r="AF128" s="12"/>
      <c r="AG128" s="12"/>
      <c r="AH128" s="12"/>
    </row>
    <row r="129" spans="1:34">
      <c r="A129" s="9">
        <v>127</v>
      </c>
      <c r="B129" s="9">
        <v>10602</v>
      </c>
      <c r="C129" s="9" t="s">
        <v>213</v>
      </c>
      <c r="D129" s="9" t="s">
        <v>39</v>
      </c>
      <c r="E129" s="10" t="str">
        <f>"225.61"</f>
        <v>225.61</v>
      </c>
      <c r="F129" s="11"/>
      <c r="G129" s="11">
        <v>2017</v>
      </c>
      <c r="H129" s="12" t="str">
        <f>"239.36"</f>
        <v>239.36</v>
      </c>
      <c r="I129" s="12"/>
      <c r="J129" s="12"/>
      <c r="K129" s="12"/>
      <c r="L129" s="12"/>
      <c r="M129" s="12"/>
      <c r="N129" s="12" t="str">
        <f>"233.78"</f>
        <v>233.78</v>
      </c>
      <c r="O129" s="12"/>
      <c r="P129" s="12"/>
      <c r="Q129" s="12"/>
      <c r="R129" s="12"/>
      <c r="S129" s="12"/>
      <c r="T129" s="12"/>
      <c r="U129" s="12"/>
      <c r="V129" s="12"/>
      <c r="W129" s="12"/>
      <c r="X129" s="12"/>
      <c r="Y129" s="12"/>
      <c r="Z129" s="12"/>
      <c r="AA129" s="12" t="str">
        <f>"217.43"</f>
        <v>217.43</v>
      </c>
      <c r="AB129" s="12"/>
      <c r="AC129" s="12"/>
      <c r="AD129" s="12"/>
      <c r="AE129" s="12"/>
      <c r="AF129" s="12"/>
      <c r="AG129" s="12"/>
      <c r="AH129" s="12"/>
    </row>
    <row r="130" spans="1:34">
      <c r="A130" s="9">
        <v>128</v>
      </c>
      <c r="B130" s="9">
        <v>10713</v>
      </c>
      <c r="C130" s="9" t="s">
        <v>214</v>
      </c>
      <c r="D130" s="9" t="s">
        <v>215</v>
      </c>
      <c r="E130" s="10" t="str">
        <f>"225.74"</f>
        <v>225.74</v>
      </c>
      <c r="F130" s="11" t="s">
        <v>40</v>
      </c>
      <c r="G130" s="11">
        <v>2017</v>
      </c>
      <c r="H130" s="12" t="str">
        <f>"185.74"</f>
        <v>185.74</v>
      </c>
      <c r="I130" s="12"/>
      <c r="J130" s="12"/>
      <c r="K130" s="12"/>
      <c r="L130" s="12"/>
      <c r="M130" s="12"/>
      <c r="N130" s="12"/>
      <c r="O130" s="12"/>
      <c r="P130" s="12"/>
      <c r="Q130" s="12"/>
      <c r="R130" s="12"/>
      <c r="S130" s="12"/>
      <c r="T130" s="12"/>
      <c r="U130" s="12"/>
      <c r="V130" s="12"/>
      <c r="W130" s="12"/>
      <c r="X130" s="12"/>
      <c r="Y130" s="12"/>
      <c r="Z130" s="12"/>
      <c r="AA130" s="12"/>
      <c r="AB130" s="12"/>
      <c r="AC130" s="12"/>
      <c r="AD130" s="12"/>
      <c r="AE130" s="12"/>
      <c r="AF130" s="12"/>
      <c r="AG130" s="12"/>
      <c r="AH130" s="12"/>
    </row>
    <row r="131" spans="1:34">
      <c r="A131" s="9">
        <v>129</v>
      </c>
      <c r="B131" s="9">
        <v>3058</v>
      </c>
      <c r="C131" s="9" t="s">
        <v>216</v>
      </c>
      <c r="D131" s="9" t="s">
        <v>217</v>
      </c>
      <c r="E131" s="10" t="str">
        <f>"226.49"</f>
        <v>226.49</v>
      </c>
      <c r="F131" s="11" t="s">
        <v>40</v>
      </c>
      <c r="G131" s="11">
        <v>2017</v>
      </c>
      <c r="H131" s="12" t="str">
        <f>"186.49"</f>
        <v>186.49</v>
      </c>
      <c r="I131" s="12"/>
      <c r="J131" s="12"/>
      <c r="K131" s="12"/>
      <c r="L131" s="12"/>
      <c r="M131" s="12"/>
      <c r="N131" s="12"/>
      <c r="O131" s="12"/>
      <c r="P131" s="12"/>
      <c r="Q131" s="12"/>
      <c r="R131" s="12"/>
      <c r="S131" s="12"/>
      <c r="T131" s="12"/>
      <c r="U131" s="12"/>
      <c r="V131" s="12"/>
      <c r="W131" s="12"/>
      <c r="X131" s="12"/>
      <c r="Y131" s="12"/>
      <c r="Z131" s="12"/>
      <c r="AA131" s="12"/>
      <c r="AB131" s="12"/>
      <c r="AC131" s="12"/>
      <c r="AD131" s="12"/>
      <c r="AE131" s="12"/>
      <c r="AF131" s="12"/>
      <c r="AG131" s="12"/>
      <c r="AH131" s="12"/>
    </row>
    <row r="132" spans="1:34">
      <c r="A132" s="9">
        <v>130</v>
      </c>
      <c r="B132" s="9">
        <v>5479</v>
      </c>
      <c r="C132" s="9" t="s">
        <v>218</v>
      </c>
      <c r="D132" s="9" t="s">
        <v>53</v>
      </c>
      <c r="E132" s="10" t="str">
        <f>"227.69"</f>
        <v>227.69</v>
      </c>
      <c r="F132" s="11" t="s">
        <v>37</v>
      </c>
      <c r="G132" s="11">
        <v>2017</v>
      </c>
      <c r="H132" s="12" t="str">
        <f>"229.70"</f>
        <v>229.70</v>
      </c>
      <c r="I132" s="12"/>
      <c r="J132" s="12"/>
      <c r="K132" s="12"/>
      <c r="L132" s="12"/>
      <c r="M132" s="12"/>
      <c r="N132" s="12"/>
      <c r="O132" s="12"/>
      <c r="P132" s="12"/>
      <c r="Q132" s="12" t="str">
        <f>"187.69"</f>
        <v>187.69</v>
      </c>
      <c r="R132" s="12"/>
      <c r="S132" s="12"/>
      <c r="T132" s="12"/>
      <c r="U132" s="12"/>
      <c r="V132" s="12"/>
      <c r="W132" s="12"/>
      <c r="X132" s="12"/>
      <c r="Y132" s="12"/>
      <c r="Z132" s="12"/>
      <c r="AA132" s="12"/>
      <c r="AB132" s="12"/>
      <c r="AC132" s="12"/>
      <c r="AD132" s="12"/>
      <c r="AE132" s="12"/>
      <c r="AF132" s="12"/>
      <c r="AG132" s="12"/>
      <c r="AH132" s="12"/>
    </row>
    <row r="133" spans="1:34">
      <c r="A133" s="9">
        <v>131</v>
      </c>
      <c r="B133" s="9">
        <v>10846</v>
      </c>
      <c r="C133" s="9" t="s">
        <v>219</v>
      </c>
      <c r="D133" s="9" t="s">
        <v>39</v>
      </c>
      <c r="E133" s="10" t="str">
        <f>"227.81"</f>
        <v>227.81</v>
      </c>
      <c r="F133" s="11"/>
      <c r="G133" s="11">
        <v>2017</v>
      </c>
      <c r="H133" s="12" t="str">
        <f>"416.98"</f>
        <v>416.98</v>
      </c>
      <c r="I133" s="12" t="str">
        <f>"311.21"</f>
        <v>311.21</v>
      </c>
      <c r="J133" s="12" t="str">
        <f>"383.84"</f>
        <v>383.84</v>
      </c>
      <c r="K133" s="12"/>
      <c r="L133" s="12"/>
      <c r="M133" s="12" t="str">
        <f>"297.07"</f>
        <v>297.07</v>
      </c>
      <c r="N133" s="12" t="str">
        <f>"355.83"</f>
        <v>355.83</v>
      </c>
      <c r="O133" s="12"/>
      <c r="P133" s="12"/>
      <c r="Q133" s="12"/>
      <c r="R133" s="12"/>
      <c r="S133" s="12"/>
      <c r="T133" s="12"/>
      <c r="U133" s="12"/>
      <c r="V133" s="12"/>
      <c r="W133" s="12"/>
      <c r="X133" s="12"/>
      <c r="Y133" s="12"/>
      <c r="Z133" s="12" t="str">
        <f>"228.64"</f>
        <v>228.64</v>
      </c>
      <c r="AA133" s="12" t="str">
        <f>"272.07"</f>
        <v>272.07</v>
      </c>
      <c r="AB133" s="12"/>
      <c r="AC133" s="12"/>
      <c r="AD133" s="12"/>
      <c r="AE133" s="12"/>
      <c r="AF133" s="12"/>
      <c r="AG133" s="12" t="str">
        <f>"226.97"</f>
        <v>226.97</v>
      </c>
      <c r="AH133" s="12" t="str">
        <f>"258.64"</f>
        <v>258.64</v>
      </c>
    </row>
    <row r="134" spans="1:34">
      <c r="A134" s="9">
        <v>132</v>
      </c>
      <c r="B134" s="9">
        <v>10863</v>
      </c>
      <c r="C134" s="9" t="s">
        <v>220</v>
      </c>
      <c r="D134" s="9" t="s">
        <v>39</v>
      </c>
      <c r="E134" s="10" t="str">
        <f>"229.64"</f>
        <v>229.64</v>
      </c>
      <c r="F134" s="11"/>
      <c r="G134" s="11">
        <v>2017</v>
      </c>
      <c r="H134" s="12" t="str">
        <f>"292.83"</f>
        <v>292.83</v>
      </c>
      <c r="I134" s="12" t="str">
        <f>"219.49"</f>
        <v>219.49</v>
      </c>
      <c r="J134" s="12"/>
      <c r="K134" s="12"/>
      <c r="L134" s="12"/>
      <c r="M134" s="12" t="str">
        <f>"257.50"</f>
        <v>257.50</v>
      </c>
      <c r="N134" s="12" t="str">
        <f>"239.79"</f>
        <v>239.79</v>
      </c>
      <c r="O134" s="12"/>
      <c r="P134" s="12"/>
      <c r="Q134" s="12"/>
      <c r="R134" s="12"/>
      <c r="S134" s="12"/>
      <c r="T134" s="12"/>
      <c r="U134" s="12"/>
      <c r="V134" s="12"/>
      <c r="W134" s="12"/>
      <c r="X134" s="12"/>
      <c r="Y134" s="12"/>
      <c r="Z134" s="12"/>
      <c r="AA134" s="12"/>
      <c r="AB134" s="12"/>
      <c r="AC134" s="12"/>
      <c r="AD134" s="12"/>
      <c r="AE134" s="12"/>
      <c r="AF134" s="12"/>
      <c r="AG134" s="12"/>
      <c r="AH134" s="12"/>
    </row>
    <row r="135" spans="1:34">
      <c r="A135" s="9">
        <v>133</v>
      </c>
      <c r="B135" s="9">
        <v>2518</v>
      </c>
      <c r="C135" s="9" t="s">
        <v>221</v>
      </c>
      <c r="D135" s="9" t="s">
        <v>137</v>
      </c>
      <c r="E135" s="10" t="str">
        <f>"230.16"</f>
        <v>230.16</v>
      </c>
      <c r="F135" s="11"/>
      <c r="G135" s="11">
        <v>2017</v>
      </c>
      <c r="H135" s="12" t="str">
        <f>"219.92"</f>
        <v>219.92</v>
      </c>
      <c r="I135" s="12"/>
      <c r="J135" s="12"/>
      <c r="K135" s="12" t="str">
        <f>"303.31"</f>
        <v>303.31</v>
      </c>
      <c r="L135" s="12" t="str">
        <f>"234.68"</f>
        <v>234.68</v>
      </c>
      <c r="M135" s="12"/>
      <c r="N135" s="12"/>
      <c r="O135" s="12"/>
      <c r="P135" s="12"/>
      <c r="Q135" s="12"/>
      <c r="R135" s="12"/>
      <c r="S135" s="12"/>
      <c r="T135" s="12"/>
      <c r="U135" s="12"/>
      <c r="V135" s="12" t="str">
        <f>"225.63"</f>
        <v>225.63</v>
      </c>
      <c r="W135" s="12"/>
      <c r="X135" s="12"/>
      <c r="Y135" s="12"/>
      <c r="Z135" s="12"/>
      <c r="AA135" s="12"/>
      <c r="AB135" s="12"/>
      <c r="AC135" s="12"/>
      <c r="AD135" s="12"/>
      <c r="AE135" s="12"/>
      <c r="AF135" s="12"/>
      <c r="AG135" s="12"/>
      <c r="AH135" s="12"/>
    </row>
    <row r="136" spans="1:34">
      <c r="A136" s="9">
        <v>134</v>
      </c>
      <c r="B136" s="9">
        <v>10331</v>
      </c>
      <c r="C136" s="9" t="s">
        <v>222</v>
      </c>
      <c r="D136" s="9" t="s">
        <v>223</v>
      </c>
      <c r="E136" s="10" t="str">
        <f>"230.37"</f>
        <v>230.37</v>
      </c>
      <c r="F136" s="11"/>
      <c r="G136" s="11">
        <v>2017</v>
      </c>
      <c r="H136" s="12" t="str">
        <f>"361.57"</f>
        <v>361.57</v>
      </c>
      <c r="I136" s="12"/>
      <c r="J136" s="12"/>
      <c r="K136" s="12"/>
      <c r="L136" s="12"/>
      <c r="M136" s="12"/>
      <c r="N136" s="12"/>
      <c r="O136" s="12"/>
      <c r="P136" s="12"/>
      <c r="Q136" s="12"/>
      <c r="R136" s="12" t="str">
        <f>"217.61"</f>
        <v>217.61</v>
      </c>
      <c r="S136" s="12"/>
      <c r="T136" s="12"/>
      <c r="U136" s="12" t="str">
        <f>"243.12"</f>
        <v>243.12</v>
      </c>
      <c r="V136" s="12"/>
      <c r="W136" s="12"/>
      <c r="X136" s="12"/>
      <c r="Y136" s="12"/>
      <c r="Z136" s="12"/>
      <c r="AA136" s="12"/>
      <c r="AB136" s="12"/>
      <c r="AC136" s="12"/>
      <c r="AD136" s="12"/>
      <c r="AE136" s="12"/>
      <c r="AF136" s="12"/>
      <c r="AG136" s="12"/>
      <c r="AH136" s="12"/>
    </row>
    <row r="137" spans="1:34">
      <c r="A137" s="9">
        <v>135</v>
      </c>
      <c r="B137" s="9">
        <v>10987</v>
      </c>
      <c r="C137" s="9" t="s">
        <v>224</v>
      </c>
      <c r="D137" s="9" t="s">
        <v>181</v>
      </c>
      <c r="E137" s="10" t="str">
        <f>"232.03"</f>
        <v>232.03</v>
      </c>
      <c r="F137" s="11"/>
      <c r="G137" s="11">
        <v>2017</v>
      </c>
      <c r="H137" s="12" t="str">
        <f>"252.54"</f>
        <v>252.54</v>
      </c>
      <c r="I137" s="12"/>
      <c r="J137" s="12"/>
      <c r="K137" s="12"/>
      <c r="L137" s="12"/>
      <c r="M137" s="12"/>
      <c r="N137" s="12"/>
      <c r="O137" s="12"/>
      <c r="P137" s="12"/>
      <c r="Q137" s="12" t="str">
        <f>"228.78"</f>
        <v>228.78</v>
      </c>
      <c r="R137" s="12"/>
      <c r="S137" s="12"/>
      <c r="T137" s="12" t="str">
        <f>"235.27"</f>
        <v>235.27</v>
      </c>
      <c r="U137" s="12"/>
      <c r="V137" s="12"/>
      <c r="W137" s="12"/>
      <c r="X137" s="12"/>
      <c r="Y137" s="12"/>
      <c r="Z137" s="12"/>
      <c r="AA137" s="12"/>
      <c r="AB137" s="12"/>
      <c r="AC137" s="12"/>
      <c r="AD137" s="12"/>
      <c r="AE137" s="12"/>
      <c r="AF137" s="12"/>
      <c r="AG137" s="12"/>
      <c r="AH137" s="12"/>
    </row>
    <row r="138" spans="1:34">
      <c r="A138" s="9">
        <v>136</v>
      </c>
      <c r="B138" s="9">
        <v>7634</v>
      </c>
      <c r="C138" s="9" t="s">
        <v>225</v>
      </c>
      <c r="D138" s="9" t="s">
        <v>226</v>
      </c>
      <c r="E138" s="10" t="str">
        <f>"232.52"</f>
        <v>232.52</v>
      </c>
      <c r="F138" s="11"/>
      <c r="G138" s="11">
        <v>2017</v>
      </c>
      <c r="H138" s="12"/>
      <c r="I138" s="12"/>
      <c r="J138" s="12"/>
      <c r="K138" s="12"/>
      <c r="L138" s="12"/>
      <c r="M138" s="12"/>
      <c r="N138" s="12"/>
      <c r="O138" s="12"/>
      <c r="P138" s="12"/>
      <c r="Q138" s="12"/>
      <c r="R138" s="12"/>
      <c r="S138" s="12"/>
      <c r="T138" s="12"/>
      <c r="U138" s="12"/>
      <c r="V138" s="12"/>
      <c r="W138" s="12"/>
      <c r="X138" s="12" t="str">
        <f>"276.05"</f>
        <v>276.05</v>
      </c>
      <c r="Y138" s="12" t="str">
        <f>"231.47"</f>
        <v>231.47</v>
      </c>
      <c r="Z138" s="12"/>
      <c r="AA138" s="12"/>
      <c r="AB138" s="12" t="str">
        <f>"233.56"</f>
        <v>233.56</v>
      </c>
      <c r="AC138" s="12"/>
      <c r="AD138" s="12" t="str">
        <f>"244.02"</f>
        <v>244.02</v>
      </c>
      <c r="AE138" s="12"/>
      <c r="AF138" s="12"/>
      <c r="AG138" s="12"/>
      <c r="AH138" s="12"/>
    </row>
    <row r="139" spans="1:34">
      <c r="A139" s="9">
        <v>137</v>
      </c>
      <c r="B139" s="9">
        <v>2208</v>
      </c>
      <c r="C139" s="9" t="s">
        <v>227</v>
      </c>
      <c r="D139" s="9" t="s">
        <v>39</v>
      </c>
      <c r="E139" s="10" t="str">
        <f>"234.21"</f>
        <v>234.21</v>
      </c>
      <c r="F139" s="11"/>
      <c r="G139" s="11">
        <v>2017</v>
      </c>
      <c r="H139" s="12" t="str">
        <f>"304.62"</f>
        <v>304.62</v>
      </c>
      <c r="I139" s="12"/>
      <c r="J139" s="12"/>
      <c r="K139" s="12"/>
      <c r="L139" s="12"/>
      <c r="M139" s="12" t="str">
        <f>"293.19"</f>
        <v>293.19</v>
      </c>
      <c r="N139" s="12" t="str">
        <f>"280.33"</f>
        <v>280.33</v>
      </c>
      <c r="O139" s="12"/>
      <c r="P139" s="12"/>
      <c r="Q139" s="12"/>
      <c r="R139" s="12"/>
      <c r="S139" s="12"/>
      <c r="T139" s="12"/>
      <c r="U139" s="12"/>
      <c r="V139" s="12"/>
      <c r="W139" s="12"/>
      <c r="X139" s="12"/>
      <c r="Y139" s="12"/>
      <c r="Z139" s="12" t="str">
        <f>"248.69"</f>
        <v>248.69</v>
      </c>
      <c r="AA139" s="12" t="str">
        <f>"275.78"</f>
        <v>275.78</v>
      </c>
      <c r="AB139" s="12"/>
      <c r="AC139" s="12"/>
      <c r="AD139" s="12"/>
      <c r="AE139" s="12"/>
      <c r="AF139" s="12"/>
      <c r="AG139" s="12" t="str">
        <f>"228.66"</f>
        <v>228.66</v>
      </c>
      <c r="AH139" s="12" t="str">
        <f>"239.75"</f>
        <v>239.75</v>
      </c>
    </row>
    <row r="140" spans="1:34">
      <c r="A140" s="9">
        <v>138</v>
      </c>
      <c r="B140" s="9">
        <v>1281</v>
      </c>
      <c r="C140" s="9" t="s">
        <v>228</v>
      </c>
      <c r="D140" s="9" t="s">
        <v>229</v>
      </c>
      <c r="E140" s="10" t="str">
        <f>"235.26"</f>
        <v>235.26</v>
      </c>
      <c r="F140" s="11" t="s">
        <v>40</v>
      </c>
      <c r="G140" s="11">
        <v>2017</v>
      </c>
      <c r="H140" s="12" t="str">
        <f>"195.26"</f>
        <v>195.26</v>
      </c>
      <c r="I140" s="12"/>
      <c r="J140" s="12"/>
      <c r="K140" s="12"/>
      <c r="L140" s="12"/>
      <c r="M140" s="12"/>
      <c r="N140" s="12"/>
      <c r="O140" s="12"/>
      <c r="P140" s="12"/>
      <c r="Q140" s="12"/>
      <c r="R140" s="12"/>
      <c r="S140" s="12"/>
      <c r="T140" s="12"/>
      <c r="U140" s="12"/>
      <c r="V140" s="12"/>
      <c r="W140" s="12"/>
      <c r="X140" s="12"/>
      <c r="Y140" s="12"/>
      <c r="Z140" s="12"/>
      <c r="AA140" s="12"/>
      <c r="AB140" s="12"/>
      <c r="AC140" s="12"/>
      <c r="AD140" s="12"/>
      <c r="AE140" s="12"/>
      <c r="AF140" s="12"/>
      <c r="AG140" s="12"/>
      <c r="AH140" s="12"/>
    </row>
    <row r="141" spans="1:34">
      <c r="A141" s="9">
        <v>139</v>
      </c>
      <c r="B141" s="9">
        <v>2152</v>
      </c>
      <c r="C141" s="9" t="s">
        <v>230</v>
      </c>
      <c r="D141" s="9" t="s">
        <v>231</v>
      </c>
      <c r="E141" s="10" t="str">
        <f>"235.41"</f>
        <v>235.41</v>
      </c>
      <c r="F141" s="11" t="s">
        <v>40</v>
      </c>
      <c r="G141" s="11">
        <v>2017</v>
      </c>
      <c r="H141" s="12" t="str">
        <f>"195.41"</f>
        <v>195.41</v>
      </c>
      <c r="I141" s="12"/>
      <c r="J141" s="12"/>
      <c r="K141" s="12"/>
      <c r="L141" s="12"/>
      <c r="M141" s="12"/>
      <c r="N141" s="12"/>
      <c r="O141" s="12"/>
      <c r="P141" s="12"/>
      <c r="Q141" s="12"/>
      <c r="R141" s="12"/>
      <c r="S141" s="12"/>
      <c r="T141" s="12"/>
      <c r="U141" s="12"/>
      <c r="V141" s="12"/>
      <c r="W141" s="12"/>
      <c r="X141" s="12"/>
      <c r="Y141" s="12"/>
      <c r="Z141" s="12"/>
      <c r="AA141" s="12"/>
      <c r="AB141" s="12"/>
      <c r="AC141" s="12"/>
      <c r="AD141" s="12"/>
      <c r="AE141" s="12"/>
      <c r="AF141" s="12"/>
      <c r="AG141" s="12"/>
      <c r="AH141" s="12"/>
    </row>
    <row r="142" spans="1:34">
      <c r="A142" s="9">
        <v>140</v>
      </c>
      <c r="B142" s="9">
        <v>10263</v>
      </c>
      <c r="C142" s="9" t="s">
        <v>232</v>
      </c>
      <c r="D142" s="9" t="s">
        <v>53</v>
      </c>
      <c r="E142" s="10" t="str">
        <f>"235.81"</f>
        <v>235.81</v>
      </c>
      <c r="F142" s="11"/>
      <c r="G142" s="11">
        <v>2017</v>
      </c>
      <c r="H142" s="12" t="str">
        <f>"243.15"</f>
        <v>243.15</v>
      </c>
      <c r="I142" s="12" t="str">
        <f>"254.75"</f>
        <v>254.75</v>
      </c>
      <c r="J142" s="12" t="str">
        <f>"289.87"</f>
        <v>289.87</v>
      </c>
      <c r="K142" s="12"/>
      <c r="L142" s="12"/>
      <c r="M142" s="12"/>
      <c r="N142" s="12"/>
      <c r="O142" s="12" t="str">
        <f>"216.86"</f>
        <v>216.86</v>
      </c>
      <c r="P142" s="12"/>
      <c r="Q142" s="12"/>
      <c r="R142" s="12"/>
      <c r="S142" s="12"/>
      <c r="T142" s="12"/>
      <c r="U142" s="12"/>
      <c r="V142" s="12"/>
      <c r="W142" s="12"/>
      <c r="X142" s="12"/>
      <c r="Y142" s="12"/>
      <c r="Z142" s="12"/>
      <c r="AA142" s="12"/>
      <c r="AB142" s="12" t="str">
        <f>"260.48"</f>
        <v>260.48</v>
      </c>
      <c r="AC142" s="12"/>
      <c r="AD142" s="12"/>
      <c r="AE142" s="12"/>
      <c r="AF142" s="12"/>
      <c r="AG142" s="12"/>
      <c r="AH142" s="12"/>
    </row>
    <row r="143" spans="1:34">
      <c r="A143" s="9">
        <v>141</v>
      </c>
      <c r="B143" s="9">
        <v>5747</v>
      </c>
      <c r="C143" s="9" t="s">
        <v>233</v>
      </c>
      <c r="D143" s="9" t="s">
        <v>151</v>
      </c>
      <c r="E143" s="10" t="str">
        <f>"238.71"</f>
        <v>238.71</v>
      </c>
      <c r="F143" s="11" t="s">
        <v>37</v>
      </c>
      <c r="G143" s="11">
        <v>2017</v>
      </c>
      <c r="H143" s="12" t="str">
        <f>"277.03"</f>
        <v>277.03</v>
      </c>
      <c r="I143" s="12"/>
      <c r="J143" s="12"/>
      <c r="K143" s="12"/>
      <c r="L143" s="12"/>
      <c r="M143" s="12"/>
      <c r="N143" s="12"/>
      <c r="O143" s="12"/>
      <c r="P143" s="12"/>
      <c r="Q143" s="12"/>
      <c r="R143" s="12"/>
      <c r="S143" s="12"/>
      <c r="T143" s="12"/>
      <c r="U143" s="12"/>
      <c r="V143" s="12"/>
      <c r="W143" s="12"/>
      <c r="X143" s="12"/>
      <c r="Y143" s="12"/>
      <c r="Z143" s="12"/>
      <c r="AA143" s="12"/>
      <c r="AB143" s="12"/>
      <c r="AC143" s="12"/>
      <c r="AD143" s="12" t="str">
        <f>"198.71"</f>
        <v>198.71</v>
      </c>
      <c r="AE143" s="12"/>
      <c r="AF143" s="12"/>
      <c r="AG143" s="12"/>
      <c r="AH143" s="12"/>
    </row>
    <row r="144" spans="1:34">
      <c r="A144" s="9">
        <v>142</v>
      </c>
      <c r="B144" s="9">
        <v>11154</v>
      </c>
      <c r="C144" s="9" t="s">
        <v>234</v>
      </c>
      <c r="D144" s="9" t="s">
        <v>71</v>
      </c>
      <c r="E144" s="10" t="str">
        <f>"239.98"</f>
        <v>239.98</v>
      </c>
      <c r="F144" s="11"/>
      <c r="G144" s="11">
        <v>2017</v>
      </c>
      <c r="H144" s="12"/>
      <c r="I144" s="12"/>
      <c r="J144" s="12"/>
      <c r="K144" s="12"/>
      <c r="L144" s="12"/>
      <c r="M144" s="12"/>
      <c r="N144" s="12"/>
      <c r="O144" s="12"/>
      <c r="P144" s="12"/>
      <c r="Q144" s="12"/>
      <c r="R144" s="12"/>
      <c r="S144" s="12"/>
      <c r="T144" s="12"/>
      <c r="U144" s="12"/>
      <c r="V144" s="12"/>
      <c r="W144" s="12"/>
      <c r="X144" s="12" t="str">
        <f>"259.43"</f>
        <v>259.43</v>
      </c>
      <c r="Y144" s="12" t="str">
        <f>"220.52"</f>
        <v>220.52</v>
      </c>
      <c r="Z144" s="12"/>
      <c r="AA144" s="12"/>
      <c r="AB144" s="12"/>
      <c r="AC144" s="12"/>
      <c r="AD144" s="12"/>
      <c r="AE144" s="12"/>
      <c r="AF144" s="12"/>
      <c r="AG144" s="12"/>
      <c r="AH144" s="12"/>
    </row>
    <row r="145" spans="1:34">
      <c r="A145" s="9">
        <v>143</v>
      </c>
      <c r="B145" s="9">
        <v>3728</v>
      </c>
      <c r="C145" s="9" t="s">
        <v>235</v>
      </c>
      <c r="D145" s="9" t="s">
        <v>236</v>
      </c>
      <c r="E145" s="10" t="str">
        <f>"240.15"</f>
        <v>240.15</v>
      </c>
      <c r="F145" s="11"/>
      <c r="G145" s="11">
        <v>2017</v>
      </c>
      <c r="H145" s="12" t="str">
        <f>"252.28"</f>
        <v>252.28</v>
      </c>
      <c r="I145" s="12"/>
      <c r="J145" s="12"/>
      <c r="K145" s="12"/>
      <c r="L145" s="12"/>
      <c r="M145" s="12"/>
      <c r="N145" s="12"/>
      <c r="O145" s="12" t="str">
        <f>"207.51"</f>
        <v>207.51</v>
      </c>
      <c r="P145" s="12"/>
      <c r="Q145" s="12"/>
      <c r="R145" s="12"/>
      <c r="S145" s="12"/>
      <c r="T145" s="12"/>
      <c r="U145" s="12"/>
      <c r="V145" s="12"/>
      <c r="W145" s="12"/>
      <c r="X145" s="12" t="str">
        <f>"305.89"</f>
        <v>305.89</v>
      </c>
      <c r="Y145" s="12" t="str">
        <f>"272.78"</f>
        <v>272.78</v>
      </c>
      <c r="Z145" s="12"/>
      <c r="AA145" s="12"/>
      <c r="AB145" s="12"/>
      <c r="AC145" s="12"/>
      <c r="AD145" s="12" t="str">
        <f>"280.78"</f>
        <v>280.78</v>
      </c>
      <c r="AE145" s="12"/>
      <c r="AF145" s="12"/>
      <c r="AG145" s="12"/>
      <c r="AH145" s="12"/>
    </row>
    <row r="146" spans="1:34">
      <c r="A146" s="9">
        <v>144</v>
      </c>
      <c r="B146" s="9">
        <v>11150</v>
      </c>
      <c r="C146" s="9" t="s">
        <v>237</v>
      </c>
      <c r="D146" s="9" t="s">
        <v>71</v>
      </c>
      <c r="E146" s="10" t="str">
        <f>"244.60"</f>
        <v>244.60</v>
      </c>
      <c r="F146" s="11"/>
      <c r="G146" s="11">
        <v>2017</v>
      </c>
      <c r="H146" s="12"/>
      <c r="I146" s="12"/>
      <c r="J146" s="12"/>
      <c r="K146" s="12"/>
      <c r="L146" s="12"/>
      <c r="M146" s="12"/>
      <c r="N146" s="12"/>
      <c r="O146" s="12"/>
      <c r="P146" s="12"/>
      <c r="Q146" s="12"/>
      <c r="R146" s="12"/>
      <c r="S146" s="12"/>
      <c r="T146" s="12"/>
      <c r="U146" s="12" t="str">
        <f>"393.71"</f>
        <v>393.71</v>
      </c>
      <c r="V146" s="12"/>
      <c r="W146" s="12" t="str">
        <f>"396.44"</f>
        <v>396.44</v>
      </c>
      <c r="X146" s="12" t="str">
        <f>"322.11"</f>
        <v>322.11</v>
      </c>
      <c r="Y146" s="12" t="str">
        <f>"334.34"</f>
        <v>334.34</v>
      </c>
      <c r="Z146" s="12"/>
      <c r="AA146" s="12"/>
      <c r="AB146" s="12"/>
      <c r="AC146" s="12"/>
      <c r="AD146" s="12" t="str">
        <f>"234.35"</f>
        <v>234.35</v>
      </c>
      <c r="AE146" s="12"/>
      <c r="AF146" s="12" t="str">
        <f>"254.85"</f>
        <v>254.85</v>
      </c>
      <c r="AG146" s="12"/>
      <c r="AH146" s="12"/>
    </row>
    <row r="147" spans="1:34">
      <c r="A147" s="9">
        <v>145</v>
      </c>
      <c r="B147" s="9">
        <v>10711</v>
      </c>
      <c r="C147" s="9" t="s">
        <v>238</v>
      </c>
      <c r="D147" s="9" t="s">
        <v>71</v>
      </c>
      <c r="E147" s="10" t="str">
        <f>"244.77"</f>
        <v>244.77</v>
      </c>
      <c r="F147" s="11"/>
      <c r="G147" s="11">
        <v>2017</v>
      </c>
      <c r="H147" s="12" t="str">
        <f>"264.37"</f>
        <v>264.37</v>
      </c>
      <c r="I147" s="12"/>
      <c r="J147" s="12"/>
      <c r="K147" s="12"/>
      <c r="L147" s="12"/>
      <c r="M147" s="12"/>
      <c r="N147" s="12"/>
      <c r="O147" s="12"/>
      <c r="P147" s="12"/>
      <c r="Q147" s="12"/>
      <c r="R147" s="12"/>
      <c r="S147" s="12"/>
      <c r="T147" s="12"/>
      <c r="U147" s="12" t="str">
        <f>"223.33"</f>
        <v>223.33</v>
      </c>
      <c r="V147" s="12"/>
      <c r="W147" s="12" t="str">
        <f>"266.21"</f>
        <v>266.21</v>
      </c>
      <c r="X147" s="12"/>
      <c r="Y147" s="12"/>
      <c r="Z147" s="12"/>
      <c r="AA147" s="12"/>
      <c r="AB147" s="12"/>
      <c r="AC147" s="12"/>
      <c r="AD147" s="12"/>
      <c r="AE147" s="12"/>
      <c r="AF147" s="12"/>
      <c r="AG147" s="12"/>
      <c r="AH147" s="12"/>
    </row>
    <row r="148" spans="1:34">
      <c r="A148" s="9">
        <v>146</v>
      </c>
      <c r="B148" s="9">
        <v>7703</v>
      </c>
      <c r="C148" s="9" t="s">
        <v>239</v>
      </c>
      <c r="D148" s="9" t="s">
        <v>103</v>
      </c>
      <c r="E148" s="10" t="str">
        <f>"248.41"</f>
        <v>248.41</v>
      </c>
      <c r="F148" s="11" t="s">
        <v>40</v>
      </c>
      <c r="G148" s="11">
        <v>2017</v>
      </c>
      <c r="H148" s="12" t="str">
        <f>"208.41"</f>
        <v>208.41</v>
      </c>
      <c r="I148" s="12"/>
      <c r="J148" s="12"/>
      <c r="K148" s="12"/>
      <c r="L148" s="12"/>
      <c r="M148" s="12"/>
      <c r="N148" s="12"/>
      <c r="O148" s="12"/>
      <c r="P148" s="12"/>
      <c r="Q148" s="12"/>
      <c r="R148" s="12"/>
      <c r="S148" s="12"/>
      <c r="T148" s="12"/>
      <c r="U148" s="12"/>
      <c r="V148" s="12"/>
      <c r="W148" s="12"/>
      <c r="X148" s="12"/>
      <c r="Y148" s="12"/>
      <c r="Z148" s="12"/>
      <c r="AA148" s="12"/>
      <c r="AB148" s="12"/>
      <c r="AC148" s="12"/>
      <c r="AD148" s="12"/>
      <c r="AE148" s="12"/>
      <c r="AF148" s="12"/>
      <c r="AG148" s="12"/>
      <c r="AH148" s="12"/>
    </row>
    <row r="149" spans="1:34">
      <c r="A149" s="9">
        <v>147</v>
      </c>
      <c r="B149" s="9">
        <v>8379</v>
      </c>
      <c r="C149" s="9" t="s">
        <v>240</v>
      </c>
      <c r="D149" s="9" t="s">
        <v>236</v>
      </c>
      <c r="E149" s="10" t="str">
        <f>"249.46"</f>
        <v>249.46</v>
      </c>
      <c r="F149" s="11"/>
      <c r="G149" s="11">
        <v>2017</v>
      </c>
      <c r="H149" s="12" t="str">
        <f>"204.01"</f>
        <v>204.01</v>
      </c>
      <c r="I149" s="12"/>
      <c r="J149" s="12"/>
      <c r="K149" s="12"/>
      <c r="L149" s="12"/>
      <c r="M149" s="12"/>
      <c r="N149" s="12"/>
      <c r="O149" s="12"/>
      <c r="P149" s="12"/>
      <c r="Q149" s="12"/>
      <c r="R149" s="12"/>
      <c r="S149" s="12"/>
      <c r="T149" s="12"/>
      <c r="U149" s="12"/>
      <c r="V149" s="12"/>
      <c r="W149" s="12"/>
      <c r="X149" s="12" t="str">
        <f>"267.24"</f>
        <v>267.24</v>
      </c>
      <c r="Y149" s="12" t="str">
        <f>"231.67"</f>
        <v>231.67</v>
      </c>
      <c r="Z149" s="12"/>
      <c r="AA149" s="12"/>
      <c r="AB149" s="12"/>
      <c r="AC149" s="12"/>
      <c r="AD149" s="12"/>
      <c r="AE149" s="12"/>
      <c r="AF149" s="12"/>
      <c r="AG149" s="12"/>
      <c r="AH149" s="12"/>
    </row>
    <row r="150" spans="1:34">
      <c r="A150" s="9">
        <v>148</v>
      </c>
      <c r="B150" s="9">
        <v>3988</v>
      </c>
      <c r="C150" s="9" t="s">
        <v>241</v>
      </c>
      <c r="D150" s="9" t="s">
        <v>91</v>
      </c>
      <c r="E150" s="10" t="str">
        <f>"250.41"</f>
        <v>250.41</v>
      </c>
      <c r="F150" s="11"/>
      <c r="G150" s="11">
        <v>2017</v>
      </c>
      <c r="H150" s="12" t="str">
        <f>"228.80"</f>
        <v>228.80</v>
      </c>
      <c r="I150" s="12"/>
      <c r="J150" s="12"/>
      <c r="K150" s="12"/>
      <c r="L150" s="12"/>
      <c r="M150" s="12"/>
      <c r="N150" s="12"/>
      <c r="O150" s="12" t="str">
        <f>"250.25"</f>
        <v>250.25</v>
      </c>
      <c r="P150" s="12"/>
      <c r="Q150" s="12"/>
      <c r="R150" s="12"/>
      <c r="S150" s="12"/>
      <c r="T150" s="12"/>
      <c r="U150" s="12"/>
      <c r="V150" s="12"/>
      <c r="W150" s="12"/>
      <c r="X150" s="12" t="str">
        <f>"300.68"</f>
        <v>300.68</v>
      </c>
      <c r="Y150" s="12" t="str">
        <f>"272.58"</f>
        <v>272.58</v>
      </c>
      <c r="Z150" s="12"/>
      <c r="AA150" s="12"/>
      <c r="AB150" s="12" t="str">
        <f>"250.56"</f>
        <v>250.56</v>
      </c>
      <c r="AC150" s="12" t="str">
        <f>"298.34"</f>
        <v>298.34</v>
      </c>
      <c r="AD150" s="12" t="str">
        <f>"290.94"</f>
        <v>290.94</v>
      </c>
      <c r="AE150" s="12"/>
      <c r="AF150" s="12"/>
      <c r="AG150" s="12"/>
      <c r="AH150" s="12"/>
    </row>
    <row r="151" spans="1:34">
      <c r="A151" s="9">
        <v>149</v>
      </c>
      <c r="B151" s="9">
        <v>1164</v>
      </c>
      <c r="C151" s="9" t="s">
        <v>242</v>
      </c>
      <c r="D151" s="9" t="s">
        <v>243</v>
      </c>
      <c r="E151" s="10" t="str">
        <f>"251.66"</f>
        <v>251.66</v>
      </c>
      <c r="F151" s="11"/>
      <c r="G151" s="11">
        <v>2017</v>
      </c>
      <c r="H151" s="12" t="str">
        <f>"255.98"</f>
        <v>255.98</v>
      </c>
      <c r="I151" s="12"/>
      <c r="J151" s="12"/>
      <c r="K151" s="12" t="str">
        <f>"261.26"</f>
        <v>261.26</v>
      </c>
      <c r="L151" s="12" t="str">
        <f>"242.05"</f>
        <v>242.05</v>
      </c>
      <c r="M151" s="12"/>
      <c r="N151" s="12"/>
      <c r="O151" s="12"/>
      <c r="P151" s="12"/>
      <c r="Q151" s="12"/>
      <c r="R151" s="12"/>
      <c r="S151" s="12"/>
      <c r="T151" s="12"/>
      <c r="U151" s="12"/>
      <c r="V151" s="12"/>
      <c r="W151" s="12"/>
      <c r="X151" s="12"/>
      <c r="Y151" s="12"/>
      <c r="Z151" s="12"/>
      <c r="AA151" s="12"/>
      <c r="AB151" s="12"/>
      <c r="AC151" s="12"/>
      <c r="AD151" s="12"/>
      <c r="AE151" s="12"/>
      <c r="AF151" s="12"/>
      <c r="AG151" s="12"/>
      <c r="AH151" s="12"/>
    </row>
    <row r="152" spans="1:34">
      <c r="A152" s="9">
        <v>150</v>
      </c>
      <c r="B152" s="9">
        <v>2223</v>
      </c>
      <c r="C152" s="9" t="s">
        <v>244</v>
      </c>
      <c r="D152" s="9" t="s">
        <v>48</v>
      </c>
      <c r="E152" s="10" t="str">
        <f>"253.94"</f>
        <v>253.94</v>
      </c>
      <c r="F152" s="11"/>
      <c r="G152" s="11">
        <v>2017</v>
      </c>
      <c r="H152" s="12" t="str">
        <f>"266.05"</f>
        <v>266.05</v>
      </c>
      <c r="I152" s="12"/>
      <c r="J152" s="12"/>
      <c r="K152" s="12" t="str">
        <f>"304.91"</f>
        <v>304.91</v>
      </c>
      <c r="L152" s="12" t="str">
        <f>"290.82"</f>
        <v>290.82</v>
      </c>
      <c r="M152" s="12"/>
      <c r="N152" s="12"/>
      <c r="O152" s="12" t="str">
        <f>"233.81"</f>
        <v>233.81</v>
      </c>
      <c r="P152" s="12"/>
      <c r="Q152" s="12"/>
      <c r="R152" s="12"/>
      <c r="S152" s="12"/>
      <c r="T152" s="12"/>
      <c r="U152" s="12"/>
      <c r="V152" s="12" t="str">
        <f>"274.07"</f>
        <v>274.07</v>
      </c>
      <c r="W152" s="12"/>
      <c r="X152" s="12"/>
      <c r="Y152" s="12"/>
      <c r="Z152" s="12"/>
      <c r="AA152" s="12"/>
      <c r="AB152" s="12"/>
      <c r="AC152" s="12"/>
      <c r="AD152" s="12"/>
      <c r="AE152" s="12"/>
      <c r="AF152" s="12"/>
      <c r="AG152" s="12"/>
      <c r="AH152" s="12"/>
    </row>
    <row r="153" spans="1:34">
      <c r="A153" s="9">
        <v>151</v>
      </c>
      <c r="B153" s="9">
        <v>10322</v>
      </c>
      <c r="C153" s="9" t="s">
        <v>245</v>
      </c>
      <c r="D153" s="9" t="s">
        <v>236</v>
      </c>
      <c r="E153" s="10" t="str">
        <f>"254.85"</f>
        <v>254.85</v>
      </c>
      <c r="F153" s="11"/>
      <c r="G153" s="11">
        <v>2017</v>
      </c>
      <c r="H153" s="12" t="str">
        <f>"296.82"</f>
        <v>296.82</v>
      </c>
      <c r="I153" s="12"/>
      <c r="J153" s="12"/>
      <c r="K153" s="12"/>
      <c r="L153" s="12"/>
      <c r="M153" s="12"/>
      <c r="N153" s="12"/>
      <c r="O153" s="12" t="str">
        <f>"329.41"</f>
        <v>329.41</v>
      </c>
      <c r="P153" s="12"/>
      <c r="Q153" s="12"/>
      <c r="R153" s="12"/>
      <c r="S153" s="12"/>
      <c r="T153" s="12"/>
      <c r="U153" s="12"/>
      <c r="V153" s="12"/>
      <c r="W153" s="12"/>
      <c r="X153" s="12" t="str">
        <f>"329.31"</f>
        <v>329.31</v>
      </c>
      <c r="Y153" s="12" t="str">
        <f>"242.62"</f>
        <v>242.62</v>
      </c>
      <c r="Z153" s="12"/>
      <c r="AA153" s="12"/>
      <c r="AB153" s="12"/>
      <c r="AC153" s="12"/>
      <c r="AD153" s="12" t="str">
        <f>"267.08"</f>
        <v>267.08</v>
      </c>
      <c r="AE153" s="12"/>
      <c r="AF153" s="12"/>
      <c r="AG153" s="12"/>
      <c r="AH153" s="12"/>
    </row>
    <row r="154" spans="1:34">
      <c r="A154" s="9">
        <v>152</v>
      </c>
      <c r="B154" s="9">
        <v>10367</v>
      </c>
      <c r="C154" s="9" t="s">
        <v>246</v>
      </c>
      <c r="D154" s="9" t="s">
        <v>53</v>
      </c>
      <c r="E154" s="10" t="str">
        <f>"255.70"</f>
        <v>255.70</v>
      </c>
      <c r="F154" s="11"/>
      <c r="G154" s="11">
        <v>2017</v>
      </c>
      <c r="H154" s="12" t="str">
        <f>"255.67"</f>
        <v>255.67</v>
      </c>
      <c r="I154" s="12"/>
      <c r="J154" s="12"/>
      <c r="K154" s="12"/>
      <c r="L154" s="12"/>
      <c r="M154" s="12"/>
      <c r="N154" s="12"/>
      <c r="O154" s="12"/>
      <c r="P154" s="12"/>
      <c r="Q154" s="12" t="str">
        <f>"241.43"</f>
        <v>241.43</v>
      </c>
      <c r="R154" s="12"/>
      <c r="S154" s="12"/>
      <c r="T154" s="12" t="str">
        <f>"269.96"</f>
        <v>269.96</v>
      </c>
      <c r="U154" s="12"/>
      <c r="V154" s="12"/>
      <c r="W154" s="12"/>
      <c r="X154" s="12"/>
      <c r="Y154" s="12"/>
      <c r="Z154" s="12"/>
      <c r="AA154" s="12"/>
      <c r="AB154" s="12"/>
      <c r="AC154" s="12"/>
      <c r="AD154" s="12"/>
      <c r="AE154" s="12"/>
      <c r="AF154" s="12"/>
      <c r="AG154" s="12"/>
      <c r="AH154" s="12"/>
    </row>
    <row r="155" spans="1:34">
      <c r="A155" s="9">
        <v>153</v>
      </c>
      <c r="B155" s="9">
        <v>2876</v>
      </c>
      <c r="C155" s="9" t="s">
        <v>247</v>
      </c>
      <c r="D155" s="9" t="s">
        <v>248</v>
      </c>
      <c r="E155" s="10" t="str">
        <f>"255.81"</f>
        <v>255.81</v>
      </c>
      <c r="F155" s="11" t="s">
        <v>40</v>
      </c>
      <c r="G155" s="11">
        <v>2017</v>
      </c>
      <c r="H155" s="12" t="str">
        <f>"215.81"</f>
        <v>215.81</v>
      </c>
      <c r="I155" s="12"/>
      <c r="J155" s="12"/>
      <c r="K155" s="12"/>
      <c r="L155" s="12"/>
      <c r="M155" s="12"/>
      <c r="N155" s="12"/>
      <c r="O155" s="12"/>
      <c r="P155" s="12"/>
      <c r="Q155" s="12"/>
      <c r="R155" s="12"/>
      <c r="S155" s="12"/>
      <c r="T155" s="12"/>
      <c r="U155" s="12"/>
      <c r="V155" s="12"/>
      <c r="W155" s="12"/>
      <c r="X155" s="12"/>
      <c r="Y155" s="12"/>
      <c r="Z155" s="12"/>
      <c r="AA155" s="12"/>
      <c r="AB155" s="12"/>
      <c r="AC155" s="12"/>
      <c r="AD155" s="12"/>
      <c r="AE155" s="12"/>
      <c r="AF155" s="12"/>
      <c r="AG155" s="12"/>
      <c r="AH155" s="12"/>
    </row>
    <row r="156" spans="1:34">
      <c r="A156" s="9">
        <v>154</v>
      </c>
      <c r="B156" s="9">
        <v>3209</v>
      </c>
      <c r="C156" s="9" t="s">
        <v>249</v>
      </c>
      <c r="D156" s="9" t="s">
        <v>127</v>
      </c>
      <c r="E156" s="10" t="str">
        <f>"255.96"</f>
        <v>255.96</v>
      </c>
      <c r="F156" s="11" t="s">
        <v>40</v>
      </c>
      <c r="G156" s="11">
        <v>2017</v>
      </c>
      <c r="H156" s="12" t="str">
        <f>"215.96"</f>
        <v>215.96</v>
      </c>
      <c r="I156" s="12"/>
      <c r="J156" s="12"/>
      <c r="K156" s="12"/>
      <c r="L156" s="12"/>
      <c r="M156" s="12"/>
      <c r="N156" s="12"/>
      <c r="O156" s="12"/>
      <c r="P156" s="12"/>
      <c r="Q156" s="12"/>
      <c r="R156" s="12"/>
      <c r="S156" s="12"/>
      <c r="T156" s="12"/>
      <c r="U156" s="12"/>
      <c r="V156" s="12"/>
      <c r="W156" s="12"/>
      <c r="X156" s="12"/>
      <c r="Y156" s="12"/>
      <c r="Z156" s="12"/>
      <c r="AA156" s="12"/>
      <c r="AB156" s="12"/>
      <c r="AC156" s="12"/>
      <c r="AD156" s="12"/>
      <c r="AE156" s="12"/>
      <c r="AF156" s="12"/>
      <c r="AG156" s="12"/>
      <c r="AH156" s="12"/>
    </row>
    <row r="157" spans="1:34">
      <c r="A157" s="9">
        <v>155</v>
      </c>
      <c r="B157" s="9">
        <v>10742</v>
      </c>
      <c r="C157" s="9" t="s">
        <v>250</v>
      </c>
      <c r="D157" s="9" t="s">
        <v>71</v>
      </c>
      <c r="E157" s="10" t="str">
        <f>"257.86"</f>
        <v>257.86</v>
      </c>
      <c r="F157" s="11"/>
      <c r="G157" s="11">
        <v>2017</v>
      </c>
      <c r="H157" s="12" t="str">
        <f>"312.88"</f>
        <v>312.88</v>
      </c>
      <c r="I157" s="12"/>
      <c r="J157" s="12"/>
      <c r="K157" s="12"/>
      <c r="L157" s="12"/>
      <c r="M157" s="12"/>
      <c r="N157" s="12"/>
      <c r="O157" s="12"/>
      <c r="P157" s="12"/>
      <c r="Q157" s="12"/>
      <c r="R157" s="12"/>
      <c r="S157" s="12"/>
      <c r="T157" s="12"/>
      <c r="U157" s="12"/>
      <c r="V157" s="12"/>
      <c r="W157" s="12" t="str">
        <f>"351.59"</f>
        <v>351.59</v>
      </c>
      <c r="X157" s="12" t="str">
        <f>"327.11"</f>
        <v>327.11</v>
      </c>
      <c r="Y157" s="12" t="str">
        <f>"280.22"</f>
        <v>280.22</v>
      </c>
      <c r="Z157" s="12"/>
      <c r="AA157" s="12"/>
      <c r="AB157" s="12"/>
      <c r="AC157" s="12"/>
      <c r="AD157" s="12"/>
      <c r="AE157" s="12"/>
      <c r="AF157" s="12" t="str">
        <f>"235.49"</f>
        <v>235.49</v>
      </c>
      <c r="AG157" s="12"/>
      <c r="AH157" s="12"/>
    </row>
    <row r="158" spans="1:34">
      <c r="A158" s="9">
        <v>156</v>
      </c>
      <c r="B158" s="9">
        <v>7791</v>
      </c>
      <c r="C158" s="9" t="s">
        <v>251</v>
      </c>
      <c r="D158" s="9" t="s">
        <v>48</v>
      </c>
      <c r="E158" s="10" t="str">
        <f>"258.46"</f>
        <v>258.46</v>
      </c>
      <c r="F158" s="11" t="s">
        <v>40</v>
      </c>
      <c r="G158" s="11">
        <v>2017</v>
      </c>
      <c r="H158" s="12" t="str">
        <f>"218.46"</f>
        <v>218.46</v>
      </c>
      <c r="I158" s="12"/>
      <c r="J158" s="12"/>
      <c r="K158" s="12"/>
      <c r="L158" s="12"/>
      <c r="M158" s="12"/>
      <c r="N158" s="12"/>
      <c r="O158" s="12"/>
      <c r="P158" s="12"/>
      <c r="Q158" s="12"/>
      <c r="R158" s="12"/>
      <c r="S158" s="12"/>
      <c r="T158" s="12"/>
      <c r="U158" s="12"/>
      <c r="V158" s="12"/>
      <c r="W158" s="12"/>
      <c r="X158" s="12"/>
      <c r="Y158" s="12"/>
      <c r="Z158" s="12"/>
      <c r="AA158" s="12"/>
      <c r="AB158" s="12"/>
      <c r="AC158" s="12"/>
      <c r="AD158" s="12"/>
      <c r="AE158" s="12"/>
      <c r="AF158" s="12"/>
      <c r="AG158" s="12"/>
      <c r="AH158" s="12"/>
    </row>
    <row r="159" spans="1:34">
      <c r="A159" s="9">
        <v>157</v>
      </c>
      <c r="B159" s="9">
        <v>517</v>
      </c>
      <c r="C159" s="9" t="s">
        <v>252</v>
      </c>
      <c r="D159" s="9" t="s">
        <v>253</v>
      </c>
      <c r="E159" s="10" t="str">
        <f>"259.28"</f>
        <v>259.28</v>
      </c>
      <c r="F159" s="11"/>
      <c r="G159" s="11">
        <v>2017</v>
      </c>
      <c r="H159" s="12" t="str">
        <f>"273.99"</f>
        <v>273.99</v>
      </c>
      <c r="I159" s="12"/>
      <c r="J159" s="12"/>
      <c r="K159" s="12" t="str">
        <f>"282.09"</f>
        <v>282.09</v>
      </c>
      <c r="L159" s="12" t="str">
        <f>"284.19"</f>
        <v>284.19</v>
      </c>
      <c r="M159" s="12"/>
      <c r="N159" s="12"/>
      <c r="O159" s="12" t="str">
        <f>"236.46"</f>
        <v>236.46</v>
      </c>
      <c r="P159" s="12"/>
      <c r="Q159" s="12"/>
      <c r="R159" s="12"/>
      <c r="S159" s="12"/>
      <c r="T159" s="12"/>
      <c r="U159" s="12"/>
      <c r="V159" s="12"/>
      <c r="W159" s="12"/>
      <c r="X159" s="12" t="str">
        <f>"347.94"</f>
        <v>347.94</v>
      </c>
      <c r="Y159" s="12" t="str">
        <f>"290.76"</f>
        <v>290.76</v>
      </c>
      <c r="Z159" s="12"/>
      <c r="AA159" s="12"/>
      <c r="AB159" s="12"/>
      <c r="AC159" s="12"/>
      <c r="AD159" s="12"/>
      <c r="AE159" s="12"/>
      <c r="AF159" s="12"/>
      <c r="AG159" s="12"/>
      <c r="AH159" s="12"/>
    </row>
    <row r="160" spans="1:34">
      <c r="A160" s="9">
        <v>158</v>
      </c>
      <c r="B160" s="9">
        <v>2336</v>
      </c>
      <c r="C160" s="9" t="s">
        <v>254</v>
      </c>
      <c r="D160" s="9" t="s">
        <v>255</v>
      </c>
      <c r="E160" s="10" t="str">
        <f>"259.70"</f>
        <v>259.70</v>
      </c>
      <c r="F160" s="11" t="s">
        <v>40</v>
      </c>
      <c r="G160" s="11">
        <v>2017</v>
      </c>
      <c r="H160" s="12" t="str">
        <f>"219.70"</f>
        <v>219.70</v>
      </c>
      <c r="I160" s="12"/>
      <c r="J160" s="12"/>
      <c r="K160" s="12"/>
      <c r="L160" s="12"/>
      <c r="M160" s="12"/>
      <c r="N160" s="12"/>
      <c r="O160" s="12"/>
      <c r="P160" s="12"/>
      <c r="Q160" s="12"/>
      <c r="R160" s="12"/>
      <c r="S160" s="12"/>
      <c r="T160" s="12"/>
      <c r="U160" s="12"/>
      <c r="V160" s="12"/>
      <c r="W160" s="12"/>
      <c r="X160" s="12"/>
      <c r="Y160" s="12"/>
      <c r="Z160" s="12"/>
      <c r="AA160" s="12"/>
      <c r="AB160" s="12"/>
      <c r="AC160" s="12"/>
      <c r="AD160" s="12"/>
      <c r="AE160" s="12"/>
      <c r="AF160" s="12"/>
      <c r="AG160" s="12"/>
      <c r="AH160" s="12"/>
    </row>
    <row r="161" spans="1:34">
      <c r="A161" s="9">
        <v>159</v>
      </c>
      <c r="B161" s="9">
        <v>10370</v>
      </c>
      <c r="C161" s="9" t="s">
        <v>256</v>
      </c>
      <c r="D161" s="9" t="s">
        <v>257</v>
      </c>
      <c r="E161" s="10" t="str">
        <f>"260.07"</f>
        <v>260.07</v>
      </c>
      <c r="F161" s="11"/>
      <c r="G161" s="11">
        <v>2017</v>
      </c>
      <c r="H161" s="12"/>
      <c r="I161" s="12"/>
      <c r="J161" s="12"/>
      <c r="K161" s="12"/>
      <c r="L161" s="12"/>
      <c r="M161" s="12"/>
      <c r="N161" s="12"/>
      <c r="O161" s="12"/>
      <c r="P161" s="12"/>
      <c r="Q161" s="12"/>
      <c r="R161" s="12"/>
      <c r="S161" s="12"/>
      <c r="T161" s="12"/>
      <c r="U161" s="12"/>
      <c r="V161" s="12"/>
      <c r="W161" s="12"/>
      <c r="X161" s="12" t="str">
        <f>"275.65"</f>
        <v>275.65</v>
      </c>
      <c r="Y161" s="12" t="str">
        <f>"244.48"</f>
        <v>244.48</v>
      </c>
      <c r="Z161" s="12"/>
      <c r="AA161" s="12"/>
      <c r="AB161" s="12"/>
      <c r="AC161" s="12"/>
      <c r="AD161" s="12"/>
      <c r="AE161" s="12"/>
      <c r="AF161" s="12"/>
      <c r="AG161" s="12"/>
      <c r="AH161" s="12"/>
    </row>
    <row r="162" spans="1:34">
      <c r="A162" s="9">
        <v>160</v>
      </c>
      <c r="B162" s="9">
        <v>3679</v>
      </c>
      <c r="C162" s="9" t="s">
        <v>258</v>
      </c>
      <c r="D162" s="9" t="s">
        <v>259</v>
      </c>
      <c r="E162" s="10" t="str">
        <f>"260.86"</f>
        <v>260.86</v>
      </c>
      <c r="F162" s="11" t="s">
        <v>37</v>
      </c>
      <c r="G162" s="11">
        <v>2017</v>
      </c>
      <c r="H162" s="12" t="str">
        <f>"205.97"</f>
        <v>205.97</v>
      </c>
      <c r="I162" s="12"/>
      <c r="J162" s="12"/>
      <c r="K162" s="12"/>
      <c r="L162" s="12"/>
      <c r="M162" s="12"/>
      <c r="N162" s="12"/>
      <c r="O162" s="12"/>
      <c r="P162" s="12"/>
      <c r="Q162" s="12"/>
      <c r="R162" s="12"/>
      <c r="S162" s="12"/>
      <c r="T162" s="12"/>
      <c r="U162" s="12"/>
      <c r="V162" s="12" t="str">
        <f>"220.86"</f>
        <v>220.86</v>
      </c>
      <c r="W162" s="12"/>
      <c r="X162" s="12"/>
      <c r="Y162" s="12"/>
      <c r="Z162" s="12"/>
      <c r="AA162" s="12"/>
      <c r="AB162" s="12"/>
      <c r="AC162" s="12"/>
      <c r="AD162" s="12"/>
      <c r="AE162" s="12"/>
      <c r="AF162" s="12"/>
      <c r="AG162" s="12"/>
      <c r="AH162" s="12"/>
    </row>
    <row r="163" spans="1:34">
      <c r="A163" s="9">
        <v>161</v>
      </c>
      <c r="B163" s="9">
        <v>10970</v>
      </c>
      <c r="C163" s="9" t="s">
        <v>260</v>
      </c>
      <c r="D163" s="9" t="s">
        <v>53</v>
      </c>
      <c r="E163" s="10" t="str">
        <f>"261.65"</f>
        <v>261.65</v>
      </c>
      <c r="F163" s="11" t="s">
        <v>40</v>
      </c>
      <c r="G163" s="11">
        <v>2017</v>
      </c>
      <c r="H163" s="12" t="str">
        <f>"221.65"</f>
        <v>221.65</v>
      </c>
      <c r="I163" s="12"/>
      <c r="J163" s="12"/>
      <c r="K163" s="12"/>
      <c r="L163" s="12"/>
      <c r="M163" s="12"/>
      <c r="N163" s="12"/>
      <c r="O163" s="12"/>
      <c r="P163" s="12"/>
      <c r="Q163" s="12"/>
      <c r="R163" s="12"/>
      <c r="S163" s="12"/>
      <c r="T163" s="12"/>
      <c r="U163" s="12"/>
      <c r="V163" s="12"/>
      <c r="W163" s="12"/>
      <c r="X163" s="12"/>
      <c r="Y163" s="12"/>
      <c r="Z163" s="12"/>
      <c r="AA163" s="12"/>
      <c r="AB163" s="12"/>
      <c r="AC163" s="12"/>
      <c r="AD163" s="12"/>
      <c r="AE163" s="12"/>
      <c r="AF163" s="12"/>
      <c r="AG163" s="12"/>
      <c r="AH163" s="12"/>
    </row>
    <row r="164" spans="1:34">
      <c r="A164" s="9">
        <v>162</v>
      </c>
      <c r="B164" s="9">
        <v>11042</v>
      </c>
      <c r="C164" s="9" t="s">
        <v>261</v>
      </c>
      <c r="D164" s="9" t="s">
        <v>48</v>
      </c>
      <c r="E164" s="10" t="str">
        <f>"263.96"</f>
        <v>263.96</v>
      </c>
      <c r="F164" s="11" t="s">
        <v>37</v>
      </c>
      <c r="G164" s="11">
        <v>2017</v>
      </c>
      <c r="H164" s="12" t="str">
        <f>"297.95"</f>
        <v>297.95</v>
      </c>
      <c r="I164" s="12"/>
      <c r="J164" s="12"/>
      <c r="K164" s="12"/>
      <c r="L164" s="12"/>
      <c r="M164" s="12"/>
      <c r="N164" s="12"/>
      <c r="O164" s="12"/>
      <c r="P164" s="12"/>
      <c r="Q164" s="12" t="str">
        <f>"223.96"</f>
        <v>223.96</v>
      </c>
      <c r="R164" s="12"/>
      <c r="S164" s="12"/>
      <c r="T164" s="12"/>
      <c r="U164" s="12"/>
      <c r="V164" s="12"/>
      <c r="W164" s="12"/>
      <c r="X164" s="12"/>
      <c r="Y164" s="12"/>
      <c r="Z164" s="12"/>
      <c r="AA164" s="12"/>
      <c r="AB164" s="12"/>
      <c r="AC164" s="12"/>
      <c r="AD164" s="12"/>
      <c r="AE164" s="12"/>
      <c r="AF164" s="12"/>
      <c r="AG164" s="12"/>
      <c r="AH164" s="12"/>
    </row>
    <row r="165" spans="1:34">
      <c r="A165" s="9">
        <v>163</v>
      </c>
      <c r="B165" s="9">
        <v>11015</v>
      </c>
      <c r="C165" s="9" t="s">
        <v>262</v>
      </c>
      <c r="D165" s="9" t="s">
        <v>53</v>
      </c>
      <c r="E165" s="10" t="str">
        <f>"265.04"</f>
        <v>265.04</v>
      </c>
      <c r="F165" s="11"/>
      <c r="G165" s="11">
        <v>2017</v>
      </c>
      <c r="H165" s="12" t="str">
        <f>"257.81"</f>
        <v>257.81</v>
      </c>
      <c r="I165" s="12"/>
      <c r="J165" s="12"/>
      <c r="K165" s="12"/>
      <c r="L165" s="12"/>
      <c r="M165" s="12"/>
      <c r="N165" s="12"/>
      <c r="O165" s="12"/>
      <c r="P165" s="12"/>
      <c r="Q165" s="12" t="str">
        <f>"316.13"</f>
        <v>316.13</v>
      </c>
      <c r="R165" s="12"/>
      <c r="S165" s="12"/>
      <c r="T165" s="12" t="str">
        <f>"213.94"</f>
        <v>213.94</v>
      </c>
      <c r="U165" s="12"/>
      <c r="V165" s="12"/>
      <c r="W165" s="12"/>
      <c r="X165" s="12"/>
      <c r="Y165" s="12"/>
      <c r="Z165" s="12"/>
      <c r="AA165" s="12"/>
      <c r="AB165" s="12"/>
      <c r="AC165" s="12"/>
      <c r="AD165" s="12"/>
      <c r="AE165" s="12"/>
      <c r="AF165" s="12"/>
      <c r="AG165" s="12"/>
      <c r="AH165" s="12"/>
    </row>
    <row r="166" spans="1:34">
      <c r="A166" s="9">
        <v>164</v>
      </c>
      <c r="B166" s="9">
        <v>1832</v>
      </c>
      <c r="C166" s="9" t="s">
        <v>263</v>
      </c>
      <c r="D166" s="9" t="s">
        <v>243</v>
      </c>
      <c r="E166" s="10" t="str">
        <f>"265.16"</f>
        <v>265.16</v>
      </c>
      <c r="F166" s="11"/>
      <c r="G166" s="11">
        <v>2017</v>
      </c>
      <c r="H166" s="12" t="str">
        <f>"268.90"</f>
        <v>268.90</v>
      </c>
      <c r="I166" s="12"/>
      <c r="J166" s="12"/>
      <c r="K166" s="12" t="str">
        <f>"290.18"</f>
        <v>290.18</v>
      </c>
      <c r="L166" s="12" t="str">
        <f>"240.13"</f>
        <v>240.13</v>
      </c>
      <c r="M166" s="12"/>
      <c r="N166" s="12"/>
      <c r="O166" s="12"/>
      <c r="P166" s="12"/>
      <c r="Q166" s="12"/>
      <c r="R166" s="12"/>
      <c r="S166" s="12"/>
      <c r="T166" s="12"/>
      <c r="U166" s="12"/>
      <c r="V166" s="12"/>
      <c r="W166" s="12"/>
      <c r="X166" s="12"/>
      <c r="Y166" s="12"/>
      <c r="Z166" s="12"/>
      <c r="AA166" s="12"/>
      <c r="AB166" s="12"/>
      <c r="AC166" s="12"/>
      <c r="AD166" s="12"/>
      <c r="AE166" s="12"/>
      <c r="AF166" s="12"/>
      <c r="AG166" s="12"/>
      <c r="AH166" s="12"/>
    </row>
    <row r="167" spans="1:34">
      <c r="A167" s="9">
        <v>165</v>
      </c>
      <c r="B167" s="9">
        <v>11427</v>
      </c>
      <c r="C167" s="9" t="s">
        <v>264</v>
      </c>
      <c r="D167" s="9" t="s">
        <v>39</v>
      </c>
      <c r="E167" s="10" t="str">
        <f>"265.49"</f>
        <v>265.49</v>
      </c>
      <c r="F167" s="11"/>
      <c r="G167" s="11">
        <v>2017</v>
      </c>
      <c r="H167" s="12"/>
      <c r="I167" s="12"/>
      <c r="J167" s="12"/>
      <c r="K167" s="12"/>
      <c r="L167" s="12"/>
      <c r="M167" s="12"/>
      <c r="N167" s="12"/>
      <c r="O167" s="12"/>
      <c r="P167" s="12"/>
      <c r="Q167" s="12"/>
      <c r="R167" s="12"/>
      <c r="S167" s="12"/>
      <c r="T167" s="12"/>
      <c r="U167" s="12"/>
      <c r="V167" s="12"/>
      <c r="W167" s="12"/>
      <c r="X167" s="12"/>
      <c r="Y167" s="12"/>
      <c r="Z167" s="12"/>
      <c r="AA167" s="12"/>
      <c r="AB167" s="12"/>
      <c r="AC167" s="12"/>
      <c r="AD167" s="12"/>
      <c r="AE167" s="12"/>
      <c r="AF167" s="12"/>
      <c r="AG167" s="12" t="str">
        <f>"265.13"</f>
        <v>265.13</v>
      </c>
      <c r="AH167" s="12" t="str">
        <f>"265.85"</f>
        <v>265.85</v>
      </c>
    </row>
    <row r="168" spans="1:34">
      <c r="A168" s="9">
        <v>166</v>
      </c>
      <c r="B168" s="9">
        <v>10879</v>
      </c>
      <c r="C168" s="9" t="s">
        <v>265</v>
      </c>
      <c r="D168" s="9" t="s">
        <v>39</v>
      </c>
      <c r="E168" s="10" t="str">
        <f>"268.43"</f>
        <v>268.43</v>
      </c>
      <c r="F168" s="11"/>
      <c r="G168" s="11">
        <v>2017</v>
      </c>
      <c r="H168" s="12" t="str">
        <f>"371.49"</f>
        <v>371.49</v>
      </c>
      <c r="I168" s="12"/>
      <c r="J168" s="12"/>
      <c r="K168" s="12"/>
      <c r="L168" s="12"/>
      <c r="M168" s="12" t="str">
        <f>"357.09"</f>
        <v>357.09</v>
      </c>
      <c r="N168" s="12"/>
      <c r="O168" s="12"/>
      <c r="P168" s="12"/>
      <c r="Q168" s="12"/>
      <c r="R168" s="12"/>
      <c r="S168" s="12"/>
      <c r="T168" s="12"/>
      <c r="U168" s="12"/>
      <c r="V168" s="12"/>
      <c r="W168" s="12"/>
      <c r="X168" s="12"/>
      <c r="Y168" s="12"/>
      <c r="Z168" s="12" t="str">
        <f>"325.33"</f>
        <v>325.33</v>
      </c>
      <c r="AA168" s="12" t="str">
        <f>"537.46"</f>
        <v>537.46</v>
      </c>
      <c r="AB168" s="12"/>
      <c r="AC168" s="12"/>
      <c r="AD168" s="12"/>
      <c r="AE168" s="12"/>
      <c r="AF168" s="12"/>
      <c r="AG168" s="12" t="str">
        <f>"269.43"</f>
        <v>269.43</v>
      </c>
      <c r="AH168" s="12" t="str">
        <f>"267.43"</f>
        <v>267.43</v>
      </c>
    </row>
    <row r="169" spans="1:34">
      <c r="A169" s="9">
        <v>167</v>
      </c>
      <c r="B169" s="9">
        <v>10746</v>
      </c>
      <c r="C169" s="9" t="s">
        <v>266</v>
      </c>
      <c r="D169" s="9" t="s">
        <v>71</v>
      </c>
      <c r="E169" s="10" t="str">
        <f>"268.74"</f>
        <v>268.74</v>
      </c>
      <c r="F169" s="11"/>
      <c r="G169" s="11">
        <v>2017</v>
      </c>
      <c r="H169" s="12" t="str">
        <f>"385.51"</f>
        <v>385.51</v>
      </c>
      <c r="I169" s="12"/>
      <c r="J169" s="12"/>
      <c r="K169" s="12"/>
      <c r="L169" s="12"/>
      <c r="M169" s="12"/>
      <c r="N169" s="12"/>
      <c r="O169" s="12"/>
      <c r="P169" s="12"/>
      <c r="Q169" s="12"/>
      <c r="R169" s="12"/>
      <c r="S169" s="12"/>
      <c r="T169" s="12"/>
      <c r="U169" s="12" t="str">
        <f>"359.73"</f>
        <v>359.73</v>
      </c>
      <c r="V169" s="12"/>
      <c r="W169" s="12" t="str">
        <f>"324.32"</f>
        <v>324.32</v>
      </c>
      <c r="X169" s="12" t="str">
        <f>"291.27"</f>
        <v>291.27</v>
      </c>
      <c r="Y169" s="12" t="str">
        <f>"279.39"</f>
        <v>279.39</v>
      </c>
      <c r="Z169" s="12"/>
      <c r="AA169" s="12"/>
      <c r="AB169" s="12"/>
      <c r="AC169" s="12"/>
      <c r="AD169" s="12" t="str">
        <f>"268.69"</f>
        <v>268.69</v>
      </c>
      <c r="AE169" s="12"/>
      <c r="AF169" s="12" t="str">
        <f>"268.78"</f>
        <v>268.78</v>
      </c>
      <c r="AG169" s="12"/>
      <c r="AH169" s="12"/>
    </row>
    <row r="170" spans="1:34">
      <c r="A170" s="9">
        <v>168</v>
      </c>
      <c r="B170" s="9">
        <v>7579</v>
      </c>
      <c r="C170" s="9" t="s">
        <v>267</v>
      </c>
      <c r="D170" s="9" t="s">
        <v>268</v>
      </c>
      <c r="E170" s="10" t="str">
        <f>"270.85"</f>
        <v>270.85</v>
      </c>
      <c r="F170" s="11" t="s">
        <v>40</v>
      </c>
      <c r="G170" s="11">
        <v>2017</v>
      </c>
      <c r="H170" s="12" t="str">
        <f>"230.85"</f>
        <v>230.85</v>
      </c>
      <c r="I170" s="12"/>
      <c r="J170" s="12"/>
      <c r="K170" s="12"/>
      <c r="L170" s="12"/>
      <c r="M170" s="12"/>
      <c r="N170" s="12"/>
      <c r="O170" s="12"/>
      <c r="P170" s="12"/>
      <c r="Q170" s="12"/>
      <c r="R170" s="12"/>
      <c r="S170" s="12"/>
      <c r="T170" s="12"/>
      <c r="U170" s="12"/>
      <c r="V170" s="12"/>
      <c r="W170" s="12"/>
      <c r="X170" s="12"/>
      <c r="Y170" s="12"/>
      <c r="Z170" s="12"/>
      <c r="AA170" s="12"/>
      <c r="AB170" s="12"/>
      <c r="AC170" s="12"/>
      <c r="AD170" s="12"/>
      <c r="AE170" s="12"/>
      <c r="AF170" s="12"/>
      <c r="AG170" s="12"/>
      <c r="AH170" s="12"/>
    </row>
    <row r="171" spans="1:34">
      <c r="A171" s="9">
        <v>169</v>
      </c>
      <c r="B171" s="9">
        <v>10740</v>
      </c>
      <c r="C171" s="9" t="s">
        <v>269</v>
      </c>
      <c r="D171" s="9" t="s">
        <v>71</v>
      </c>
      <c r="E171" s="10" t="str">
        <f>"270.91"</f>
        <v>270.91</v>
      </c>
      <c r="F171" s="11"/>
      <c r="G171" s="11">
        <v>2017</v>
      </c>
      <c r="H171" s="12" t="str">
        <f>"264.69"</f>
        <v>264.69</v>
      </c>
      <c r="I171" s="12"/>
      <c r="J171" s="12"/>
      <c r="K171" s="12"/>
      <c r="L171" s="12"/>
      <c r="M171" s="12"/>
      <c r="N171" s="12"/>
      <c r="O171" s="12"/>
      <c r="P171" s="12"/>
      <c r="Q171" s="12"/>
      <c r="R171" s="12"/>
      <c r="S171" s="12"/>
      <c r="T171" s="12"/>
      <c r="U171" s="12"/>
      <c r="V171" s="12"/>
      <c r="W171" s="12" t="str">
        <f>"303.58"</f>
        <v>303.58</v>
      </c>
      <c r="X171" s="12" t="str">
        <f>"288.66"</f>
        <v>288.66</v>
      </c>
      <c r="Y171" s="12" t="str">
        <f>"253.16"</f>
        <v>253.16</v>
      </c>
      <c r="Z171" s="12"/>
      <c r="AA171" s="12"/>
      <c r="AB171" s="12"/>
      <c r="AC171" s="12"/>
      <c r="AD171" s="12"/>
      <c r="AE171" s="12"/>
      <c r="AF171" s="12"/>
      <c r="AG171" s="12"/>
      <c r="AH171" s="12"/>
    </row>
    <row r="172" spans="1:34">
      <c r="A172" s="9">
        <v>170</v>
      </c>
      <c r="B172" s="9">
        <v>8619</v>
      </c>
      <c r="C172" s="9" t="s">
        <v>270</v>
      </c>
      <c r="D172" s="9" t="s">
        <v>39</v>
      </c>
      <c r="E172" s="10" t="str">
        <f>"273.00"</f>
        <v>273.00</v>
      </c>
      <c r="F172" s="11" t="s">
        <v>40</v>
      </c>
      <c r="G172" s="11">
        <v>2017</v>
      </c>
      <c r="H172" s="12" t="str">
        <f>"233.00"</f>
        <v>233.00</v>
      </c>
      <c r="I172" s="12"/>
      <c r="J172" s="12"/>
      <c r="K172" s="12"/>
      <c r="L172" s="12"/>
      <c r="M172" s="12"/>
      <c r="N172" s="12"/>
      <c r="O172" s="12"/>
      <c r="P172" s="12"/>
      <c r="Q172" s="12"/>
      <c r="R172" s="12"/>
      <c r="S172" s="12"/>
      <c r="T172" s="12"/>
      <c r="U172" s="12"/>
      <c r="V172" s="12"/>
      <c r="W172" s="12"/>
      <c r="X172" s="12"/>
      <c r="Y172" s="12"/>
      <c r="Z172" s="12"/>
      <c r="AA172" s="12"/>
      <c r="AB172" s="12"/>
      <c r="AC172" s="12"/>
      <c r="AD172" s="12"/>
      <c r="AE172" s="12"/>
      <c r="AF172" s="12"/>
      <c r="AG172" s="12"/>
      <c r="AH172" s="12"/>
    </row>
    <row r="173" spans="1:34">
      <c r="A173" s="9">
        <v>171</v>
      </c>
      <c r="B173" s="9">
        <v>8337</v>
      </c>
      <c r="C173" s="9" t="s">
        <v>271</v>
      </c>
      <c r="D173" s="9" t="s">
        <v>48</v>
      </c>
      <c r="E173" s="10" t="str">
        <f>"273.11"</f>
        <v>273.11</v>
      </c>
      <c r="F173" s="11" t="s">
        <v>37</v>
      </c>
      <c r="G173" s="11">
        <v>2017</v>
      </c>
      <c r="H173" s="12" t="str">
        <f>"232.38"</f>
        <v>232.38</v>
      </c>
      <c r="I173" s="12"/>
      <c r="J173" s="12"/>
      <c r="K173" s="12"/>
      <c r="L173" s="12"/>
      <c r="M173" s="12"/>
      <c r="N173" s="12"/>
      <c r="O173" s="12"/>
      <c r="P173" s="12"/>
      <c r="Q173" s="12" t="str">
        <f>"233.11"</f>
        <v>233.11</v>
      </c>
      <c r="R173" s="12"/>
      <c r="S173" s="12"/>
      <c r="T173" s="12"/>
      <c r="U173" s="12"/>
      <c r="V173" s="12"/>
      <c r="W173" s="12"/>
      <c r="X173" s="12"/>
      <c r="Y173" s="12"/>
      <c r="Z173" s="12"/>
      <c r="AA173" s="12"/>
      <c r="AB173" s="12"/>
      <c r="AC173" s="12"/>
      <c r="AD173" s="12"/>
      <c r="AE173" s="12"/>
      <c r="AF173" s="12"/>
      <c r="AG173" s="12"/>
      <c r="AH173" s="12"/>
    </row>
    <row r="174" spans="1:34">
      <c r="A174" s="9">
        <v>172</v>
      </c>
      <c r="B174" s="9">
        <v>7785</v>
      </c>
      <c r="C174" s="9" t="s">
        <v>272</v>
      </c>
      <c r="D174" s="9" t="s">
        <v>48</v>
      </c>
      <c r="E174" s="10" t="str">
        <f>"273.49"</f>
        <v>273.49</v>
      </c>
      <c r="F174" s="11" t="s">
        <v>40</v>
      </c>
      <c r="G174" s="11">
        <v>2017</v>
      </c>
      <c r="H174" s="12" t="str">
        <f>"233.49"</f>
        <v>233.49</v>
      </c>
      <c r="I174" s="12"/>
      <c r="J174" s="12"/>
      <c r="K174" s="12"/>
      <c r="L174" s="12"/>
      <c r="M174" s="12"/>
      <c r="N174" s="12"/>
      <c r="O174" s="12"/>
      <c r="P174" s="12"/>
      <c r="Q174" s="12"/>
      <c r="R174" s="12"/>
      <c r="S174" s="12"/>
      <c r="T174" s="12"/>
      <c r="U174" s="12"/>
      <c r="V174" s="12"/>
      <c r="W174" s="12"/>
      <c r="X174" s="12"/>
      <c r="Y174" s="12"/>
      <c r="Z174" s="12"/>
      <c r="AA174" s="12"/>
      <c r="AB174" s="12"/>
      <c r="AC174" s="12"/>
      <c r="AD174" s="12"/>
      <c r="AE174" s="12"/>
      <c r="AF174" s="12"/>
      <c r="AG174" s="12"/>
      <c r="AH174" s="12"/>
    </row>
    <row r="175" spans="1:34">
      <c r="A175" s="9">
        <v>173</v>
      </c>
      <c r="B175" s="9">
        <v>2717</v>
      </c>
      <c r="C175" s="9" t="s">
        <v>273</v>
      </c>
      <c r="D175" s="9" t="s">
        <v>181</v>
      </c>
      <c r="E175" s="10" t="str">
        <f>"273.58"</f>
        <v>273.58</v>
      </c>
      <c r="F175" s="11"/>
      <c r="G175" s="11">
        <v>2017</v>
      </c>
      <c r="H175" s="12" t="str">
        <f>"293.26"</f>
        <v>293.26</v>
      </c>
      <c r="I175" s="12"/>
      <c r="J175" s="12"/>
      <c r="K175" s="12"/>
      <c r="L175" s="12"/>
      <c r="M175" s="12"/>
      <c r="N175" s="12"/>
      <c r="O175" s="12"/>
      <c r="P175" s="12"/>
      <c r="Q175" s="12"/>
      <c r="R175" s="12"/>
      <c r="S175" s="12"/>
      <c r="T175" s="12"/>
      <c r="U175" s="12"/>
      <c r="V175" s="12"/>
      <c r="W175" s="12"/>
      <c r="X175" s="12"/>
      <c r="Y175" s="12"/>
      <c r="Z175" s="12"/>
      <c r="AA175" s="12"/>
      <c r="AB175" s="12" t="str">
        <f>"258.27"</f>
        <v>258.27</v>
      </c>
      <c r="AC175" s="12" t="str">
        <f>"288.89"</f>
        <v>288.89</v>
      </c>
      <c r="AD175" s="12"/>
      <c r="AE175" s="12" t="str">
        <f>"331.03"</f>
        <v>331.03</v>
      </c>
      <c r="AF175" s="12" t="str">
        <f>"310.43"</f>
        <v>310.43</v>
      </c>
      <c r="AG175" s="12"/>
      <c r="AH175" s="12"/>
    </row>
    <row r="176" spans="1:34">
      <c r="A176" s="9">
        <v>174</v>
      </c>
      <c r="B176" s="9">
        <v>4569</v>
      </c>
      <c r="C176" s="9" t="s">
        <v>274</v>
      </c>
      <c r="D176" s="9" t="s">
        <v>181</v>
      </c>
      <c r="E176" s="10" t="str">
        <f>"273.89"</f>
        <v>273.89</v>
      </c>
      <c r="F176" s="11"/>
      <c r="G176" s="11">
        <v>2017</v>
      </c>
      <c r="H176" s="12" t="str">
        <f>"191.06"</f>
        <v>191.06</v>
      </c>
      <c r="I176" s="12"/>
      <c r="J176" s="12"/>
      <c r="K176" s="12" t="str">
        <f>"273.60"</f>
        <v>273.60</v>
      </c>
      <c r="L176" s="12" t="str">
        <f>"284.48"</f>
        <v>284.48</v>
      </c>
      <c r="M176" s="12"/>
      <c r="N176" s="12"/>
      <c r="O176" s="12"/>
      <c r="P176" s="12" t="str">
        <f>"274.18"</f>
        <v>274.18</v>
      </c>
      <c r="Q176" s="12"/>
      <c r="R176" s="12"/>
      <c r="S176" s="12"/>
      <c r="T176" s="12"/>
      <c r="U176" s="12"/>
      <c r="V176" s="12"/>
      <c r="W176" s="12"/>
      <c r="X176" s="12"/>
      <c r="Y176" s="12"/>
      <c r="Z176" s="12"/>
      <c r="AA176" s="12"/>
      <c r="AB176" s="12"/>
      <c r="AC176" s="12"/>
      <c r="AD176" s="12"/>
      <c r="AE176" s="12"/>
      <c r="AF176" s="12"/>
      <c r="AG176" s="12"/>
      <c r="AH176" s="12"/>
    </row>
    <row r="177" spans="1:34">
      <c r="A177" s="9">
        <v>175</v>
      </c>
      <c r="B177" s="9">
        <v>2694</v>
      </c>
      <c r="C177" s="9" t="s">
        <v>275</v>
      </c>
      <c r="D177" s="9" t="s">
        <v>276</v>
      </c>
      <c r="E177" s="10" t="str">
        <f>"274.12"</f>
        <v>274.12</v>
      </c>
      <c r="F177" s="11"/>
      <c r="G177" s="11">
        <v>2017</v>
      </c>
      <c r="H177" s="12" t="str">
        <f>"345.73"</f>
        <v>345.73</v>
      </c>
      <c r="I177" s="12"/>
      <c r="J177" s="12"/>
      <c r="K177" s="12" t="str">
        <f>"345.77"</f>
        <v>345.77</v>
      </c>
      <c r="L177" s="12" t="str">
        <f>"295.24"</f>
        <v>295.24</v>
      </c>
      <c r="M177" s="12"/>
      <c r="N177" s="12"/>
      <c r="O177" s="12"/>
      <c r="P177" s="12" t="str">
        <f>"252.99"</f>
        <v>252.99</v>
      </c>
      <c r="Q177" s="12"/>
      <c r="R177" s="12"/>
      <c r="S177" s="12"/>
      <c r="T177" s="12"/>
      <c r="U177" s="12"/>
      <c r="V177" s="12"/>
      <c r="W177" s="12"/>
      <c r="X177" s="12"/>
      <c r="Y177" s="12"/>
      <c r="Z177" s="12"/>
      <c r="AA177" s="12"/>
      <c r="AB177" s="12"/>
      <c r="AC177" s="12"/>
      <c r="AD177" s="12"/>
      <c r="AE177" s="12" t="str">
        <f>"303.69"</f>
        <v>303.69</v>
      </c>
      <c r="AF177" s="12"/>
      <c r="AG177" s="12"/>
      <c r="AH177" s="12"/>
    </row>
    <row r="178" spans="1:34">
      <c r="A178" s="9">
        <v>176</v>
      </c>
      <c r="B178" s="9">
        <v>257</v>
      </c>
      <c r="C178" s="9" t="s">
        <v>277</v>
      </c>
      <c r="D178" s="9" t="s">
        <v>278</v>
      </c>
      <c r="E178" s="10" t="str">
        <f>"274.85"</f>
        <v>274.85</v>
      </c>
      <c r="F178" s="11"/>
      <c r="G178" s="11">
        <v>2017</v>
      </c>
      <c r="H178" s="12" t="str">
        <f>"253.63"</f>
        <v>253.63</v>
      </c>
      <c r="I178" s="12"/>
      <c r="J178" s="12"/>
      <c r="K178" s="12" t="str">
        <f>"270.81"</f>
        <v>270.81</v>
      </c>
      <c r="L178" s="12" t="str">
        <f>"278.88"</f>
        <v>278.88</v>
      </c>
      <c r="M178" s="12"/>
      <c r="N178" s="12"/>
      <c r="O178" s="12"/>
      <c r="P178" s="12"/>
      <c r="Q178" s="12"/>
      <c r="R178" s="12"/>
      <c r="S178" s="12"/>
      <c r="T178" s="12"/>
      <c r="U178" s="12"/>
      <c r="V178" s="12"/>
      <c r="W178" s="12"/>
      <c r="X178" s="12"/>
      <c r="Y178" s="12"/>
      <c r="Z178" s="12"/>
      <c r="AA178" s="12"/>
      <c r="AB178" s="12"/>
      <c r="AC178" s="12"/>
      <c r="AD178" s="12"/>
      <c r="AE178" s="12"/>
      <c r="AF178" s="12"/>
      <c r="AG178" s="12"/>
      <c r="AH178" s="12"/>
    </row>
    <row r="179" spans="1:34">
      <c r="A179" s="9">
        <v>177</v>
      </c>
      <c r="B179" s="9">
        <v>3094</v>
      </c>
      <c r="C179" s="9" t="s">
        <v>279</v>
      </c>
      <c r="D179" s="9" t="s">
        <v>280</v>
      </c>
      <c r="E179" s="10" t="str">
        <f>"275.42"</f>
        <v>275.42</v>
      </c>
      <c r="F179" s="11" t="s">
        <v>40</v>
      </c>
      <c r="G179" s="11">
        <v>2017</v>
      </c>
      <c r="H179" s="12" t="str">
        <f>"235.42"</f>
        <v>235.42</v>
      </c>
      <c r="I179" s="12"/>
      <c r="J179" s="12"/>
      <c r="K179" s="12"/>
      <c r="L179" s="12"/>
      <c r="M179" s="12"/>
      <c r="N179" s="12"/>
      <c r="O179" s="12"/>
      <c r="P179" s="12"/>
      <c r="Q179" s="12"/>
      <c r="R179" s="12"/>
      <c r="S179" s="12"/>
      <c r="T179" s="12"/>
      <c r="U179" s="12"/>
      <c r="V179" s="12"/>
      <c r="W179" s="12"/>
      <c r="X179" s="12"/>
      <c r="Y179" s="12"/>
      <c r="Z179" s="12"/>
      <c r="AA179" s="12"/>
      <c r="AB179" s="12"/>
      <c r="AC179" s="12"/>
      <c r="AD179" s="12"/>
      <c r="AE179" s="12"/>
      <c r="AF179" s="12"/>
      <c r="AG179" s="12"/>
      <c r="AH179" s="12"/>
    </row>
    <row r="180" spans="1:34">
      <c r="A180" s="9">
        <v>178</v>
      </c>
      <c r="B180" s="9">
        <v>5751</v>
      </c>
      <c r="C180" s="9" t="s">
        <v>281</v>
      </c>
      <c r="D180" s="9" t="s">
        <v>48</v>
      </c>
      <c r="E180" s="10" t="str">
        <f>"279.17"</f>
        <v>279.17</v>
      </c>
      <c r="F180" s="11" t="s">
        <v>40</v>
      </c>
      <c r="G180" s="11">
        <v>2017</v>
      </c>
      <c r="H180" s="12" t="str">
        <f>"239.17"</f>
        <v>239.17</v>
      </c>
      <c r="I180" s="12"/>
      <c r="J180" s="12"/>
      <c r="K180" s="12"/>
      <c r="L180" s="12"/>
      <c r="M180" s="12"/>
      <c r="N180" s="12"/>
      <c r="O180" s="12"/>
      <c r="P180" s="12"/>
      <c r="Q180" s="12"/>
      <c r="R180" s="12"/>
      <c r="S180" s="12"/>
      <c r="T180" s="12"/>
      <c r="U180" s="12"/>
      <c r="V180" s="12"/>
      <c r="W180" s="12"/>
      <c r="X180" s="12"/>
      <c r="Y180" s="12"/>
      <c r="Z180" s="12"/>
      <c r="AA180" s="12"/>
      <c r="AB180" s="12"/>
      <c r="AC180" s="12"/>
      <c r="AD180" s="12"/>
      <c r="AE180" s="12"/>
      <c r="AF180" s="12"/>
      <c r="AG180" s="12"/>
      <c r="AH180" s="12"/>
    </row>
    <row r="181" spans="1:34">
      <c r="A181" s="9">
        <v>179</v>
      </c>
      <c r="B181" s="9">
        <v>7601</v>
      </c>
      <c r="C181" s="9" t="s">
        <v>282</v>
      </c>
      <c r="D181" s="9" t="s">
        <v>283</v>
      </c>
      <c r="E181" s="10" t="str">
        <f>"280.30"</f>
        <v>280.30</v>
      </c>
      <c r="F181" s="11" t="s">
        <v>40</v>
      </c>
      <c r="G181" s="11">
        <v>2017</v>
      </c>
      <c r="H181" s="12" t="str">
        <f>"240.30"</f>
        <v>240.30</v>
      </c>
      <c r="I181" s="12"/>
      <c r="J181" s="12"/>
      <c r="K181" s="12"/>
      <c r="L181" s="12"/>
      <c r="M181" s="12"/>
      <c r="N181" s="12"/>
      <c r="O181" s="12"/>
      <c r="P181" s="12"/>
      <c r="Q181" s="12"/>
      <c r="R181" s="12"/>
      <c r="S181" s="12"/>
      <c r="T181" s="12"/>
      <c r="U181" s="12"/>
      <c r="V181" s="12"/>
      <c r="W181" s="12"/>
      <c r="X181" s="12"/>
      <c r="Y181" s="12"/>
      <c r="Z181" s="12"/>
      <c r="AA181" s="12"/>
      <c r="AB181" s="12"/>
      <c r="AC181" s="12"/>
      <c r="AD181" s="12"/>
      <c r="AE181" s="12"/>
      <c r="AF181" s="12"/>
      <c r="AG181" s="12"/>
      <c r="AH181" s="12"/>
    </row>
    <row r="182" spans="1:34">
      <c r="A182" s="9">
        <v>180</v>
      </c>
      <c r="B182" s="9">
        <v>5489</v>
      </c>
      <c r="C182" s="9" t="s">
        <v>284</v>
      </c>
      <c r="D182" s="9" t="s">
        <v>39</v>
      </c>
      <c r="E182" s="10" t="str">
        <f>"280.94"</f>
        <v>280.94</v>
      </c>
      <c r="F182" s="11" t="s">
        <v>40</v>
      </c>
      <c r="G182" s="11">
        <v>2017</v>
      </c>
      <c r="H182" s="12" t="str">
        <f>"240.94"</f>
        <v>240.94</v>
      </c>
      <c r="I182" s="12"/>
      <c r="J182" s="12"/>
      <c r="K182" s="12"/>
      <c r="L182" s="12"/>
      <c r="M182" s="12"/>
      <c r="N182" s="12"/>
      <c r="O182" s="12"/>
      <c r="P182" s="12"/>
      <c r="Q182" s="12"/>
      <c r="R182" s="12"/>
      <c r="S182" s="12"/>
      <c r="T182" s="12"/>
      <c r="U182" s="12"/>
      <c r="V182" s="12"/>
      <c r="W182" s="12"/>
      <c r="X182" s="12"/>
      <c r="Y182" s="12"/>
      <c r="Z182" s="12"/>
      <c r="AA182" s="12"/>
      <c r="AB182" s="12"/>
      <c r="AC182" s="12"/>
      <c r="AD182" s="12"/>
      <c r="AE182" s="12"/>
      <c r="AF182" s="12"/>
      <c r="AG182" s="12"/>
      <c r="AH182" s="12"/>
    </row>
    <row r="183" spans="1:34">
      <c r="A183" s="9">
        <v>181</v>
      </c>
      <c r="B183" s="9">
        <v>10581</v>
      </c>
      <c r="C183" s="9" t="s">
        <v>285</v>
      </c>
      <c r="D183" s="9" t="s">
        <v>39</v>
      </c>
      <c r="E183" s="10" t="str">
        <f>"281.88"</f>
        <v>281.88</v>
      </c>
      <c r="F183" s="11" t="s">
        <v>40</v>
      </c>
      <c r="G183" s="11">
        <v>2017</v>
      </c>
      <c r="H183" s="12" t="str">
        <f>"241.88"</f>
        <v>241.88</v>
      </c>
      <c r="I183" s="12"/>
      <c r="J183" s="12"/>
      <c r="K183" s="12"/>
      <c r="L183" s="12"/>
      <c r="M183" s="12"/>
      <c r="N183" s="12"/>
      <c r="O183" s="12"/>
      <c r="P183" s="12"/>
      <c r="Q183" s="12"/>
      <c r="R183" s="12"/>
      <c r="S183" s="12"/>
      <c r="T183" s="12"/>
      <c r="U183" s="12"/>
      <c r="V183" s="12"/>
      <c r="W183" s="12"/>
      <c r="X183" s="12"/>
      <c r="Y183" s="12"/>
      <c r="Z183" s="12"/>
      <c r="AA183" s="12"/>
      <c r="AB183" s="12"/>
      <c r="AC183" s="12"/>
      <c r="AD183" s="12"/>
      <c r="AE183" s="12"/>
      <c r="AF183" s="12"/>
      <c r="AG183" s="12"/>
      <c r="AH183" s="12"/>
    </row>
    <row r="184" spans="1:34">
      <c r="A184" s="9">
        <v>182</v>
      </c>
      <c r="B184" s="9">
        <v>11421</v>
      </c>
      <c r="C184" s="9" t="s">
        <v>286</v>
      </c>
      <c r="D184" s="9" t="s">
        <v>147</v>
      </c>
      <c r="E184" s="10" t="str">
        <f>"284.22"</f>
        <v>284.22</v>
      </c>
      <c r="F184" s="11" t="s">
        <v>37</v>
      </c>
      <c r="G184" s="11">
        <v>2017</v>
      </c>
      <c r="H184" s="12"/>
      <c r="I184" s="12"/>
      <c r="J184" s="12"/>
      <c r="K184" s="12"/>
      <c r="L184" s="12"/>
      <c r="M184" s="12"/>
      <c r="N184" s="12"/>
      <c r="O184" s="12"/>
      <c r="P184" s="12"/>
      <c r="Q184" s="12"/>
      <c r="R184" s="12"/>
      <c r="S184" s="12" t="str">
        <f>"244.22"</f>
        <v>244.22</v>
      </c>
      <c r="T184" s="12"/>
      <c r="U184" s="12"/>
      <c r="V184" s="12"/>
      <c r="W184" s="12"/>
      <c r="X184" s="12"/>
      <c r="Y184" s="12"/>
      <c r="Z184" s="12"/>
      <c r="AA184" s="12"/>
      <c r="AB184" s="12"/>
      <c r="AC184" s="12"/>
      <c r="AD184" s="12"/>
      <c r="AE184" s="12"/>
      <c r="AF184" s="12"/>
      <c r="AG184" s="12"/>
      <c r="AH184" s="12"/>
    </row>
    <row r="185" spans="1:34">
      <c r="A185" s="9">
        <v>183</v>
      </c>
      <c r="B185" s="9">
        <v>2398</v>
      </c>
      <c r="C185" s="9" t="s">
        <v>287</v>
      </c>
      <c r="D185" s="9" t="s">
        <v>39</v>
      </c>
      <c r="E185" s="10" t="str">
        <f>"286.32"</f>
        <v>286.32</v>
      </c>
      <c r="F185" s="11"/>
      <c r="G185" s="11">
        <v>2017</v>
      </c>
      <c r="H185" s="12" t="str">
        <f>"241.54"</f>
        <v>241.54</v>
      </c>
      <c r="I185" s="12"/>
      <c r="J185" s="12"/>
      <c r="K185" s="12"/>
      <c r="L185" s="12"/>
      <c r="M185" s="12"/>
      <c r="N185" s="12" t="str">
        <f>"296.29"</f>
        <v>296.29</v>
      </c>
      <c r="O185" s="12"/>
      <c r="P185" s="12"/>
      <c r="Q185" s="12"/>
      <c r="R185" s="12"/>
      <c r="S185" s="12"/>
      <c r="T185" s="12"/>
      <c r="U185" s="12"/>
      <c r="V185" s="12"/>
      <c r="W185" s="12"/>
      <c r="X185" s="12"/>
      <c r="Y185" s="12"/>
      <c r="Z185" s="12"/>
      <c r="AA185" s="12" t="str">
        <f>"276.34"</f>
        <v>276.34</v>
      </c>
      <c r="AB185" s="12"/>
      <c r="AC185" s="12"/>
      <c r="AD185" s="12"/>
      <c r="AE185" s="12"/>
      <c r="AF185" s="12"/>
      <c r="AG185" s="12"/>
      <c r="AH185" s="12"/>
    </row>
    <row r="186" spans="1:34">
      <c r="A186" s="9">
        <v>184</v>
      </c>
      <c r="B186" s="9">
        <v>10605</v>
      </c>
      <c r="C186" s="9" t="s">
        <v>288</v>
      </c>
      <c r="D186" s="9" t="s">
        <v>39</v>
      </c>
      <c r="E186" s="10" t="str">
        <f>"287.47"</f>
        <v>287.47</v>
      </c>
      <c r="F186" s="11"/>
      <c r="G186" s="11">
        <v>2017</v>
      </c>
      <c r="H186" s="12" t="str">
        <f>"244.99"</f>
        <v>244.99</v>
      </c>
      <c r="I186" s="12"/>
      <c r="J186" s="12"/>
      <c r="K186" s="12"/>
      <c r="L186" s="12"/>
      <c r="M186" s="12"/>
      <c r="N186" s="12" t="str">
        <f>"283.73"</f>
        <v>283.73</v>
      </c>
      <c r="O186" s="12"/>
      <c r="P186" s="12"/>
      <c r="Q186" s="12"/>
      <c r="R186" s="12"/>
      <c r="S186" s="12"/>
      <c r="T186" s="12"/>
      <c r="U186" s="12"/>
      <c r="V186" s="12"/>
      <c r="W186" s="12"/>
      <c r="X186" s="12"/>
      <c r="Y186" s="12"/>
      <c r="Z186" s="12"/>
      <c r="AA186" s="12" t="str">
        <f>"291.21"</f>
        <v>291.21</v>
      </c>
      <c r="AB186" s="12"/>
      <c r="AC186" s="12"/>
      <c r="AD186" s="12"/>
      <c r="AE186" s="12"/>
      <c r="AF186" s="12"/>
      <c r="AG186" s="12"/>
      <c r="AH186" s="12"/>
    </row>
    <row r="187" spans="1:34">
      <c r="A187" s="9">
        <v>185</v>
      </c>
      <c r="B187" s="9">
        <v>2643</v>
      </c>
      <c r="C187" s="9" t="s">
        <v>289</v>
      </c>
      <c r="D187" s="9" t="s">
        <v>223</v>
      </c>
      <c r="E187" s="10" t="str">
        <f>"290.15"</f>
        <v>290.15</v>
      </c>
      <c r="F187" s="11" t="s">
        <v>40</v>
      </c>
      <c r="G187" s="11">
        <v>2017</v>
      </c>
      <c r="H187" s="12" t="str">
        <f>"250.15"</f>
        <v>250.15</v>
      </c>
      <c r="I187" s="12"/>
      <c r="J187" s="12"/>
      <c r="K187" s="12"/>
      <c r="L187" s="12"/>
      <c r="M187" s="12"/>
      <c r="N187" s="12"/>
      <c r="O187" s="12"/>
      <c r="P187" s="12"/>
      <c r="Q187" s="12"/>
      <c r="R187" s="12"/>
      <c r="S187" s="12"/>
      <c r="T187" s="12"/>
      <c r="U187" s="12"/>
      <c r="V187" s="12"/>
      <c r="W187" s="12"/>
      <c r="X187" s="12"/>
      <c r="Y187" s="12"/>
      <c r="Z187" s="12"/>
      <c r="AA187" s="12"/>
      <c r="AB187" s="12"/>
      <c r="AC187" s="12"/>
      <c r="AD187" s="12"/>
      <c r="AE187" s="12"/>
      <c r="AF187" s="12"/>
      <c r="AG187" s="12"/>
      <c r="AH187" s="12"/>
    </row>
    <row r="188" spans="1:34">
      <c r="A188" s="9">
        <v>186</v>
      </c>
      <c r="B188" s="9">
        <v>8620</v>
      </c>
      <c r="C188" s="9" t="s">
        <v>290</v>
      </c>
      <c r="D188" s="9" t="s">
        <v>39</v>
      </c>
      <c r="E188" s="10" t="str">
        <f>"290.47"</f>
        <v>290.47</v>
      </c>
      <c r="F188" s="11" t="s">
        <v>40</v>
      </c>
      <c r="G188" s="11">
        <v>2017</v>
      </c>
      <c r="H188" s="12" t="str">
        <f>"250.47"</f>
        <v>250.47</v>
      </c>
      <c r="I188" s="12"/>
      <c r="J188" s="12"/>
      <c r="K188" s="12"/>
      <c r="L188" s="12"/>
      <c r="M188" s="12"/>
      <c r="N188" s="12"/>
      <c r="O188" s="12"/>
      <c r="P188" s="12"/>
      <c r="Q188" s="12"/>
      <c r="R188" s="12"/>
      <c r="S188" s="12"/>
      <c r="T188" s="12"/>
      <c r="U188" s="12"/>
      <c r="V188" s="12"/>
      <c r="W188" s="12"/>
      <c r="X188" s="12"/>
      <c r="Y188" s="12"/>
      <c r="Z188" s="12"/>
      <c r="AA188" s="12"/>
      <c r="AB188" s="12"/>
      <c r="AC188" s="12"/>
      <c r="AD188" s="12"/>
      <c r="AE188" s="12"/>
      <c r="AF188" s="12"/>
      <c r="AG188" s="12"/>
      <c r="AH188" s="12"/>
    </row>
    <row r="189" spans="1:34">
      <c r="A189" s="9">
        <v>187</v>
      </c>
      <c r="B189" s="9">
        <v>10603</v>
      </c>
      <c r="C189" s="9" t="s">
        <v>291</v>
      </c>
      <c r="D189" s="9" t="s">
        <v>39</v>
      </c>
      <c r="E189" s="10" t="str">
        <f>"291.18"</f>
        <v>291.18</v>
      </c>
      <c r="F189" s="11"/>
      <c r="G189" s="11">
        <v>2017</v>
      </c>
      <c r="H189" s="12" t="str">
        <f>"381.49"</f>
        <v>381.49</v>
      </c>
      <c r="I189" s="12"/>
      <c r="J189" s="12"/>
      <c r="K189" s="12"/>
      <c r="L189" s="12"/>
      <c r="M189" s="12" t="str">
        <f>"276.21"</f>
        <v>276.21</v>
      </c>
      <c r="N189" s="12" t="str">
        <f>"323.37"</f>
        <v>323.37</v>
      </c>
      <c r="O189" s="12"/>
      <c r="P189" s="12"/>
      <c r="Q189" s="12"/>
      <c r="R189" s="12"/>
      <c r="S189" s="12"/>
      <c r="T189" s="12"/>
      <c r="U189" s="12"/>
      <c r="V189" s="12"/>
      <c r="W189" s="12"/>
      <c r="X189" s="12"/>
      <c r="Y189" s="12"/>
      <c r="Z189" s="12" t="str">
        <f>"306.15"</f>
        <v>306.15</v>
      </c>
      <c r="AA189" s="12" t="str">
        <f>"399.37"</f>
        <v>399.37</v>
      </c>
      <c r="AB189" s="12"/>
      <c r="AC189" s="12"/>
      <c r="AD189" s="12"/>
      <c r="AE189" s="12"/>
      <c r="AF189" s="12"/>
      <c r="AG189" s="12"/>
      <c r="AH189" s="12"/>
    </row>
    <row r="190" spans="1:34">
      <c r="A190" s="9">
        <v>188</v>
      </c>
      <c r="B190" s="9">
        <v>10359</v>
      </c>
      <c r="C190" s="9" t="s">
        <v>292</v>
      </c>
      <c r="D190" s="9" t="s">
        <v>48</v>
      </c>
      <c r="E190" s="10" t="str">
        <f>"291.49"</f>
        <v>291.49</v>
      </c>
      <c r="F190" s="11"/>
      <c r="G190" s="11">
        <v>2017</v>
      </c>
      <c r="H190" s="12" t="str">
        <f>"400.43"</f>
        <v>400.43</v>
      </c>
      <c r="I190" s="12"/>
      <c r="J190" s="12"/>
      <c r="K190" s="12"/>
      <c r="L190" s="12"/>
      <c r="M190" s="12"/>
      <c r="N190" s="12"/>
      <c r="O190" s="12"/>
      <c r="P190" s="12"/>
      <c r="Q190" s="12" t="str">
        <f>"342.42"</f>
        <v>342.42</v>
      </c>
      <c r="R190" s="12"/>
      <c r="S190" s="12" t="str">
        <f>"240.56"</f>
        <v>240.56</v>
      </c>
      <c r="T190" s="12"/>
      <c r="U190" s="12"/>
      <c r="V190" s="12"/>
      <c r="W190" s="12"/>
      <c r="X190" s="12"/>
      <c r="Y190" s="12"/>
      <c r="Z190" s="12"/>
      <c r="AA190" s="12"/>
      <c r="AB190" s="12"/>
      <c r="AC190" s="12"/>
      <c r="AD190" s="12"/>
      <c r="AE190" s="12"/>
      <c r="AF190" s="12"/>
      <c r="AG190" s="12"/>
      <c r="AH190" s="12"/>
    </row>
    <row r="191" spans="1:34">
      <c r="A191" s="9">
        <v>189</v>
      </c>
      <c r="B191" s="9">
        <v>10465</v>
      </c>
      <c r="C191" s="9" t="s">
        <v>293</v>
      </c>
      <c r="D191" s="9" t="s">
        <v>71</v>
      </c>
      <c r="E191" s="10" t="str">
        <f>"291.82"</f>
        <v>291.82</v>
      </c>
      <c r="F191" s="11"/>
      <c r="G191" s="11">
        <v>2017</v>
      </c>
      <c r="H191" s="12" t="str">
        <f>"756.16"</f>
        <v>756.16</v>
      </c>
      <c r="I191" s="12"/>
      <c r="J191" s="12"/>
      <c r="K191" s="12"/>
      <c r="L191" s="12"/>
      <c r="M191" s="12"/>
      <c r="N191" s="12"/>
      <c r="O191" s="12"/>
      <c r="P191" s="12"/>
      <c r="Q191" s="12"/>
      <c r="R191" s="12"/>
      <c r="S191" s="12"/>
      <c r="T191" s="12"/>
      <c r="U191" s="12"/>
      <c r="V191" s="12"/>
      <c r="W191" s="12" t="str">
        <f>"459.40"</f>
        <v>459.40</v>
      </c>
      <c r="X191" s="12"/>
      <c r="Y191" s="12"/>
      <c r="Z191" s="12"/>
      <c r="AA191" s="12"/>
      <c r="AB191" s="12"/>
      <c r="AC191" s="12"/>
      <c r="AD191" s="12"/>
      <c r="AE191" s="12"/>
      <c r="AF191" s="12" t="str">
        <f>"364.84"</f>
        <v>364.84</v>
      </c>
      <c r="AG191" s="12" t="str">
        <f>"295.35"</f>
        <v>295.35</v>
      </c>
      <c r="AH191" s="12" t="str">
        <f>"288.28"</f>
        <v>288.28</v>
      </c>
    </row>
    <row r="192" spans="1:34">
      <c r="A192" s="9">
        <v>190</v>
      </c>
      <c r="B192" s="9">
        <v>2233</v>
      </c>
      <c r="C192" s="9" t="s">
        <v>294</v>
      </c>
      <c r="D192" s="9" t="s">
        <v>159</v>
      </c>
      <c r="E192" s="10" t="str">
        <f>"292.17"</f>
        <v>292.17</v>
      </c>
      <c r="F192" s="11" t="s">
        <v>40</v>
      </c>
      <c r="G192" s="11">
        <v>2017</v>
      </c>
      <c r="H192" s="12" t="str">
        <f>"252.17"</f>
        <v>252.17</v>
      </c>
      <c r="I192" s="12"/>
      <c r="J192" s="12"/>
      <c r="K192" s="12"/>
      <c r="L192" s="12"/>
      <c r="M192" s="12"/>
      <c r="N192" s="12"/>
      <c r="O192" s="12"/>
      <c r="P192" s="12"/>
      <c r="Q192" s="12"/>
      <c r="R192" s="12"/>
      <c r="S192" s="12"/>
      <c r="T192" s="12"/>
      <c r="U192" s="12"/>
      <c r="V192" s="12"/>
      <c r="W192" s="12"/>
      <c r="X192" s="12"/>
      <c r="Y192" s="12"/>
      <c r="Z192" s="12"/>
      <c r="AA192" s="12"/>
      <c r="AB192" s="12"/>
      <c r="AC192" s="12"/>
      <c r="AD192" s="12"/>
      <c r="AE192" s="12"/>
      <c r="AF192" s="12"/>
      <c r="AG192" s="12"/>
      <c r="AH192" s="12"/>
    </row>
    <row r="193" spans="1:34">
      <c r="A193" s="9">
        <v>191</v>
      </c>
      <c r="B193" s="9">
        <v>4176</v>
      </c>
      <c r="C193" s="9" t="s">
        <v>295</v>
      </c>
      <c r="D193" s="9" t="s">
        <v>296</v>
      </c>
      <c r="E193" s="10" t="str">
        <f>"293.42"</f>
        <v>293.42</v>
      </c>
      <c r="F193" s="11" t="s">
        <v>40</v>
      </c>
      <c r="G193" s="11">
        <v>2017</v>
      </c>
      <c r="H193" s="12" t="str">
        <f>"253.42"</f>
        <v>253.42</v>
      </c>
      <c r="I193" s="12"/>
      <c r="J193" s="12"/>
      <c r="K193" s="12"/>
      <c r="L193" s="12"/>
      <c r="M193" s="12"/>
      <c r="N193" s="12"/>
      <c r="O193" s="12"/>
      <c r="P193" s="12"/>
      <c r="Q193" s="12"/>
      <c r="R193" s="12"/>
      <c r="S193" s="12"/>
      <c r="T193" s="12"/>
      <c r="U193" s="12"/>
      <c r="V193" s="12"/>
      <c r="W193" s="12"/>
      <c r="X193" s="12"/>
      <c r="Y193" s="12"/>
      <c r="Z193" s="12"/>
      <c r="AA193" s="12"/>
      <c r="AB193" s="12"/>
      <c r="AC193" s="12"/>
      <c r="AD193" s="12"/>
      <c r="AE193" s="12"/>
      <c r="AF193" s="12"/>
      <c r="AG193" s="12"/>
      <c r="AH193" s="12"/>
    </row>
    <row r="194" spans="1:34">
      <c r="A194" s="9">
        <v>192</v>
      </c>
      <c r="B194" s="9">
        <v>11341</v>
      </c>
      <c r="C194" s="9" t="s">
        <v>297</v>
      </c>
      <c r="D194" s="9" t="s">
        <v>298</v>
      </c>
      <c r="E194" s="10" t="str">
        <f>"293.48"</f>
        <v>293.48</v>
      </c>
      <c r="F194" s="11"/>
      <c r="G194" s="11">
        <v>2017</v>
      </c>
      <c r="H194" s="12"/>
      <c r="I194" s="12"/>
      <c r="J194" s="12"/>
      <c r="K194" s="12"/>
      <c r="L194" s="12"/>
      <c r="M194" s="12"/>
      <c r="N194" s="12"/>
      <c r="O194" s="12"/>
      <c r="P194" s="12"/>
      <c r="Q194" s="12"/>
      <c r="R194" s="12"/>
      <c r="S194" s="12"/>
      <c r="T194" s="12"/>
      <c r="U194" s="12"/>
      <c r="V194" s="12" t="str">
        <f>"230.40"</f>
        <v>230.40</v>
      </c>
      <c r="W194" s="12"/>
      <c r="X194" s="12" t="str">
        <f>"356.55"</f>
        <v>356.55</v>
      </c>
      <c r="Y194" s="12"/>
      <c r="Z194" s="12"/>
      <c r="AA194" s="12"/>
      <c r="AB194" s="12"/>
      <c r="AC194" s="12"/>
      <c r="AD194" s="12"/>
      <c r="AE194" s="12"/>
      <c r="AF194" s="12"/>
      <c r="AG194" s="12"/>
      <c r="AH194" s="12"/>
    </row>
    <row r="195" spans="1:34">
      <c r="A195" s="9">
        <v>193</v>
      </c>
      <c r="B195" s="9">
        <v>1253</v>
      </c>
      <c r="C195" s="9" t="s">
        <v>299</v>
      </c>
      <c r="D195" s="9" t="s">
        <v>300</v>
      </c>
      <c r="E195" s="10" t="str">
        <f>"293.96"</f>
        <v>293.96</v>
      </c>
      <c r="F195" s="11" t="s">
        <v>37</v>
      </c>
      <c r="G195" s="11">
        <v>2017</v>
      </c>
      <c r="H195" s="12" t="str">
        <f>"313.80"</f>
        <v>313.80</v>
      </c>
      <c r="I195" s="12"/>
      <c r="J195" s="12"/>
      <c r="K195" s="12" t="str">
        <f>"253.96"</f>
        <v>253.96</v>
      </c>
      <c r="L195" s="12"/>
      <c r="M195" s="12"/>
      <c r="N195" s="12"/>
      <c r="O195" s="12"/>
      <c r="P195" s="12"/>
      <c r="Q195" s="12"/>
      <c r="R195" s="12"/>
      <c r="S195" s="12"/>
      <c r="T195" s="12"/>
      <c r="U195" s="12"/>
      <c r="V195" s="12"/>
      <c r="W195" s="12"/>
      <c r="X195" s="12"/>
      <c r="Y195" s="12"/>
      <c r="Z195" s="12"/>
      <c r="AA195" s="12"/>
      <c r="AB195" s="12"/>
      <c r="AC195" s="12"/>
      <c r="AD195" s="12"/>
      <c r="AE195" s="12"/>
      <c r="AF195" s="12"/>
      <c r="AG195" s="12"/>
      <c r="AH195" s="12"/>
    </row>
    <row r="196" spans="1:34">
      <c r="A196" s="9">
        <v>194</v>
      </c>
      <c r="B196" s="9">
        <v>8275</v>
      </c>
      <c r="C196" s="9" t="s">
        <v>301</v>
      </c>
      <c r="D196" s="9" t="s">
        <v>302</v>
      </c>
      <c r="E196" s="10" t="str">
        <f>"294.79"</f>
        <v>294.79</v>
      </c>
      <c r="F196" s="11"/>
      <c r="G196" s="11">
        <v>2017</v>
      </c>
      <c r="H196" s="12" t="str">
        <f>"215.51"</f>
        <v>215.51</v>
      </c>
      <c r="I196" s="12"/>
      <c r="J196" s="12"/>
      <c r="K196" s="12" t="str">
        <f>"307.69"</f>
        <v>307.69</v>
      </c>
      <c r="L196" s="12" t="str">
        <f>"284.93"</f>
        <v>284.93</v>
      </c>
      <c r="M196" s="12"/>
      <c r="N196" s="12"/>
      <c r="O196" s="12"/>
      <c r="P196" s="12" t="str">
        <f>"304.64"</f>
        <v>304.64</v>
      </c>
      <c r="Q196" s="12"/>
      <c r="R196" s="12"/>
      <c r="S196" s="12"/>
      <c r="T196" s="12"/>
      <c r="U196" s="12"/>
      <c r="V196" s="12"/>
      <c r="W196" s="12"/>
      <c r="X196" s="12"/>
      <c r="Y196" s="12"/>
      <c r="Z196" s="12"/>
      <c r="AA196" s="12"/>
      <c r="AB196" s="12"/>
      <c r="AC196" s="12"/>
      <c r="AD196" s="12"/>
      <c r="AE196" s="12"/>
      <c r="AF196" s="12"/>
      <c r="AG196" s="12"/>
      <c r="AH196" s="12"/>
    </row>
    <row r="197" spans="1:34">
      <c r="A197" s="9">
        <v>195</v>
      </c>
      <c r="B197" s="9">
        <v>3103</v>
      </c>
      <c r="C197" s="9" t="s">
        <v>303</v>
      </c>
      <c r="D197" s="9" t="s">
        <v>170</v>
      </c>
      <c r="E197" s="10" t="str">
        <f>"295.74"</f>
        <v>295.74</v>
      </c>
      <c r="F197" s="11" t="s">
        <v>40</v>
      </c>
      <c r="G197" s="11">
        <v>2017</v>
      </c>
      <c r="H197" s="12" t="str">
        <f>"255.74"</f>
        <v>255.74</v>
      </c>
      <c r="I197" s="12"/>
      <c r="J197" s="12"/>
      <c r="K197" s="12"/>
      <c r="L197" s="12"/>
      <c r="M197" s="12"/>
      <c r="N197" s="12"/>
      <c r="O197" s="12"/>
      <c r="P197" s="12"/>
      <c r="Q197" s="12"/>
      <c r="R197" s="12"/>
      <c r="S197" s="12"/>
      <c r="T197" s="12"/>
      <c r="U197" s="12"/>
      <c r="V197" s="12"/>
      <c r="W197" s="12"/>
      <c r="X197" s="12"/>
      <c r="Y197" s="12"/>
      <c r="Z197" s="12"/>
      <c r="AA197" s="12"/>
      <c r="AB197" s="12"/>
      <c r="AC197" s="12"/>
      <c r="AD197" s="12"/>
      <c r="AE197" s="12"/>
      <c r="AF197" s="12"/>
      <c r="AG197" s="12"/>
      <c r="AH197" s="12"/>
    </row>
    <row r="198" spans="1:34">
      <c r="A198" s="9">
        <v>196</v>
      </c>
      <c r="B198" s="9">
        <v>10463</v>
      </c>
      <c r="C198" s="9" t="s">
        <v>304</v>
      </c>
      <c r="D198" s="9" t="s">
        <v>39</v>
      </c>
      <c r="E198" s="10" t="str">
        <f>"299.28"</f>
        <v>299.28</v>
      </c>
      <c r="F198" s="11"/>
      <c r="G198" s="11">
        <v>2017</v>
      </c>
      <c r="H198" s="12" t="str">
        <f>"410.20"</f>
        <v>410.20</v>
      </c>
      <c r="I198" s="12"/>
      <c r="J198" s="12"/>
      <c r="K198" s="12"/>
      <c r="L198" s="12"/>
      <c r="M198" s="12" t="str">
        <f>"302.01"</f>
        <v>302.01</v>
      </c>
      <c r="N198" s="12" t="str">
        <f>"396.28"</f>
        <v>396.28</v>
      </c>
      <c r="O198" s="12"/>
      <c r="P198" s="12"/>
      <c r="Q198" s="12"/>
      <c r="R198" s="12"/>
      <c r="S198" s="12"/>
      <c r="T198" s="12"/>
      <c r="U198" s="12"/>
      <c r="V198" s="12"/>
      <c r="W198" s="12"/>
      <c r="X198" s="12"/>
      <c r="Y198" s="12"/>
      <c r="Z198" s="12"/>
      <c r="AA198" s="12"/>
      <c r="AB198" s="12"/>
      <c r="AC198" s="12"/>
      <c r="AD198" s="12"/>
      <c r="AE198" s="12"/>
      <c r="AF198" s="12"/>
      <c r="AG198" s="12" t="str">
        <f>"315.28"</f>
        <v>315.28</v>
      </c>
      <c r="AH198" s="12" t="str">
        <f>"296.55"</f>
        <v>296.55</v>
      </c>
    </row>
    <row r="199" spans="1:34">
      <c r="A199" s="9">
        <v>197</v>
      </c>
      <c r="B199" s="9">
        <v>2390</v>
      </c>
      <c r="C199" s="9" t="s">
        <v>305</v>
      </c>
      <c r="D199" s="9" t="s">
        <v>39</v>
      </c>
      <c r="E199" s="10" t="str">
        <f>"299.58"</f>
        <v>299.58</v>
      </c>
      <c r="F199" s="11" t="s">
        <v>40</v>
      </c>
      <c r="G199" s="11">
        <v>2017</v>
      </c>
      <c r="H199" s="12" t="str">
        <f>"259.58"</f>
        <v>259.58</v>
      </c>
      <c r="I199" s="12"/>
      <c r="J199" s="12"/>
      <c r="K199" s="12"/>
      <c r="L199" s="12"/>
      <c r="M199" s="12"/>
      <c r="N199" s="12"/>
      <c r="O199" s="12"/>
      <c r="P199" s="12"/>
      <c r="Q199" s="12"/>
      <c r="R199" s="12"/>
      <c r="S199" s="12"/>
      <c r="T199" s="12"/>
      <c r="U199" s="12"/>
      <c r="V199" s="12"/>
      <c r="W199" s="12"/>
      <c r="X199" s="12"/>
      <c r="Y199" s="12"/>
      <c r="Z199" s="12"/>
      <c r="AA199" s="12"/>
      <c r="AB199" s="12"/>
      <c r="AC199" s="12"/>
      <c r="AD199" s="12"/>
      <c r="AE199" s="12"/>
      <c r="AF199" s="12"/>
      <c r="AG199" s="12"/>
      <c r="AH199" s="12"/>
    </row>
    <row r="200" spans="1:34">
      <c r="A200" s="9">
        <v>198</v>
      </c>
      <c r="B200" s="9">
        <v>10700</v>
      </c>
      <c r="C200" s="9" t="s">
        <v>306</v>
      </c>
      <c r="D200" s="9" t="s">
        <v>53</v>
      </c>
      <c r="E200" s="10" t="str">
        <f>"299.67"</f>
        <v>299.67</v>
      </c>
      <c r="F200" s="11"/>
      <c r="G200" s="11">
        <v>2017</v>
      </c>
      <c r="H200" s="12" t="str">
        <f>"453.25"</f>
        <v>453.25</v>
      </c>
      <c r="I200" s="12"/>
      <c r="J200" s="12"/>
      <c r="K200" s="12"/>
      <c r="L200" s="12"/>
      <c r="M200" s="12"/>
      <c r="N200" s="12"/>
      <c r="O200" s="12"/>
      <c r="P200" s="12"/>
      <c r="Q200" s="12" t="str">
        <f>"367.05"</f>
        <v>367.05</v>
      </c>
      <c r="R200" s="12"/>
      <c r="S200" s="12" t="str">
        <f>"232.28"</f>
        <v>232.28</v>
      </c>
      <c r="T200" s="12"/>
      <c r="U200" s="12"/>
      <c r="V200" s="12"/>
      <c r="W200" s="12"/>
      <c r="X200" s="12"/>
      <c r="Y200" s="12"/>
      <c r="Z200" s="12"/>
      <c r="AA200" s="12"/>
      <c r="AB200" s="12"/>
      <c r="AC200" s="12"/>
      <c r="AD200" s="12"/>
      <c r="AE200" s="12"/>
      <c r="AF200" s="12"/>
      <c r="AG200" s="12"/>
      <c r="AH200" s="12"/>
    </row>
    <row r="201" spans="1:34">
      <c r="A201" s="9">
        <v>199</v>
      </c>
      <c r="B201" s="9">
        <v>10466</v>
      </c>
      <c r="C201" s="9" t="s">
        <v>307</v>
      </c>
      <c r="D201" s="9" t="s">
        <v>71</v>
      </c>
      <c r="E201" s="10" t="str">
        <f>"299.73"</f>
        <v>299.73</v>
      </c>
      <c r="F201" s="11"/>
      <c r="G201" s="11">
        <v>2017</v>
      </c>
      <c r="H201" s="12" t="str">
        <f>"497.02"</f>
        <v>497.02</v>
      </c>
      <c r="I201" s="12"/>
      <c r="J201" s="12"/>
      <c r="K201" s="12"/>
      <c r="L201" s="12"/>
      <c r="M201" s="12"/>
      <c r="N201" s="12"/>
      <c r="O201" s="12"/>
      <c r="P201" s="12"/>
      <c r="Q201" s="12"/>
      <c r="R201" s="12"/>
      <c r="S201" s="12"/>
      <c r="T201" s="12"/>
      <c r="U201" s="12"/>
      <c r="V201" s="12"/>
      <c r="W201" s="12" t="str">
        <f>"381.12"</f>
        <v>381.12</v>
      </c>
      <c r="X201" s="12"/>
      <c r="Y201" s="12"/>
      <c r="Z201" s="12"/>
      <c r="AA201" s="12"/>
      <c r="AB201" s="12"/>
      <c r="AC201" s="12"/>
      <c r="AD201" s="12"/>
      <c r="AE201" s="12"/>
      <c r="AF201" s="12" t="str">
        <f>"218.33"</f>
        <v>218.33</v>
      </c>
      <c r="AG201" s="12"/>
      <c r="AH201" s="12"/>
    </row>
    <row r="202" spans="1:34">
      <c r="A202" s="9">
        <v>200</v>
      </c>
      <c r="B202" s="9">
        <v>10738</v>
      </c>
      <c r="C202" s="9" t="s">
        <v>308</v>
      </c>
      <c r="D202" s="9" t="s">
        <v>71</v>
      </c>
      <c r="E202" s="10" t="str">
        <f>"302.68"</f>
        <v>302.68</v>
      </c>
      <c r="F202" s="11"/>
      <c r="G202" s="11">
        <v>2017</v>
      </c>
      <c r="H202" s="12" t="str">
        <f>"491.54"</f>
        <v>491.54</v>
      </c>
      <c r="I202" s="12"/>
      <c r="J202" s="12"/>
      <c r="K202" s="12"/>
      <c r="L202" s="12"/>
      <c r="M202" s="12"/>
      <c r="N202" s="12"/>
      <c r="O202" s="12"/>
      <c r="P202" s="12"/>
      <c r="Q202" s="12"/>
      <c r="R202" s="12"/>
      <c r="S202" s="12"/>
      <c r="T202" s="12"/>
      <c r="U202" s="12" t="str">
        <f>"454.41"</f>
        <v>454.41</v>
      </c>
      <c r="V202" s="12"/>
      <c r="W202" s="12" t="str">
        <f>"377.01"</f>
        <v>377.01</v>
      </c>
      <c r="X202" s="12" t="str">
        <f>"353.74"</f>
        <v>353.74</v>
      </c>
      <c r="Y202" s="12" t="str">
        <f>"315.75"</f>
        <v>315.75</v>
      </c>
      <c r="Z202" s="12"/>
      <c r="AA202" s="12"/>
      <c r="AB202" s="12"/>
      <c r="AC202" s="12"/>
      <c r="AD202" s="12" t="str">
        <f>"336.57"</f>
        <v>336.57</v>
      </c>
      <c r="AE202" s="12"/>
      <c r="AF202" s="12" t="str">
        <f>"289.61"</f>
        <v>289.61</v>
      </c>
      <c r="AG202" s="12"/>
      <c r="AH202" s="12"/>
    </row>
    <row r="203" spans="1:34">
      <c r="A203" s="9">
        <v>201</v>
      </c>
      <c r="B203" s="9">
        <v>8172</v>
      </c>
      <c r="C203" s="9" t="s">
        <v>309</v>
      </c>
      <c r="D203" s="9" t="s">
        <v>310</v>
      </c>
      <c r="E203" s="10" t="str">
        <f>"303.24"</f>
        <v>303.24</v>
      </c>
      <c r="F203" s="11" t="s">
        <v>40</v>
      </c>
      <c r="G203" s="11">
        <v>2017</v>
      </c>
      <c r="H203" s="12" t="str">
        <f>"263.24"</f>
        <v>263.24</v>
      </c>
      <c r="I203" s="12"/>
      <c r="J203" s="12"/>
      <c r="K203" s="12"/>
      <c r="L203" s="12"/>
      <c r="M203" s="12"/>
      <c r="N203" s="12"/>
      <c r="O203" s="12"/>
      <c r="P203" s="12"/>
      <c r="Q203" s="12"/>
      <c r="R203" s="12"/>
      <c r="S203" s="12"/>
      <c r="T203" s="12"/>
      <c r="U203" s="12"/>
      <c r="V203" s="12"/>
      <c r="W203" s="12"/>
      <c r="X203" s="12"/>
      <c r="Y203" s="12"/>
      <c r="Z203" s="12"/>
      <c r="AA203" s="12"/>
      <c r="AB203" s="12"/>
      <c r="AC203" s="12"/>
      <c r="AD203" s="12"/>
      <c r="AE203" s="12"/>
      <c r="AF203" s="12"/>
      <c r="AG203" s="12"/>
      <c r="AH203" s="12"/>
    </row>
    <row r="204" spans="1:34">
      <c r="A204" s="9">
        <v>202</v>
      </c>
      <c r="B204" s="9">
        <v>4499</v>
      </c>
      <c r="C204" s="9" t="s">
        <v>311</v>
      </c>
      <c r="D204" s="9" t="s">
        <v>64</v>
      </c>
      <c r="E204" s="10" t="str">
        <f>"303.85"</f>
        <v>303.85</v>
      </c>
      <c r="F204" s="11" t="s">
        <v>40</v>
      </c>
      <c r="G204" s="11">
        <v>2017</v>
      </c>
      <c r="H204" s="12" t="str">
        <f>"263.85"</f>
        <v>263.85</v>
      </c>
      <c r="I204" s="12"/>
      <c r="J204" s="12"/>
      <c r="K204" s="12"/>
      <c r="L204" s="12"/>
      <c r="M204" s="12"/>
      <c r="N204" s="12"/>
      <c r="O204" s="12"/>
      <c r="P204" s="12"/>
      <c r="Q204" s="12"/>
      <c r="R204" s="12"/>
      <c r="S204" s="12"/>
      <c r="T204" s="12"/>
      <c r="U204" s="12"/>
      <c r="V204" s="12"/>
      <c r="W204" s="12"/>
      <c r="X204" s="12"/>
      <c r="Y204" s="12"/>
      <c r="Z204" s="12"/>
      <c r="AA204" s="12"/>
      <c r="AB204" s="12"/>
      <c r="AC204" s="12"/>
      <c r="AD204" s="12"/>
      <c r="AE204" s="12"/>
      <c r="AF204" s="12"/>
      <c r="AG204" s="12"/>
      <c r="AH204" s="12"/>
    </row>
    <row r="205" spans="1:34">
      <c r="A205" s="9">
        <v>203</v>
      </c>
      <c r="B205" s="9">
        <v>10366</v>
      </c>
      <c r="C205" s="9" t="s">
        <v>312</v>
      </c>
      <c r="D205" s="9" t="s">
        <v>223</v>
      </c>
      <c r="E205" s="10" t="str">
        <f>"304.45"</f>
        <v>304.45</v>
      </c>
      <c r="F205" s="11"/>
      <c r="G205" s="11">
        <v>2017</v>
      </c>
      <c r="H205" s="12" t="str">
        <f>"403.28"</f>
        <v>403.28</v>
      </c>
      <c r="I205" s="12"/>
      <c r="J205" s="12"/>
      <c r="K205" s="12"/>
      <c r="L205" s="12"/>
      <c r="M205" s="12"/>
      <c r="N205" s="12"/>
      <c r="O205" s="12"/>
      <c r="P205" s="12"/>
      <c r="Q205" s="12" t="str">
        <f>"342.26"</f>
        <v>342.26</v>
      </c>
      <c r="R205" s="12"/>
      <c r="S205" s="12" t="str">
        <f>"266.63"</f>
        <v>266.63</v>
      </c>
      <c r="T205" s="12"/>
      <c r="U205" s="12"/>
      <c r="V205" s="12"/>
      <c r="W205" s="12"/>
      <c r="X205" s="12"/>
      <c r="Y205" s="12"/>
      <c r="Z205" s="12"/>
      <c r="AA205" s="12"/>
      <c r="AB205" s="12"/>
      <c r="AC205" s="12"/>
      <c r="AD205" s="12"/>
      <c r="AE205" s="12"/>
      <c r="AF205" s="12"/>
      <c r="AG205" s="12"/>
      <c r="AH205" s="12"/>
    </row>
    <row r="206" spans="1:34">
      <c r="A206" s="9">
        <v>204</v>
      </c>
      <c r="B206" s="9">
        <v>6064</v>
      </c>
      <c r="C206" s="9" t="s">
        <v>313</v>
      </c>
      <c r="D206" s="9" t="s">
        <v>314</v>
      </c>
      <c r="E206" s="10" t="str">
        <f>"305.09"</f>
        <v>305.09</v>
      </c>
      <c r="F206" s="11"/>
      <c r="G206" s="11">
        <v>2017</v>
      </c>
      <c r="H206" s="12" t="str">
        <f>"293.44"</f>
        <v>293.44</v>
      </c>
      <c r="I206" s="12"/>
      <c r="J206" s="12"/>
      <c r="K206" s="12"/>
      <c r="L206" s="12"/>
      <c r="M206" s="12"/>
      <c r="N206" s="12"/>
      <c r="O206" s="12"/>
      <c r="P206" s="12"/>
      <c r="Q206" s="12"/>
      <c r="R206" s="12"/>
      <c r="S206" s="12"/>
      <c r="T206" s="12"/>
      <c r="U206" s="12"/>
      <c r="V206" s="12"/>
      <c r="W206" s="12"/>
      <c r="X206" s="12" t="str">
        <f>"330.52"</f>
        <v>330.52</v>
      </c>
      <c r="Y206" s="12"/>
      <c r="Z206" s="12"/>
      <c r="AA206" s="12"/>
      <c r="AB206" s="12"/>
      <c r="AC206" s="12"/>
      <c r="AD206" s="12" t="str">
        <f>"279.65"</f>
        <v>279.65</v>
      </c>
      <c r="AE206" s="12"/>
      <c r="AF206" s="12"/>
      <c r="AG206" s="12"/>
      <c r="AH206" s="12"/>
    </row>
    <row r="207" spans="1:34">
      <c r="A207" s="9">
        <v>205</v>
      </c>
      <c r="B207" s="9">
        <v>3302</v>
      </c>
      <c r="C207" s="9" t="s">
        <v>315</v>
      </c>
      <c r="D207" s="9" t="s">
        <v>156</v>
      </c>
      <c r="E207" s="10" t="str">
        <f>"305.92"</f>
        <v>305.92</v>
      </c>
      <c r="F207" s="11" t="s">
        <v>40</v>
      </c>
      <c r="G207" s="11">
        <v>2017</v>
      </c>
      <c r="H207" s="12" t="str">
        <f>"265.92"</f>
        <v>265.92</v>
      </c>
      <c r="I207" s="12"/>
      <c r="J207" s="12"/>
      <c r="K207" s="12"/>
      <c r="L207" s="12"/>
      <c r="M207" s="12"/>
      <c r="N207" s="12"/>
      <c r="O207" s="12"/>
      <c r="P207" s="12"/>
      <c r="Q207" s="12"/>
      <c r="R207" s="12"/>
      <c r="S207" s="12"/>
      <c r="T207" s="12"/>
      <c r="U207" s="12"/>
      <c r="V207" s="12"/>
      <c r="W207" s="12"/>
      <c r="X207" s="12"/>
      <c r="Y207" s="12"/>
      <c r="Z207" s="12"/>
      <c r="AA207" s="12"/>
      <c r="AB207" s="12"/>
      <c r="AC207" s="12"/>
      <c r="AD207" s="12"/>
      <c r="AE207" s="12"/>
      <c r="AF207" s="12"/>
      <c r="AG207" s="12"/>
      <c r="AH207" s="12"/>
    </row>
    <row r="208" spans="1:34">
      <c r="A208" s="9">
        <v>206</v>
      </c>
      <c r="B208" s="9">
        <v>10959</v>
      </c>
      <c r="C208" s="9" t="s">
        <v>316</v>
      </c>
      <c r="D208" s="9" t="s">
        <v>71</v>
      </c>
      <c r="E208" s="10" t="str">
        <f>"307.94"</f>
        <v>307.94</v>
      </c>
      <c r="F208" s="11"/>
      <c r="G208" s="11">
        <v>2017</v>
      </c>
      <c r="H208" s="12" t="str">
        <f>"689.51"</f>
        <v>689.51</v>
      </c>
      <c r="I208" s="12"/>
      <c r="J208" s="12"/>
      <c r="K208" s="12"/>
      <c r="L208" s="12"/>
      <c r="M208" s="12"/>
      <c r="N208" s="12"/>
      <c r="O208" s="12" t="str">
        <f>"339.90"</f>
        <v>339.90</v>
      </c>
      <c r="P208" s="12"/>
      <c r="Q208" s="12"/>
      <c r="R208" s="12"/>
      <c r="S208" s="12"/>
      <c r="T208" s="12"/>
      <c r="U208" s="12"/>
      <c r="V208" s="12"/>
      <c r="W208" s="12" t="str">
        <f>"368.97"</f>
        <v>368.97</v>
      </c>
      <c r="X208" s="12"/>
      <c r="Y208" s="12"/>
      <c r="Z208" s="12"/>
      <c r="AA208" s="12"/>
      <c r="AB208" s="12"/>
      <c r="AC208" s="12"/>
      <c r="AD208" s="12"/>
      <c r="AE208" s="12"/>
      <c r="AF208" s="12" t="str">
        <f>"275.97"</f>
        <v>275.97</v>
      </c>
      <c r="AG208" s="12"/>
      <c r="AH208" s="12"/>
    </row>
    <row r="209" spans="1:34">
      <c r="A209" s="9">
        <v>207</v>
      </c>
      <c r="B209" s="9">
        <v>10847</v>
      </c>
      <c r="C209" s="9" t="s">
        <v>317</v>
      </c>
      <c r="D209" s="9" t="s">
        <v>39</v>
      </c>
      <c r="E209" s="10" t="str">
        <f>"308.39"</f>
        <v>308.39</v>
      </c>
      <c r="F209" s="11"/>
      <c r="G209" s="11">
        <v>2017</v>
      </c>
      <c r="H209" s="12" t="str">
        <f>"354.77"</f>
        <v>354.77</v>
      </c>
      <c r="I209" s="12"/>
      <c r="J209" s="12"/>
      <c r="K209" s="12"/>
      <c r="L209" s="12"/>
      <c r="M209" s="12" t="str">
        <f>"406.02"</f>
        <v>406.02</v>
      </c>
      <c r="N209" s="12" t="str">
        <f>"425.87"</f>
        <v>425.87</v>
      </c>
      <c r="O209" s="12"/>
      <c r="P209" s="12"/>
      <c r="Q209" s="12"/>
      <c r="R209" s="12"/>
      <c r="S209" s="12"/>
      <c r="T209" s="12"/>
      <c r="U209" s="12"/>
      <c r="V209" s="12"/>
      <c r="W209" s="12"/>
      <c r="X209" s="12"/>
      <c r="Y209" s="12"/>
      <c r="Z209" s="12" t="str">
        <f>"307.11"</f>
        <v>307.11</v>
      </c>
      <c r="AA209" s="12" t="str">
        <f>"429.11"</f>
        <v>429.11</v>
      </c>
      <c r="AB209" s="12"/>
      <c r="AC209" s="12"/>
      <c r="AD209" s="12"/>
      <c r="AE209" s="12"/>
      <c r="AF209" s="12"/>
      <c r="AG209" s="12" t="str">
        <f>"324.27"</f>
        <v>324.27</v>
      </c>
      <c r="AH209" s="12" t="str">
        <f>"309.67"</f>
        <v>309.67</v>
      </c>
    </row>
    <row r="210" spans="1:34">
      <c r="A210" s="9">
        <v>208</v>
      </c>
      <c r="B210" s="9">
        <v>11070</v>
      </c>
      <c r="C210" s="9" t="s">
        <v>318</v>
      </c>
      <c r="D210" s="9" t="s">
        <v>48</v>
      </c>
      <c r="E210" s="10" t="str">
        <f>"309.89"</f>
        <v>309.89</v>
      </c>
      <c r="F210" s="11"/>
      <c r="G210" s="11">
        <v>2017</v>
      </c>
      <c r="H210" s="12" t="str">
        <f>"457.65"</f>
        <v>457.65</v>
      </c>
      <c r="I210" s="12"/>
      <c r="J210" s="12"/>
      <c r="K210" s="12"/>
      <c r="L210" s="12"/>
      <c r="M210" s="12"/>
      <c r="N210" s="12"/>
      <c r="O210" s="12"/>
      <c r="P210" s="12"/>
      <c r="Q210" s="12" t="str">
        <f>"370.21"</f>
        <v>370.21</v>
      </c>
      <c r="R210" s="12"/>
      <c r="S210" s="12" t="str">
        <f>"249.57"</f>
        <v>249.57</v>
      </c>
      <c r="T210" s="12"/>
      <c r="U210" s="12"/>
      <c r="V210" s="12"/>
      <c r="W210" s="12"/>
      <c r="X210" s="12"/>
      <c r="Y210" s="12"/>
      <c r="Z210" s="12"/>
      <c r="AA210" s="12"/>
      <c r="AB210" s="12"/>
      <c r="AC210" s="12"/>
      <c r="AD210" s="12"/>
      <c r="AE210" s="12"/>
      <c r="AF210" s="12"/>
      <c r="AG210" s="12"/>
      <c r="AH210" s="12"/>
    </row>
    <row r="211" spans="1:34">
      <c r="A211" s="9">
        <v>209</v>
      </c>
      <c r="B211" s="9">
        <v>6769</v>
      </c>
      <c r="C211" s="9" t="s">
        <v>319</v>
      </c>
      <c r="D211" s="9" t="s">
        <v>320</v>
      </c>
      <c r="E211" s="10" t="str">
        <f>"310.17"</f>
        <v>310.17</v>
      </c>
      <c r="F211" s="11" t="s">
        <v>40</v>
      </c>
      <c r="G211" s="11">
        <v>2017</v>
      </c>
      <c r="H211" s="12" t="str">
        <f>"270.17"</f>
        <v>270.17</v>
      </c>
      <c r="I211" s="12"/>
      <c r="J211" s="12"/>
      <c r="K211" s="12"/>
      <c r="L211" s="12"/>
      <c r="M211" s="12"/>
      <c r="N211" s="12"/>
      <c r="O211" s="12"/>
      <c r="P211" s="12"/>
      <c r="Q211" s="12"/>
      <c r="R211" s="12"/>
      <c r="S211" s="12"/>
      <c r="T211" s="12"/>
      <c r="U211" s="12"/>
      <c r="V211" s="12"/>
      <c r="W211" s="12"/>
      <c r="X211" s="12"/>
      <c r="Y211" s="12"/>
      <c r="Z211" s="12"/>
      <c r="AA211" s="12"/>
      <c r="AB211" s="12"/>
      <c r="AC211" s="12"/>
      <c r="AD211" s="12"/>
      <c r="AE211" s="12"/>
      <c r="AF211" s="12"/>
      <c r="AG211" s="12"/>
      <c r="AH211" s="12"/>
    </row>
    <row r="212" spans="1:34">
      <c r="A212" s="9">
        <v>210</v>
      </c>
      <c r="B212" s="9">
        <v>3047</v>
      </c>
      <c r="C212" s="9" t="s">
        <v>321</v>
      </c>
      <c r="D212" s="9" t="s">
        <v>153</v>
      </c>
      <c r="E212" s="10" t="str">
        <f>"310.82"</f>
        <v>310.82</v>
      </c>
      <c r="F212" s="11"/>
      <c r="G212" s="11">
        <v>2017</v>
      </c>
      <c r="H212" s="12" t="str">
        <f>"331.63"</f>
        <v>331.63</v>
      </c>
      <c r="I212" s="12"/>
      <c r="J212" s="12" t="str">
        <f>"365.05"</f>
        <v>365.05</v>
      </c>
      <c r="K212" s="12"/>
      <c r="L212" s="12"/>
      <c r="M212" s="12"/>
      <c r="N212" s="12"/>
      <c r="O212" s="12" t="str">
        <f>"311.83"</f>
        <v>311.83</v>
      </c>
      <c r="P212" s="12"/>
      <c r="Q212" s="12"/>
      <c r="R212" s="12"/>
      <c r="S212" s="12"/>
      <c r="T212" s="12"/>
      <c r="U212" s="12"/>
      <c r="V212" s="12" t="str">
        <f>"330.60"</f>
        <v>330.60</v>
      </c>
      <c r="W212" s="12"/>
      <c r="X212" s="12" t="str">
        <f>"332.52"</f>
        <v>332.52</v>
      </c>
      <c r="Y212" s="12" t="str">
        <f>"334.76"</f>
        <v>334.76</v>
      </c>
      <c r="Z212" s="12"/>
      <c r="AA212" s="12"/>
      <c r="AB212" s="12"/>
      <c r="AC212" s="12"/>
      <c r="AD212" s="12" t="str">
        <f>"309.81"</f>
        <v>309.81</v>
      </c>
      <c r="AE212" s="12"/>
      <c r="AF212" s="12" t="str">
        <f>"376.14"</f>
        <v>376.14</v>
      </c>
      <c r="AG212" s="12"/>
      <c r="AH212" s="12"/>
    </row>
    <row r="213" spans="1:34">
      <c r="A213" s="9">
        <v>211</v>
      </c>
      <c r="B213" s="9">
        <v>10668</v>
      </c>
      <c r="C213" s="9" t="s">
        <v>322</v>
      </c>
      <c r="D213" s="9" t="s">
        <v>323</v>
      </c>
      <c r="E213" s="10" t="str">
        <f>"310.88"</f>
        <v>310.88</v>
      </c>
      <c r="F213" s="11" t="s">
        <v>40</v>
      </c>
      <c r="G213" s="11">
        <v>2017</v>
      </c>
      <c r="H213" s="12" t="str">
        <f>"270.88"</f>
        <v>270.88</v>
      </c>
      <c r="I213" s="12"/>
      <c r="J213" s="12"/>
      <c r="K213" s="12"/>
      <c r="L213" s="12"/>
      <c r="M213" s="12"/>
      <c r="N213" s="12"/>
      <c r="O213" s="12"/>
      <c r="P213" s="12"/>
      <c r="Q213" s="12"/>
      <c r="R213" s="12"/>
      <c r="S213" s="12"/>
      <c r="T213" s="12"/>
      <c r="U213" s="12"/>
      <c r="V213" s="12"/>
      <c r="W213" s="12"/>
      <c r="X213" s="12"/>
      <c r="Y213" s="12"/>
      <c r="Z213" s="12"/>
      <c r="AA213" s="12"/>
      <c r="AB213" s="12"/>
      <c r="AC213" s="12"/>
      <c r="AD213" s="12"/>
      <c r="AE213" s="12"/>
      <c r="AF213" s="12"/>
      <c r="AG213" s="12"/>
      <c r="AH213" s="12"/>
    </row>
    <row r="214" spans="1:34">
      <c r="A214" s="9">
        <v>212</v>
      </c>
      <c r="B214" s="9">
        <v>8344</v>
      </c>
      <c r="C214" s="9" t="s">
        <v>324</v>
      </c>
      <c r="D214" s="9" t="s">
        <v>71</v>
      </c>
      <c r="E214" s="10" t="str">
        <f>"310.92"</f>
        <v>310.92</v>
      </c>
      <c r="F214" s="11" t="s">
        <v>40</v>
      </c>
      <c r="G214" s="11">
        <v>2017</v>
      </c>
      <c r="H214" s="12" t="str">
        <f>"270.92"</f>
        <v>270.92</v>
      </c>
      <c r="I214" s="12"/>
      <c r="J214" s="12"/>
      <c r="K214" s="12"/>
      <c r="L214" s="12"/>
      <c r="M214" s="12"/>
      <c r="N214" s="12"/>
      <c r="O214" s="12"/>
      <c r="P214" s="12"/>
      <c r="Q214" s="12"/>
      <c r="R214" s="12"/>
      <c r="S214" s="12"/>
      <c r="T214" s="12"/>
      <c r="U214" s="12"/>
      <c r="V214" s="12"/>
      <c r="W214" s="12"/>
      <c r="X214" s="12"/>
      <c r="Y214" s="12"/>
      <c r="Z214" s="12"/>
      <c r="AA214" s="12"/>
      <c r="AB214" s="12"/>
      <c r="AC214" s="12"/>
      <c r="AD214" s="12"/>
      <c r="AE214" s="12"/>
      <c r="AF214" s="12"/>
      <c r="AG214" s="12"/>
      <c r="AH214" s="12"/>
    </row>
    <row r="215" spans="1:34">
      <c r="A215" s="9">
        <v>213</v>
      </c>
      <c r="B215" s="9">
        <v>2201</v>
      </c>
      <c r="C215" s="9" t="s">
        <v>325</v>
      </c>
      <c r="D215" s="9" t="s">
        <v>39</v>
      </c>
      <c r="E215" s="10" t="str">
        <f>"313.54"</f>
        <v>313.54</v>
      </c>
      <c r="F215" s="11" t="s">
        <v>40</v>
      </c>
      <c r="G215" s="11">
        <v>2017</v>
      </c>
      <c r="H215" s="12" t="str">
        <f>"273.54"</f>
        <v>273.54</v>
      </c>
      <c r="I215" s="12"/>
      <c r="J215" s="12"/>
      <c r="K215" s="12"/>
      <c r="L215" s="12"/>
      <c r="M215" s="12"/>
      <c r="N215" s="12"/>
      <c r="O215" s="12"/>
      <c r="P215" s="12"/>
      <c r="Q215" s="12"/>
      <c r="R215" s="12"/>
      <c r="S215" s="12"/>
      <c r="T215" s="12"/>
      <c r="U215" s="12"/>
      <c r="V215" s="12"/>
      <c r="W215" s="12"/>
      <c r="X215" s="12"/>
      <c r="Y215" s="12"/>
      <c r="Z215" s="12"/>
      <c r="AA215" s="12"/>
      <c r="AB215" s="12"/>
      <c r="AC215" s="12"/>
      <c r="AD215" s="12"/>
      <c r="AE215" s="12"/>
      <c r="AF215" s="12"/>
      <c r="AG215" s="12"/>
      <c r="AH215" s="12"/>
    </row>
    <row r="216" spans="1:34">
      <c r="A216" s="9">
        <v>214</v>
      </c>
      <c r="B216" s="9">
        <v>10972</v>
      </c>
      <c r="C216" s="9" t="s">
        <v>326</v>
      </c>
      <c r="D216" s="9" t="s">
        <v>53</v>
      </c>
      <c r="E216" s="10" t="str">
        <f>"314.01"</f>
        <v>314.01</v>
      </c>
      <c r="F216" s="11"/>
      <c r="G216" s="11">
        <v>2017</v>
      </c>
      <c r="H216" s="12" t="str">
        <f>"506.59"</f>
        <v>506.59</v>
      </c>
      <c r="I216" s="12"/>
      <c r="J216" s="12"/>
      <c r="K216" s="12"/>
      <c r="L216" s="12"/>
      <c r="M216" s="12"/>
      <c r="N216" s="12"/>
      <c r="O216" s="12"/>
      <c r="P216" s="12"/>
      <c r="Q216" s="12" t="str">
        <f>"368.21"</f>
        <v>368.21</v>
      </c>
      <c r="R216" s="12"/>
      <c r="S216" s="12" t="str">
        <f>"259.81"</f>
        <v>259.81</v>
      </c>
      <c r="T216" s="12"/>
      <c r="U216" s="12"/>
      <c r="V216" s="12"/>
      <c r="W216" s="12"/>
      <c r="X216" s="12"/>
      <c r="Y216" s="12"/>
      <c r="Z216" s="12"/>
      <c r="AA216" s="12"/>
      <c r="AB216" s="12"/>
      <c r="AC216" s="12"/>
      <c r="AD216" s="12"/>
      <c r="AE216" s="12"/>
      <c r="AF216" s="12"/>
      <c r="AG216" s="12"/>
      <c r="AH216" s="12"/>
    </row>
    <row r="217" spans="1:34">
      <c r="A217" s="9">
        <v>215</v>
      </c>
      <c r="B217" s="9">
        <v>11075</v>
      </c>
      <c r="C217" s="9" t="s">
        <v>327</v>
      </c>
      <c r="D217" s="9" t="s">
        <v>179</v>
      </c>
      <c r="E217" s="10" t="str">
        <f>"314.07"</f>
        <v>314.07</v>
      </c>
      <c r="F217" s="11" t="s">
        <v>37</v>
      </c>
      <c r="G217" s="11">
        <v>2017</v>
      </c>
      <c r="H217" s="12" t="str">
        <f>"322.04"</f>
        <v>322.04</v>
      </c>
      <c r="I217" s="12"/>
      <c r="J217" s="12"/>
      <c r="K217" s="12"/>
      <c r="L217" s="12"/>
      <c r="M217" s="12"/>
      <c r="N217" s="12"/>
      <c r="O217" s="12"/>
      <c r="P217" s="12"/>
      <c r="Q217" s="12"/>
      <c r="R217" s="12"/>
      <c r="S217" s="12"/>
      <c r="T217" s="12"/>
      <c r="U217" s="12"/>
      <c r="V217" s="12" t="str">
        <f>"274.07"</f>
        <v>274.07</v>
      </c>
      <c r="W217" s="12"/>
      <c r="X217" s="12"/>
      <c r="Y217" s="12"/>
      <c r="Z217" s="12"/>
      <c r="AA217" s="12"/>
      <c r="AB217" s="12"/>
      <c r="AC217" s="12"/>
      <c r="AD217" s="12"/>
      <c r="AE217" s="12"/>
      <c r="AF217" s="12"/>
      <c r="AG217" s="12"/>
      <c r="AH217" s="12"/>
    </row>
    <row r="218" spans="1:34">
      <c r="A218" s="9">
        <v>216</v>
      </c>
      <c r="B218" s="9">
        <v>9985</v>
      </c>
      <c r="C218" s="9" t="s">
        <v>328</v>
      </c>
      <c r="D218" s="9" t="s">
        <v>48</v>
      </c>
      <c r="E218" s="10" t="str">
        <f>"316.14"</f>
        <v>316.14</v>
      </c>
      <c r="F218" s="11"/>
      <c r="G218" s="11">
        <v>2017</v>
      </c>
      <c r="H218" s="12" t="str">
        <f>"327.00"</f>
        <v>327.00</v>
      </c>
      <c r="I218" s="12"/>
      <c r="J218" s="12"/>
      <c r="K218" s="12"/>
      <c r="L218" s="12"/>
      <c r="M218" s="12"/>
      <c r="N218" s="12"/>
      <c r="O218" s="12"/>
      <c r="P218" s="12"/>
      <c r="Q218" s="12" t="str">
        <f>"295.17"</f>
        <v>295.17</v>
      </c>
      <c r="R218" s="12"/>
      <c r="S218" s="12"/>
      <c r="T218" s="12" t="str">
        <f>"337.11"</f>
        <v>337.11</v>
      </c>
      <c r="U218" s="12"/>
      <c r="V218" s="12"/>
      <c r="W218" s="12"/>
      <c r="X218" s="12"/>
      <c r="Y218" s="12"/>
      <c r="Z218" s="12"/>
      <c r="AA218" s="12"/>
      <c r="AB218" s="12"/>
      <c r="AC218" s="12"/>
      <c r="AD218" s="12"/>
      <c r="AE218" s="12"/>
      <c r="AF218" s="12"/>
      <c r="AG218" s="12"/>
      <c r="AH218" s="12"/>
    </row>
    <row r="219" spans="1:34">
      <c r="A219" s="9">
        <v>217</v>
      </c>
      <c r="B219" s="9">
        <v>10358</v>
      </c>
      <c r="C219" s="9" t="s">
        <v>329</v>
      </c>
      <c r="D219" s="9" t="s">
        <v>48</v>
      </c>
      <c r="E219" s="10" t="str">
        <f>"318.21"</f>
        <v>318.21</v>
      </c>
      <c r="F219" s="11"/>
      <c r="G219" s="11">
        <v>2017</v>
      </c>
      <c r="H219" s="12" t="str">
        <f>"441.69"</f>
        <v>441.69</v>
      </c>
      <c r="I219" s="12"/>
      <c r="J219" s="12"/>
      <c r="K219" s="12"/>
      <c r="L219" s="12"/>
      <c r="M219" s="12"/>
      <c r="N219" s="12"/>
      <c r="O219" s="12"/>
      <c r="P219" s="12"/>
      <c r="Q219" s="12" t="str">
        <f>"345.92"</f>
        <v>345.92</v>
      </c>
      <c r="R219" s="12"/>
      <c r="S219" s="12" t="str">
        <f>"290.50"</f>
        <v>290.50</v>
      </c>
      <c r="T219" s="12"/>
      <c r="U219" s="12"/>
      <c r="V219" s="12"/>
      <c r="W219" s="12"/>
      <c r="X219" s="12"/>
      <c r="Y219" s="12"/>
      <c r="Z219" s="12"/>
      <c r="AA219" s="12"/>
      <c r="AB219" s="12"/>
      <c r="AC219" s="12"/>
      <c r="AD219" s="12"/>
      <c r="AE219" s="12"/>
      <c r="AF219" s="12"/>
      <c r="AG219" s="12"/>
      <c r="AH219" s="12"/>
    </row>
    <row r="220" spans="1:34">
      <c r="A220" s="9">
        <v>218</v>
      </c>
      <c r="B220" s="9">
        <v>10873</v>
      </c>
      <c r="C220" s="9" t="s">
        <v>330</v>
      </c>
      <c r="D220" s="9" t="s">
        <v>39</v>
      </c>
      <c r="E220" s="10" t="str">
        <f>"321.48"</f>
        <v>321.48</v>
      </c>
      <c r="F220" s="11"/>
      <c r="G220" s="11">
        <v>2017</v>
      </c>
      <c r="H220" s="12"/>
      <c r="I220" s="12"/>
      <c r="J220" s="12"/>
      <c r="K220" s="12"/>
      <c r="L220" s="12"/>
      <c r="M220" s="12" t="str">
        <f>"415.37"</f>
        <v>415.37</v>
      </c>
      <c r="N220" s="12"/>
      <c r="O220" s="12"/>
      <c r="P220" s="12"/>
      <c r="Q220" s="12"/>
      <c r="R220" s="12"/>
      <c r="S220" s="12"/>
      <c r="T220" s="12"/>
      <c r="U220" s="12"/>
      <c r="V220" s="12"/>
      <c r="W220" s="12"/>
      <c r="X220" s="12"/>
      <c r="Y220" s="12"/>
      <c r="Z220" s="12" t="str">
        <f>"328.32"</f>
        <v>328.32</v>
      </c>
      <c r="AA220" s="12" t="str">
        <f>"411.46"</f>
        <v>411.46</v>
      </c>
      <c r="AB220" s="12"/>
      <c r="AC220" s="12"/>
      <c r="AD220" s="12"/>
      <c r="AE220" s="12"/>
      <c r="AF220" s="12" t="str">
        <f>"358.39"</f>
        <v>358.39</v>
      </c>
      <c r="AG220" s="12" t="str">
        <f>"314.63"</f>
        <v>314.63</v>
      </c>
      <c r="AH220" s="12" t="str">
        <f>"370.79"</f>
        <v>370.79</v>
      </c>
    </row>
    <row r="221" spans="1:34">
      <c r="A221" s="9">
        <v>219</v>
      </c>
      <c r="B221" s="9">
        <v>5703</v>
      </c>
      <c r="C221" s="9" t="s">
        <v>331</v>
      </c>
      <c r="D221" s="9" t="s">
        <v>51</v>
      </c>
      <c r="E221" s="10" t="str">
        <f>"322.07"</f>
        <v>322.07</v>
      </c>
      <c r="F221" s="11" t="s">
        <v>40</v>
      </c>
      <c r="G221" s="11">
        <v>2017</v>
      </c>
      <c r="H221" s="12" t="str">
        <f>"282.07"</f>
        <v>282.07</v>
      </c>
      <c r="I221" s="12"/>
      <c r="J221" s="12"/>
      <c r="K221" s="12"/>
      <c r="L221" s="12"/>
      <c r="M221" s="12"/>
      <c r="N221" s="12"/>
      <c r="O221" s="12"/>
      <c r="P221" s="12"/>
      <c r="Q221" s="12"/>
      <c r="R221" s="12"/>
      <c r="S221" s="12"/>
      <c r="T221" s="12"/>
      <c r="U221" s="12"/>
      <c r="V221" s="12"/>
      <c r="W221" s="12"/>
      <c r="X221" s="12"/>
      <c r="Y221" s="12"/>
      <c r="Z221" s="12"/>
      <c r="AA221" s="12"/>
      <c r="AB221" s="12"/>
      <c r="AC221" s="12"/>
      <c r="AD221" s="12"/>
      <c r="AE221" s="12"/>
      <c r="AF221" s="12"/>
      <c r="AG221" s="12"/>
      <c r="AH221" s="12"/>
    </row>
    <row r="222" spans="1:34">
      <c r="A222" s="9">
        <v>220</v>
      </c>
      <c r="B222" s="9">
        <v>6372</v>
      </c>
      <c r="C222" s="9" t="s">
        <v>332</v>
      </c>
      <c r="D222" s="9" t="s">
        <v>129</v>
      </c>
      <c r="E222" s="10" t="str">
        <f>"324.63"</f>
        <v>324.63</v>
      </c>
      <c r="F222" s="11" t="s">
        <v>40</v>
      </c>
      <c r="G222" s="11">
        <v>2017</v>
      </c>
      <c r="H222" s="12" t="str">
        <f>"284.63"</f>
        <v>284.63</v>
      </c>
      <c r="I222" s="12"/>
      <c r="J222" s="12"/>
      <c r="K222" s="12"/>
      <c r="L222" s="12"/>
      <c r="M222" s="12"/>
      <c r="N222" s="12"/>
      <c r="O222" s="12"/>
      <c r="P222" s="12"/>
      <c r="Q222" s="12"/>
      <c r="R222" s="12"/>
      <c r="S222" s="12"/>
      <c r="T222" s="12"/>
      <c r="U222" s="12"/>
      <c r="V222" s="12"/>
      <c r="W222" s="12"/>
      <c r="X222" s="12"/>
      <c r="Y222" s="12"/>
      <c r="Z222" s="12"/>
      <c r="AA222" s="12"/>
      <c r="AB222" s="12"/>
      <c r="AC222" s="12"/>
      <c r="AD222" s="12"/>
      <c r="AE222" s="12"/>
      <c r="AF222" s="12"/>
      <c r="AG222" s="12"/>
      <c r="AH222" s="12"/>
    </row>
    <row r="223" spans="1:34">
      <c r="A223" s="9">
        <v>221</v>
      </c>
      <c r="B223" s="9">
        <v>10330</v>
      </c>
      <c r="C223" s="9" t="s">
        <v>333</v>
      </c>
      <c r="D223" s="9" t="s">
        <v>231</v>
      </c>
      <c r="E223" s="10" t="str">
        <f>"325.38"</f>
        <v>325.38</v>
      </c>
      <c r="F223" s="11" t="s">
        <v>40</v>
      </c>
      <c r="G223" s="11">
        <v>2017</v>
      </c>
      <c r="H223" s="12" t="str">
        <f>"285.38"</f>
        <v>285.38</v>
      </c>
      <c r="I223" s="12"/>
      <c r="J223" s="12"/>
      <c r="K223" s="12"/>
      <c r="L223" s="12"/>
      <c r="M223" s="12"/>
      <c r="N223" s="12"/>
      <c r="O223" s="12"/>
      <c r="P223" s="12"/>
      <c r="Q223" s="12"/>
      <c r="R223" s="12"/>
      <c r="S223" s="12"/>
      <c r="T223" s="12"/>
      <c r="U223" s="12"/>
      <c r="V223" s="12"/>
      <c r="W223" s="12"/>
      <c r="X223" s="12"/>
      <c r="Y223" s="12"/>
      <c r="Z223" s="12"/>
      <c r="AA223" s="12"/>
      <c r="AB223" s="12"/>
      <c r="AC223" s="12"/>
      <c r="AD223" s="12"/>
      <c r="AE223" s="12"/>
      <c r="AF223" s="12"/>
      <c r="AG223" s="12"/>
      <c r="AH223" s="12"/>
    </row>
    <row r="224" spans="1:34">
      <c r="A224" s="9">
        <v>222</v>
      </c>
      <c r="B224" s="9">
        <v>9813</v>
      </c>
      <c r="C224" s="9" t="s">
        <v>334</v>
      </c>
      <c r="D224" s="9" t="s">
        <v>335</v>
      </c>
      <c r="E224" s="10" t="str">
        <f>"326.45"</f>
        <v>326.45</v>
      </c>
      <c r="F224" s="11" t="s">
        <v>40</v>
      </c>
      <c r="G224" s="11">
        <v>2017</v>
      </c>
      <c r="H224" s="12" t="str">
        <f>"286.45"</f>
        <v>286.45</v>
      </c>
      <c r="I224" s="12"/>
      <c r="J224" s="12"/>
      <c r="K224" s="12"/>
      <c r="L224" s="12"/>
      <c r="M224" s="12"/>
      <c r="N224" s="12"/>
      <c r="O224" s="12"/>
      <c r="P224" s="12"/>
      <c r="Q224" s="12"/>
      <c r="R224" s="12"/>
      <c r="S224" s="12"/>
      <c r="T224" s="12"/>
      <c r="U224" s="12"/>
      <c r="V224" s="12"/>
      <c r="W224" s="12"/>
      <c r="X224" s="12"/>
      <c r="Y224" s="12"/>
      <c r="Z224" s="12"/>
      <c r="AA224" s="12"/>
      <c r="AB224" s="12"/>
      <c r="AC224" s="12"/>
      <c r="AD224" s="12"/>
      <c r="AE224" s="12"/>
      <c r="AF224" s="12"/>
      <c r="AG224" s="12"/>
      <c r="AH224" s="12"/>
    </row>
    <row r="225" spans="1:34">
      <c r="A225" s="9">
        <v>223</v>
      </c>
      <c r="B225" s="9">
        <v>10848</v>
      </c>
      <c r="C225" s="9" t="s">
        <v>336</v>
      </c>
      <c r="D225" s="9" t="s">
        <v>39</v>
      </c>
      <c r="E225" s="10" t="str">
        <f>"327.50"</f>
        <v>327.50</v>
      </c>
      <c r="F225" s="11"/>
      <c r="G225" s="11">
        <v>2017</v>
      </c>
      <c r="H225" s="12" t="str">
        <f>"431.01"</f>
        <v>431.01</v>
      </c>
      <c r="I225" s="12" t="str">
        <f>"382.91"</f>
        <v>382.91</v>
      </c>
      <c r="J225" s="12" t="str">
        <f>"522.79"</f>
        <v>522.79</v>
      </c>
      <c r="K225" s="12"/>
      <c r="L225" s="12"/>
      <c r="M225" s="12" t="str">
        <f>"442.51"</f>
        <v>442.51</v>
      </c>
      <c r="N225" s="12"/>
      <c r="O225" s="12"/>
      <c r="P225" s="12"/>
      <c r="Q225" s="12"/>
      <c r="R225" s="12"/>
      <c r="S225" s="12"/>
      <c r="T225" s="12"/>
      <c r="U225" s="12"/>
      <c r="V225" s="12"/>
      <c r="W225" s="12"/>
      <c r="X225" s="12"/>
      <c r="Y225" s="12"/>
      <c r="Z225" s="12" t="str">
        <f>"324.08"</f>
        <v>324.08</v>
      </c>
      <c r="AA225" s="12"/>
      <c r="AB225" s="12"/>
      <c r="AC225" s="12"/>
      <c r="AD225" s="12"/>
      <c r="AE225" s="12"/>
      <c r="AF225" s="12"/>
      <c r="AG225" s="12" t="str">
        <f>"330.91"</f>
        <v>330.91</v>
      </c>
      <c r="AH225" s="12"/>
    </row>
    <row r="226" spans="1:34">
      <c r="A226" s="9">
        <v>224</v>
      </c>
      <c r="B226" s="9">
        <v>10741</v>
      </c>
      <c r="C226" s="9" t="s">
        <v>337</v>
      </c>
      <c r="D226" s="9" t="s">
        <v>71</v>
      </c>
      <c r="E226" s="10" t="str">
        <f>"328.83"</f>
        <v>328.83</v>
      </c>
      <c r="F226" s="11"/>
      <c r="G226" s="11">
        <v>2017</v>
      </c>
      <c r="H226" s="12" t="str">
        <f>"372.38"</f>
        <v>372.38</v>
      </c>
      <c r="I226" s="12"/>
      <c r="J226" s="12"/>
      <c r="K226" s="12"/>
      <c r="L226" s="12"/>
      <c r="M226" s="12"/>
      <c r="N226" s="12"/>
      <c r="O226" s="12"/>
      <c r="P226" s="12"/>
      <c r="Q226" s="12"/>
      <c r="R226" s="12"/>
      <c r="S226" s="12"/>
      <c r="T226" s="12"/>
      <c r="U226" s="12"/>
      <c r="V226" s="12"/>
      <c r="W226" s="12" t="str">
        <f>"387.28"</f>
        <v>387.28</v>
      </c>
      <c r="X226" s="12" t="str">
        <f>"329.31"</f>
        <v>329.31</v>
      </c>
      <c r="Y226" s="12" t="str">
        <f>"333.31"</f>
        <v>333.31</v>
      </c>
      <c r="Z226" s="12"/>
      <c r="AA226" s="12"/>
      <c r="AB226" s="12"/>
      <c r="AC226" s="12"/>
      <c r="AD226" s="12" t="str">
        <f>"328.35"</f>
        <v>328.35</v>
      </c>
      <c r="AE226" s="12"/>
      <c r="AF226" s="12"/>
      <c r="AG226" s="12"/>
      <c r="AH226" s="12"/>
    </row>
    <row r="227" spans="1:34">
      <c r="A227" s="9">
        <v>225</v>
      </c>
      <c r="B227" s="9">
        <v>3118</v>
      </c>
      <c r="C227" s="9" t="s">
        <v>338</v>
      </c>
      <c r="D227" s="9" t="s">
        <v>339</v>
      </c>
      <c r="E227" s="10" t="str">
        <f>"329.30"</f>
        <v>329.30</v>
      </c>
      <c r="F227" s="11" t="s">
        <v>40</v>
      </c>
      <c r="G227" s="11">
        <v>2017</v>
      </c>
      <c r="H227" s="12" t="str">
        <f>"289.30"</f>
        <v>289.30</v>
      </c>
      <c r="I227" s="12"/>
      <c r="J227" s="12"/>
      <c r="K227" s="12"/>
      <c r="L227" s="12"/>
      <c r="M227" s="12"/>
      <c r="N227" s="12"/>
      <c r="O227" s="12"/>
      <c r="P227" s="12"/>
      <c r="Q227" s="12"/>
      <c r="R227" s="12"/>
      <c r="S227" s="12"/>
      <c r="T227" s="12"/>
      <c r="U227" s="12"/>
      <c r="V227" s="12"/>
      <c r="W227" s="12"/>
      <c r="X227" s="12"/>
      <c r="Y227" s="12"/>
      <c r="Z227" s="12"/>
      <c r="AA227" s="12"/>
      <c r="AB227" s="12"/>
      <c r="AC227" s="12"/>
      <c r="AD227" s="12"/>
      <c r="AE227" s="12"/>
      <c r="AF227" s="12"/>
      <c r="AG227" s="12"/>
      <c r="AH227" s="12"/>
    </row>
    <row r="228" spans="1:34">
      <c r="A228" s="9">
        <v>226</v>
      </c>
      <c r="B228" s="9">
        <v>11387</v>
      </c>
      <c r="C228" s="9" t="s">
        <v>340</v>
      </c>
      <c r="D228" s="9" t="s">
        <v>48</v>
      </c>
      <c r="E228" s="10" t="str">
        <f>"329.52"</f>
        <v>329.52</v>
      </c>
      <c r="F228" s="11" t="s">
        <v>37</v>
      </c>
      <c r="G228" s="11">
        <v>2017</v>
      </c>
      <c r="H228" s="12"/>
      <c r="I228" s="12"/>
      <c r="J228" s="12"/>
      <c r="K228" s="12"/>
      <c r="L228" s="12"/>
      <c r="M228" s="12"/>
      <c r="N228" s="12"/>
      <c r="O228" s="12"/>
      <c r="P228" s="12"/>
      <c r="Q228" s="12"/>
      <c r="R228" s="12"/>
      <c r="S228" s="12" t="str">
        <f>"289.52"</f>
        <v>289.52</v>
      </c>
      <c r="T228" s="12"/>
      <c r="U228" s="12"/>
      <c r="V228" s="12"/>
      <c r="W228" s="12"/>
      <c r="X228" s="12"/>
      <c r="Y228" s="12"/>
      <c r="Z228" s="12"/>
      <c r="AA228" s="12"/>
      <c r="AB228" s="12"/>
      <c r="AC228" s="12"/>
      <c r="AD228" s="12"/>
      <c r="AE228" s="12"/>
      <c r="AF228" s="12"/>
      <c r="AG228" s="12"/>
      <c r="AH228" s="12"/>
    </row>
    <row r="229" spans="1:34">
      <c r="A229" s="9">
        <v>227</v>
      </c>
      <c r="B229" s="9">
        <v>10353</v>
      </c>
      <c r="C229" s="9" t="s">
        <v>341</v>
      </c>
      <c r="D229" s="9" t="s">
        <v>71</v>
      </c>
      <c r="E229" s="10" t="str">
        <f>"329.75"</f>
        <v>329.75</v>
      </c>
      <c r="F229" s="11" t="s">
        <v>37</v>
      </c>
      <c r="G229" s="11">
        <v>2017</v>
      </c>
      <c r="H229" s="12" t="str">
        <f>"347.81"</f>
        <v>347.81</v>
      </c>
      <c r="I229" s="12"/>
      <c r="J229" s="12"/>
      <c r="K229" s="12"/>
      <c r="L229" s="12"/>
      <c r="M229" s="12"/>
      <c r="N229" s="12"/>
      <c r="O229" s="12"/>
      <c r="P229" s="12"/>
      <c r="Q229" s="12"/>
      <c r="R229" s="12"/>
      <c r="S229" s="12"/>
      <c r="T229" s="12"/>
      <c r="U229" s="12"/>
      <c r="V229" s="12"/>
      <c r="W229" s="12"/>
      <c r="X229" s="12"/>
      <c r="Y229" s="12"/>
      <c r="Z229" s="12"/>
      <c r="AA229" s="12"/>
      <c r="AB229" s="12"/>
      <c r="AC229" s="12"/>
      <c r="AD229" s="12"/>
      <c r="AE229" s="12"/>
      <c r="AF229" s="12" t="str">
        <f>"289.75"</f>
        <v>289.75</v>
      </c>
      <c r="AG229" s="12"/>
      <c r="AH229" s="12"/>
    </row>
    <row r="230" spans="1:34">
      <c r="A230" s="9">
        <v>228</v>
      </c>
      <c r="B230" s="9">
        <v>3955</v>
      </c>
      <c r="C230" s="9" t="s">
        <v>342</v>
      </c>
      <c r="D230" s="9" t="s">
        <v>343</v>
      </c>
      <c r="E230" s="10" t="str">
        <f>"332.21"</f>
        <v>332.21</v>
      </c>
      <c r="F230" s="11"/>
      <c r="G230" s="11">
        <v>2017</v>
      </c>
      <c r="H230" s="12" t="str">
        <f>"333.67"</f>
        <v>333.67</v>
      </c>
      <c r="I230" s="12"/>
      <c r="J230" s="12"/>
      <c r="K230" s="12" t="str">
        <f>"319.50"</f>
        <v>319.50</v>
      </c>
      <c r="L230" s="12"/>
      <c r="M230" s="12"/>
      <c r="N230" s="12"/>
      <c r="O230" s="12"/>
      <c r="P230" s="12" t="str">
        <f>"402.46"</f>
        <v>402.46</v>
      </c>
      <c r="Q230" s="12"/>
      <c r="R230" s="12"/>
      <c r="S230" s="12"/>
      <c r="T230" s="12"/>
      <c r="U230" s="12"/>
      <c r="V230" s="12" t="str">
        <f>"344.91"</f>
        <v>344.91</v>
      </c>
      <c r="W230" s="12"/>
      <c r="X230" s="12"/>
      <c r="Y230" s="12"/>
      <c r="Z230" s="12"/>
      <c r="AA230" s="12"/>
      <c r="AB230" s="12"/>
      <c r="AC230" s="12"/>
      <c r="AD230" s="12"/>
      <c r="AE230" s="12"/>
      <c r="AF230" s="12"/>
      <c r="AG230" s="12"/>
      <c r="AH230" s="12"/>
    </row>
    <row r="231" spans="1:34">
      <c r="A231" s="9">
        <v>229</v>
      </c>
      <c r="B231" s="9">
        <v>7580</v>
      </c>
      <c r="C231" s="9" t="s">
        <v>344</v>
      </c>
      <c r="D231" s="9" t="s">
        <v>111</v>
      </c>
      <c r="E231" s="10" t="str">
        <f>"334.85"</f>
        <v>334.85</v>
      </c>
      <c r="F231" s="11" t="s">
        <v>40</v>
      </c>
      <c r="G231" s="11">
        <v>2017</v>
      </c>
      <c r="H231" s="12" t="str">
        <f>"294.85"</f>
        <v>294.85</v>
      </c>
      <c r="I231" s="12"/>
      <c r="J231" s="12"/>
      <c r="K231" s="12"/>
      <c r="L231" s="12"/>
      <c r="M231" s="12"/>
      <c r="N231" s="12"/>
      <c r="O231" s="12"/>
      <c r="P231" s="12"/>
      <c r="Q231" s="12"/>
      <c r="R231" s="12"/>
      <c r="S231" s="12"/>
      <c r="T231" s="12"/>
      <c r="U231" s="12"/>
      <c r="V231" s="12"/>
      <c r="W231" s="12"/>
      <c r="X231" s="12"/>
      <c r="Y231" s="12"/>
      <c r="Z231" s="12"/>
      <c r="AA231" s="12"/>
      <c r="AB231" s="12"/>
      <c r="AC231" s="12"/>
      <c r="AD231" s="12"/>
      <c r="AE231" s="12"/>
      <c r="AF231" s="12"/>
      <c r="AG231" s="12"/>
      <c r="AH231" s="12"/>
    </row>
    <row r="232" spans="1:34">
      <c r="A232" s="9">
        <v>230</v>
      </c>
      <c r="B232" s="9">
        <v>10243</v>
      </c>
      <c r="C232" s="9" t="s">
        <v>345</v>
      </c>
      <c r="D232" s="9" t="s">
        <v>346</v>
      </c>
      <c r="E232" s="10" t="str">
        <f>"335.30"</f>
        <v>335.30</v>
      </c>
      <c r="F232" s="11" t="s">
        <v>40</v>
      </c>
      <c r="G232" s="11">
        <v>2017</v>
      </c>
      <c r="H232" s="12" t="str">
        <f>"295.30"</f>
        <v>295.30</v>
      </c>
      <c r="I232" s="12"/>
      <c r="J232" s="12"/>
      <c r="K232" s="12"/>
      <c r="L232" s="12"/>
      <c r="M232" s="12"/>
      <c r="N232" s="12"/>
      <c r="O232" s="12"/>
      <c r="P232" s="12"/>
      <c r="Q232" s="12"/>
      <c r="R232" s="12"/>
      <c r="S232" s="12"/>
      <c r="T232" s="12"/>
      <c r="U232" s="12"/>
      <c r="V232" s="12"/>
      <c r="W232" s="12"/>
      <c r="X232" s="12"/>
      <c r="Y232" s="12"/>
      <c r="Z232" s="12"/>
      <c r="AA232" s="12"/>
      <c r="AB232" s="12"/>
      <c r="AC232" s="12"/>
      <c r="AD232" s="12"/>
      <c r="AE232" s="12"/>
      <c r="AF232" s="12"/>
      <c r="AG232" s="12"/>
      <c r="AH232" s="12"/>
    </row>
    <row r="233" spans="1:34">
      <c r="A233" s="9">
        <v>231</v>
      </c>
      <c r="B233" s="9">
        <v>2241</v>
      </c>
      <c r="C233" s="9" t="s">
        <v>347</v>
      </c>
      <c r="D233" s="9" t="s">
        <v>39</v>
      </c>
      <c r="E233" s="10" t="str">
        <f>"335.61"</f>
        <v>335.61</v>
      </c>
      <c r="F233" s="11"/>
      <c r="G233" s="11">
        <v>2017</v>
      </c>
      <c r="H233" s="12" t="str">
        <f>"247.35"</f>
        <v>247.35</v>
      </c>
      <c r="I233" s="12"/>
      <c r="J233" s="12"/>
      <c r="K233" s="12"/>
      <c r="L233" s="12"/>
      <c r="M233" s="12"/>
      <c r="N233" s="12" t="str">
        <f>"350.09"</f>
        <v>350.09</v>
      </c>
      <c r="O233" s="12"/>
      <c r="P233" s="12"/>
      <c r="Q233" s="12"/>
      <c r="R233" s="12"/>
      <c r="S233" s="12"/>
      <c r="T233" s="12"/>
      <c r="U233" s="12"/>
      <c r="V233" s="12"/>
      <c r="W233" s="12"/>
      <c r="X233" s="12"/>
      <c r="Y233" s="12"/>
      <c r="Z233" s="12"/>
      <c r="AA233" s="12" t="str">
        <f>"321.13"</f>
        <v>321.13</v>
      </c>
      <c r="AB233" s="12"/>
      <c r="AC233" s="12"/>
      <c r="AD233" s="12"/>
      <c r="AE233" s="12"/>
      <c r="AF233" s="12"/>
      <c r="AG233" s="12"/>
      <c r="AH233" s="12"/>
    </row>
    <row r="234" spans="1:34">
      <c r="A234" s="9">
        <v>232</v>
      </c>
      <c r="B234" s="9">
        <v>10658</v>
      </c>
      <c r="C234" s="9" t="s">
        <v>348</v>
      </c>
      <c r="D234" s="9" t="s">
        <v>53</v>
      </c>
      <c r="E234" s="10" t="str">
        <f>"335.67"</f>
        <v>335.67</v>
      </c>
      <c r="F234" s="11" t="s">
        <v>37</v>
      </c>
      <c r="G234" s="11">
        <v>2017</v>
      </c>
      <c r="H234" s="12" t="str">
        <f>"351.76"</f>
        <v>351.76</v>
      </c>
      <c r="I234" s="12"/>
      <c r="J234" s="12"/>
      <c r="K234" s="12"/>
      <c r="L234" s="12"/>
      <c r="M234" s="12"/>
      <c r="N234" s="12"/>
      <c r="O234" s="12"/>
      <c r="P234" s="12"/>
      <c r="Q234" s="12" t="str">
        <f>"295.67"</f>
        <v>295.67</v>
      </c>
      <c r="R234" s="12"/>
      <c r="S234" s="12"/>
      <c r="T234" s="12"/>
      <c r="U234" s="12"/>
      <c r="V234" s="12"/>
      <c r="W234" s="12"/>
      <c r="X234" s="12"/>
      <c r="Y234" s="12"/>
      <c r="Z234" s="12"/>
      <c r="AA234" s="12"/>
      <c r="AB234" s="12"/>
      <c r="AC234" s="12"/>
      <c r="AD234" s="12"/>
      <c r="AE234" s="12"/>
      <c r="AF234" s="12"/>
      <c r="AG234" s="12"/>
      <c r="AH234" s="12"/>
    </row>
    <row r="235" spans="1:34">
      <c r="A235" s="9">
        <v>233</v>
      </c>
      <c r="B235" s="9">
        <v>3826</v>
      </c>
      <c r="C235" s="9" t="s">
        <v>349</v>
      </c>
      <c r="D235" s="9" t="s">
        <v>181</v>
      </c>
      <c r="E235" s="10" t="str">
        <f>"341.99"</f>
        <v>341.99</v>
      </c>
      <c r="F235" s="11" t="s">
        <v>37</v>
      </c>
      <c r="G235" s="11">
        <v>2017</v>
      </c>
      <c r="H235" s="12" t="str">
        <f>"308.74"</f>
        <v>308.74</v>
      </c>
      <c r="I235" s="12"/>
      <c r="J235" s="12"/>
      <c r="K235" s="12" t="str">
        <f>"301.99"</f>
        <v>301.99</v>
      </c>
      <c r="L235" s="12"/>
      <c r="M235" s="12"/>
      <c r="N235" s="12"/>
      <c r="O235" s="12"/>
      <c r="P235" s="12"/>
      <c r="Q235" s="12"/>
      <c r="R235" s="12"/>
      <c r="S235" s="12"/>
      <c r="T235" s="12"/>
      <c r="U235" s="12"/>
      <c r="V235" s="12"/>
      <c r="W235" s="12"/>
      <c r="X235" s="12"/>
      <c r="Y235" s="12"/>
      <c r="Z235" s="12"/>
      <c r="AA235" s="12"/>
      <c r="AB235" s="12"/>
      <c r="AC235" s="12"/>
      <c r="AD235" s="12"/>
      <c r="AE235" s="12"/>
      <c r="AF235" s="12"/>
      <c r="AG235" s="12"/>
      <c r="AH235" s="12"/>
    </row>
    <row r="236" spans="1:34">
      <c r="A236" s="9">
        <v>234</v>
      </c>
      <c r="B236" s="9">
        <v>3434</v>
      </c>
      <c r="C236" s="9" t="s">
        <v>350</v>
      </c>
      <c r="D236" s="9" t="s">
        <v>36</v>
      </c>
      <c r="E236" s="10" t="str">
        <f>"342.30"</f>
        <v>342.30</v>
      </c>
      <c r="F236" s="11" t="s">
        <v>40</v>
      </c>
      <c r="G236" s="11">
        <v>2017</v>
      </c>
      <c r="H236" s="12" t="str">
        <f>"302.30"</f>
        <v>302.30</v>
      </c>
      <c r="I236" s="12"/>
      <c r="J236" s="12"/>
      <c r="K236" s="12"/>
      <c r="L236" s="12"/>
      <c r="M236" s="12"/>
      <c r="N236" s="12"/>
      <c r="O236" s="12"/>
      <c r="P236" s="12"/>
      <c r="Q236" s="12"/>
      <c r="R236" s="12"/>
      <c r="S236" s="12"/>
      <c r="T236" s="12"/>
      <c r="U236" s="12"/>
      <c r="V236" s="12"/>
      <c r="W236" s="12"/>
      <c r="X236" s="12"/>
      <c r="Y236" s="12"/>
      <c r="Z236" s="12"/>
      <c r="AA236" s="12"/>
      <c r="AB236" s="12"/>
      <c r="AC236" s="12"/>
      <c r="AD236" s="12"/>
      <c r="AE236" s="12"/>
      <c r="AF236" s="12"/>
      <c r="AG236" s="12"/>
      <c r="AH236" s="12"/>
    </row>
    <row r="237" spans="1:34">
      <c r="A237" s="9">
        <v>235</v>
      </c>
      <c r="B237" s="9">
        <v>11104</v>
      </c>
      <c r="C237" s="9" t="s">
        <v>351</v>
      </c>
      <c r="D237" s="9" t="s">
        <v>48</v>
      </c>
      <c r="E237" s="10" t="str">
        <f>"342.56"</f>
        <v>342.56</v>
      </c>
      <c r="F237" s="11" t="s">
        <v>37</v>
      </c>
      <c r="G237" s="11">
        <v>2017</v>
      </c>
      <c r="H237" s="12" t="str">
        <f>"334.59"</f>
        <v>334.59</v>
      </c>
      <c r="I237" s="12"/>
      <c r="J237" s="12"/>
      <c r="K237" s="12"/>
      <c r="L237" s="12"/>
      <c r="M237" s="12"/>
      <c r="N237" s="12"/>
      <c r="O237" s="12"/>
      <c r="P237" s="12"/>
      <c r="Q237" s="12"/>
      <c r="R237" s="12"/>
      <c r="S237" s="12"/>
      <c r="T237" s="12"/>
      <c r="U237" s="12" t="str">
        <f>"302.56"</f>
        <v>302.56</v>
      </c>
      <c r="V237" s="12"/>
      <c r="W237" s="12"/>
      <c r="X237" s="12"/>
      <c r="Y237" s="12"/>
      <c r="Z237" s="12"/>
      <c r="AA237" s="12"/>
      <c r="AB237" s="12"/>
      <c r="AC237" s="12"/>
      <c r="AD237" s="12"/>
      <c r="AE237" s="12"/>
      <c r="AF237" s="12"/>
      <c r="AG237" s="12"/>
      <c r="AH237" s="12"/>
    </row>
    <row r="238" spans="1:34">
      <c r="A238" s="9">
        <v>236</v>
      </c>
      <c r="B238" s="9">
        <v>10968</v>
      </c>
      <c r="C238" s="9" t="s">
        <v>352</v>
      </c>
      <c r="D238" s="9" t="s">
        <v>53</v>
      </c>
      <c r="E238" s="10" t="str">
        <f>"345.37"</f>
        <v>345.37</v>
      </c>
      <c r="F238" s="11" t="s">
        <v>40</v>
      </c>
      <c r="G238" s="11">
        <v>2017</v>
      </c>
      <c r="H238" s="12" t="str">
        <f>"305.37"</f>
        <v>305.37</v>
      </c>
      <c r="I238" s="12"/>
      <c r="J238" s="12"/>
      <c r="K238" s="12"/>
      <c r="L238" s="12"/>
      <c r="M238" s="12"/>
      <c r="N238" s="12"/>
      <c r="O238" s="12"/>
      <c r="P238" s="12"/>
      <c r="Q238" s="12"/>
      <c r="R238" s="12"/>
      <c r="S238" s="12"/>
      <c r="T238" s="12"/>
      <c r="U238" s="12"/>
      <c r="V238" s="12"/>
      <c r="W238" s="12"/>
      <c r="X238" s="12"/>
      <c r="Y238" s="12"/>
      <c r="Z238" s="12"/>
      <c r="AA238" s="12"/>
      <c r="AB238" s="12"/>
      <c r="AC238" s="12"/>
      <c r="AD238" s="12"/>
      <c r="AE238" s="12"/>
      <c r="AF238" s="12"/>
      <c r="AG238" s="12"/>
      <c r="AH238" s="12"/>
    </row>
    <row r="239" spans="1:34">
      <c r="A239" s="9">
        <v>237</v>
      </c>
      <c r="B239" s="9">
        <v>11385</v>
      </c>
      <c r="C239" s="9" t="s">
        <v>353</v>
      </c>
      <c r="D239" s="9" t="s">
        <v>48</v>
      </c>
      <c r="E239" s="10" t="str">
        <f>"346.33"</f>
        <v>346.33</v>
      </c>
      <c r="F239" s="11" t="s">
        <v>37</v>
      </c>
      <c r="G239" s="11">
        <v>2017</v>
      </c>
      <c r="H239" s="12"/>
      <c r="I239" s="12"/>
      <c r="J239" s="12"/>
      <c r="K239" s="12"/>
      <c r="L239" s="12"/>
      <c r="M239" s="12"/>
      <c r="N239" s="12"/>
      <c r="O239" s="12"/>
      <c r="P239" s="12"/>
      <c r="Q239" s="12"/>
      <c r="R239" s="12"/>
      <c r="S239" s="12" t="str">
        <f>"306.33"</f>
        <v>306.33</v>
      </c>
      <c r="T239" s="12"/>
      <c r="U239" s="12"/>
      <c r="V239" s="12"/>
      <c r="W239" s="12"/>
      <c r="X239" s="12"/>
      <c r="Y239" s="12"/>
      <c r="Z239" s="12"/>
      <c r="AA239" s="12"/>
      <c r="AB239" s="12"/>
      <c r="AC239" s="12"/>
      <c r="AD239" s="12"/>
      <c r="AE239" s="12"/>
      <c r="AF239" s="12"/>
      <c r="AG239" s="12"/>
      <c r="AH239" s="12"/>
    </row>
    <row r="240" spans="1:34">
      <c r="A240" s="9">
        <v>238</v>
      </c>
      <c r="B240" s="9">
        <v>1378</v>
      </c>
      <c r="C240" s="9" t="s">
        <v>354</v>
      </c>
      <c r="D240" s="9" t="s">
        <v>181</v>
      </c>
      <c r="E240" s="10" t="str">
        <f>"346.38"</f>
        <v>346.38</v>
      </c>
      <c r="F240" s="11" t="s">
        <v>40</v>
      </c>
      <c r="G240" s="11">
        <v>2017</v>
      </c>
      <c r="H240" s="12" t="str">
        <f>"306.38"</f>
        <v>306.38</v>
      </c>
      <c r="I240" s="12"/>
      <c r="J240" s="12"/>
      <c r="K240" s="12"/>
      <c r="L240" s="12"/>
      <c r="M240" s="12"/>
      <c r="N240" s="12"/>
      <c r="O240" s="12"/>
      <c r="P240" s="12"/>
      <c r="Q240" s="12"/>
      <c r="R240" s="12"/>
      <c r="S240" s="12"/>
      <c r="T240" s="12"/>
      <c r="U240" s="12"/>
      <c r="V240" s="12"/>
      <c r="W240" s="12"/>
      <c r="X240" s="12"/>
      <c r="Y240" s="12"/>
      <c r="Z240" s="12"/>
      <c r="AA240" s="12"/>
      <c r="AB240" s="12"/>
      <c r="AC240" s="12"/>
      <c r="AD240" s="12"/>
      <c r="AE240" s="12"/>
      <c r="AF240" s="12"/>
      <c r="AG240" s="12"/>
      <c r="AH240" s="12"/>
    </row>
    <row r="241" spans="1:34">
      <c r="A241" s="9">
        <v>239</v>
      </c>
      <c r="B241" s="9">
        <v>11088</v>
      </c>
      <c r="C241" s="9" t="s">
        <v>355</v>
      </c>
      <c r="D241" s="9" t="s">
        <v>71</v>
      </c>
      <c r="E241" s="10" t="str">
        <f>"346.54"</f>
        <v>346.54</v>
      </c>
      <c r="F241" s="11"/>
      <c r="G241" s="11">
        <v>2017</v>
      </c>
      <c r="H241" s="12" t="str">
        <f>"444.24"</f>
        <v>444.24</v>
      </c>
      <c r="I241" s="12"/>
      <c r="J241" s="12"/>
      <c r="K241" s="12"/>
      <c r="L241" s="12"/>
      <c r="M241" s="12"/>
      <c r="N241" s="12"/>
      <c r="O241" s="12"/>
      <c r="P241" s="12"/>
      <c r="Q241" s="12"/>
      <c r="R241" s="12" t="str">
        <f>"389.51"</f>
        <v>389.51</v>
      </c>
      <c r="S241" s="12"/>
      <c r="T241" s="12"/>
      <c r="U241" s="12"/>
      <c r="V241" s="12"/>
      <c r="W241" s="12" t="str">
        <f>"376.63"</f>
        <v>376.63</v>
      </c>
      <c r="X241" s="12"/>
      <c r="Y241" s="12"/>
      <c r="Z241" s="12"/>
      <c r="AA241" s="12"/>
      <c r="AB241" s="12"/>
      <c r="AC241" s="12"/>
      <c r="AD241" s="12"/>
      <c r="AE241" s="12"/>
      <c r="AF241" s="12" t="str">
        <f>"316.45"</f>
        <v>316.45</v>
      </c>
      <c r="AG241" s="12"/>
      <c r="AH241" s="12"/>
    </row>
    <row r="242" spans="1:34">
      <c r="A242" s="9">
        <v>240</v>
      </c>
      <c r="B242" s="9">
        <v>11367</v>
      </c>
      <c r="C242" s="9" t="s">
        <v>356</v>
      </c>
      <c r="D242" s="9" t="s">
        <v>357</v>
      </c>
      <c r="E242" s="10" t="str">
        <f>"346.93"</f>
        <v>346.93</v>
      </c>
      <c r="F242" s="11" t="s">
        <v>37</v>
      </c>
      <c r="G242" s="11">
        <v>2017</v>
      </c>
      <c r="H242" s="12"/>
      <c r="I242" s="12"/>
      <c r="J242" s="12"/>
      <c r="K242" s="12"/>
      <c r="L242" s="12"/>
      <c r="M242" s="12"/>
      <c r="N242" s="12"/>
      <c r="O242" s="12"/>
      <c r="P242" s="12" t="str">
        <f>"306.93"</f>
        <v>306.93</v>
      </c>
      <c r="Q242" s="12"/>
      <c r="R242" s="12"/>
      <c r="S242" s="12"/>
      <c r="T242" s="12"/>
      <c r="U242" s="12"/>
      <c r="V242" s="12"/>
      <c r="W242" s="12"/>
      <c r="X242" s="12"/>
      <c r="Y242" s="12"/>
      <c r="Z242" s="12"/>
      <c r="AA242" s="12"/>
      <c r="AB242" s="12"/>
      <c r="AC242" s="12"/>
      <c r="AD242" s="12"/>
      <c r="AE242" s="12"/>
      <c r="AF242" s="12"/>
      <c r="AG242" s="12"/>
      <c r="AH242" s="12"/>
    </row>
    <row r="243" spans="1:34">
      <c r="A243" s="9">
        <v>241</v>
      </c>
      <c r="B243" s="9">
        <v>8898</v>
      </c>
      <c r="C243" s="9" t="s">
        <v>358</v>
      </c>
      <c r="D243" s="9" t="s">
        <v>127</v>
      </c>
      <c r="E243" s="10" t="str">
        <f>"347.71"</f>
        <v>347.71</v>
      </c>
      <c r="F243" s="11" t="s">
        <v>40</v>
      </c>
      <c r="G243" s="11">
        <v>2017</v>
      </c>
      <c r="H243" s="12" t="str">
        <f>"307.71"</f>
        <v>307.71</v>
      </c>
      <c r="I243" s="12"/>
      <c r="J243" s="12"/>
      <c r="K243" s="12"/>
      <c r="L243" s="12"/>
      <c r="M243" s="12"/>
      <c r="N243" s="12"/>
      <c r="O243" s="12"/>
      <c r="P243" s="12"/>
      <c r="Q243" s="12"/>
      <c r="R243" s="12"/>
      <c r="S243" s="12"/>
      <c r="T243" s="12"/>
      <c r="U243" s="12"/>
      <c r="V243" s="12"/>
      <c r="W243" s="12"/>
      <c r="X243" s="12"/>
      <c r="Y243" s="12"/>
      <c r="Z243" s="12"/>
      <c r="AA243" s="12"/>
      <c r="AB243" s="12"/>
      <c r="AC243" s="12"/>
      <c r="AD243" s="12"/>
      <c r="AE243" s="12"/>
      <c r="AF243" s="12"/>
      <c r="AG243" s="12"/>
      <c r="AH243" s="12"/>
    </row>
    <row r="244" spans="1:34">
      <c r="A244" s="9">
        <v>242</v>
      </c>
      <c r="B244" s="9">
        <v>10767</v>
      </c>
      <c r="C244" s="9" t="s">
        <v>359</v>
      </c>
      <c r="D244" s="9" t="s">
        <v>71</v>
      </c>
      <c r="E244" s="10" t="str">
        <f>"348.06"</f>
        <v>348.06</v>
      </c>
      <c r="F244" s="11" t="s">
        <v>37</v>
      </c>
      <c r="G244" s="11">
        <v>2017</v>
      </c>
      <c r="H244" s="12" t="str">
        <f>"425.99"</f>
        <v>425.99</v>
      </c>
      <c r="I244" s="12"/>
      <c r="J244" s="12"/>
      <c r="K244" s="12"/>
      <c r="L244" s="12"/>
      <c r="M244" s="12"/>
      <c r="N244" s="12"/>
      <c r="O244" s="12"/>
      <c r="P244" s="12"/>
      <c r="Q244" s="12"/>
      <c r="R244" s="12"/>
      <c r="S244" s="12"/>
      <c r="T244" s="12"/>
      <c r="U244" s="12"/>
      <c r="V244" s="12"/>
      <c r="W244" s="12" t="str">
        <f>"308.06"</f>
        <v>308.06</v>
      </c>
      <c r="X244" s="12"/>
      <c r="Y244" s="12"/>
      <c r="Z244" s="12"/>
      <c r="AA244" s="12"/>
      <c r="AB244" s="12"/>
      <c r="AC244" s="12"/>
      <c r="AD244" s="12"/>
      <c r="AE244" s="12"/>
      <c r="AF244" s="12"/>
      <c r="AG244" s="12"/>
      <c r="AH244" s="12"/>
    </row>
    <row r="245" spans="1:34">
      <c r="A245" s="9">
        <v>243</v>
      </c>
      <c r="B245" s="9">
        <v>10374</v>
      </c>
      <c r="C245" s="9" t="s">
        <v>360</v>
      </c>
      <c r="D245" s="9" t="s">
        <v>226</v>
      </c>
      <c r="E245" s="10" t="str">
        <f>"349.08"</f>
        <v>349.08</v>
      </c>
      <c r="F245" s="11" t="s">
        <v>40</v>
      </c>
      <c r="G245" s="11">
        <v>2017</v>
      </c>
      <c r="H245" s="12" t="str">
        <f>"309.08"</f>
        <v>309.08</v>
      </c>
      <c r="I245" s="12"/>
      <c r="J245" s="12"/>
      <c r="K245" s="12"/>
      <c r="L245" s="12"/>
      <c r="M245" s="12"/>
      <c r="N245" s="12"/>
      <c r="O245" s="12"/>
      <c r="P245" s="12"/>
      <c r="Q245" s="12"/>
      <c r="R245" s="12"/>
      <c r="S245" s="12"/>
      <c r="T245" s="12"/>
      <c r="U245" s="12"/>
      <c r="V245" s="12"/>
      <c r="W245" s="12"/>
      <c r="X245" s="12"/>
      <c r="Y245" s="12"/>
      <c r="Z245" s="12"/>
      <c r="AA245" s="12"/>
      <c r="AB245" s="12"/>
      <c r="AC245" s="12"/>
      <c r="AD245" s="12"/>
      <c r="AE245" s="12"/>
      <c r="AF245" s="12"/>
      <c r="AG245" s="12"/>
      <c r="AH245" s="12"/>
    </row>
    <row r="246" spans="1:34">
      <c r="A246" s="9">
        <v>244</v>
      </c>
      <c r="B246" s="9">
        <v>7029</v>
      </c>
      <c r="C246" s="9" t="s">
        <v>361</v>
      </c>
      <c r="D246" s="9" t="s">
        <v>362</v>
      </c>
      <c r="E246" s="10" t="str">
        <f>"352.75"</f>
        <v>352.75</v>
      </c>
      <c r="F246" s="11" t="s">
        <v>40</v>
      </c>
      <c r="G246" s="11">
        <v>2017</v>
      </c>
      <c r="H246" s="12" t="str">
        <f>"312.75"</f>
        <v>312.75</v>
      </c>
      <c r="I246" s="12"/>
      <c r="J246" s="12"/>
      <c r="K246" s="12"/>
      <c r="L246" s="12"/>
      <c r="M246" s="12"/>
      <c r="N246" s="12"/>
      <c r="O246" s="12"/>
      <c r="P246" s="12"/>
      <c r="Q246" s="12"/>
      <c r="R246" s="12"/>
      <c r="S246" s="12"/>
      <c r="T246" s="12"/>
      <c r="U246" s="12"/>
      <c r="V246" s="12"/>
      <c r="W246" s="12"/>
      <c r="X246" s="12"/>
      <c r="Y246" s="12"/>
      <c r="Z246" s="12"/>
      <c r="AA246" s="12"/>
      <c r="AB246" s="12"/>
      <c r="AC246" s="12"/>
      <c r="AD246" s="12"/>
      <c r="AE246" s="12"/>
      <c r="AF246" s="12"/>
      <c r="AG246" s="12"/>
      <c r="AH246" s="12"/>
    </row>
    <row r="247" spans="1:34">
      <c r="A247" s="9">
        <v>245</v>
      </c>
      <c r="B247" s="9">
        <v>8355</v>
      </c>
      <c r="C247" s="9" t="s">
        <v>363</v>
      </c>
      <c r="D247" s="9" t="s">
        <v>364</v>
      </c>
      <c r="E247" s="10" t="str">
        <f>"357.47"</f>
        <v>357.47</v>
      </c>
      <c r="F247" s="11" t="s">
        <v>37</v>
      </c>
      <c r="G247" s="11">
        <v>2017</v>
      </c>
      <c r="H247" s="12" t="str">
        <f>"345.67"</f>
        <v>345.67</v>
      </c>
      <c r="I247" s="12"/>
      <c r="J247" s="12"/>
      <c r="K247" s="12"/>
      <c r="L247" s="12"/>
      <c r="M247" s="12"/>
      <c r="N247" s="12"/>
      <c r="O247" s="12"/>
      <c r="P247" s="12"/>
      <c r="Q247" s="12" t="str">
        <f>"317.47"</f>
        <v>317.47</v>
      </c>
      <c r="R247" s="12"/>
      <c r="S247" s="12"/>
      <c r="T247" s="12"/>
      <c r="U247" s="12"/>
      <c r="V247" s="12"/>
      <c r="W247" s="12"/>
      <c r="X247" s="12"/>
      <c r="Y247" s="12"/>
      <c r="Z247" s="12"/>
      <c r="AA247" s="12"/>
      <c r="AB247" s="12"/>
      <c r="AC247" s="12"/>
      <c r="AD247" s="12"/>
      <c r="AE247" s="12"/>
      <c r="AF247" s="12"/>
      <c r="AG247" s="12"/>
      <c r="AH247" s="12"/>
    </row>
    <row r="248" spans="1:34">
      <c r="A248" s="9">
        <v>246</v>
      </c>
      <c r="B248" s="9">
        <v>11374</v>
      </c>
      <c r="C248" s="9" t="s">
        <v>365</v>
      </c>
      <c r="D248" s="9" t="s">
        <v>185</v>
      </c>
      <c r="E248" s="10" t="str">
        <f>"358.01"</f>
        <v>358.01</v>
      </c>
      <c r="F248" s="11"/>
      <c r="G248" s="11">
        <v>2017</v>
      </c>
      <c r="H248" s="12"/>
      <c r="I248" s="12"/>
      <c r="J248" s="12"/>
      <c r="K248" s="12"/>
      <c r="L248" s="12"/>
      <c r="M248" s="12"/>
      <c r="N248" s="12"/>
      <c r="O248" s="12"/>
      <c r="P248" s="12"/>
      <c r="Q248" s="12"/>
      <c r="R248" s="12"/>
      <c r="S248" s="12"/>
      <c r="T248" s="12"/>
      <c r="U248" s="12"/>
      <c r="V248" s="12"/>
      <c r="W248" s="12"/>
      <c r="X248" s="12" t="str">
        <f>"355.75"</f>
        <v>355.75</v>
      </c>
      <c r="Y248" s="12"/>
      <c r="Z248" s="12"/>
      <c r="AA248" s="12"/>
      <c r="AB248" s="12"/>
      <c r="AC248" s="12"/>
      <c r="AD248" s="12" t="str">
        <f>"360.27"</f>
        <v>360.27</v>
      </c>
      <c r="AE248" s="12"/>
      <c r="AF248" s="12"/>
      <c r="AG248" s="12"/>
      <c r="AH248" s="12"/>
    </row>
    <row r="249" spans="1:34">
      <c r="A249" s="9">
        <v>247</v>
      </c>
      <c r="B249" s="9">
        <v>10973</v>
      </c>
      <c r="C249" s="9" t="s">
        <v>366</v>
      </c>
      <c r="D249" s="9" t="s">
        <v>53</v>
      </c>
      <c r="E249" s="10" t="str">
        <f>"360.28"</f>
        <v>360.28</v>
      </c>
      <c r="F249" s="11" t="s">
        <v>40</v>
      </c>
      <c r="G249" s="11">
        <v>2017</v>
      </c>
      <c r="H249" s="12" t="str">
        <f>"320.28"</f>
        <v>320.28</v>
      </c>
      <c r="I249" s="12"/>
      <c r="J249" s="12"/>
      <c r="K249" s="12"/>
      <c r="L249" s="12"/>
      <c r="M249" s="12"/>
      <c r="N249" s="12"/>
      <c r="O249" s="12"/>
      <c r="P249" s="12"/>
      <c r="Q249" s="12"/>
      <c r="R249" s="12"/>
      <c r="S249" s="12"/>
      <c r="T249" s="12"/>
      <c r="U249" s="12"/>
      <c r="V249" s="12"/>
      <c r="W249" s="12"/>
      <c r="X249" s="12"/>
      <c r="Y249" s="12"/>
      <c r="Z249" s="12"/>
      <c r="AA249" s="12"/>
      <c r="AB249" s="12"/>
      <c r="AC249" s="12"/>
      <c r="AD249" s="12"/>
      <c r="AE249" s="12"/>
      <c r="AF249" s="12"/>
      <c r="AG249" s="12"/>
      <c r="AH249" s="12"/>
    </row>
    <row r="250" spans="1:34">
      <c r="A250" s="9">
        <v>248</v>
      </c>
      <c r="B250" s="9">
        <v>11262</v>
      </c>
      <c r="C250" s="9" t="s">
        <v>367</v>
      </c>
      <c r="D250" s="9" t="s">
        <v>39</v>
      </c>
      <c r="E250" s="10" t="str">
        <f>"361.00"</f>
        <v>361.00</v>
      </c>
      <c r="F250" s="11"/>
      <c r="G250" s="11">
        <v>2017</v>
      </c>
      <c r="H250" s="12"/>
      <c r="I250" s="12"/>
      <c r="J250" s="12"/>
      <c r="K250" s="12"/>
      <c r="L250" s="12"/>
      <c r="M250" s="12"/>
      <c r="N250" s="12"/>
      <c r="O250" s="12"/>
      <c r="P250" s="12"/>
      <c r="Q250" s="12"/>
      <c r="R250" s="12"/>
      <c r="S250" s="12"/>
      <c r="T250" s="12"/>
      <c r="U250" s="12"/>
      <c r="V250" s="12"/>
      <c r="W250" s="12"/>
      <c r="X250" s="12"/>
      <c r="Y250" s="12"/>
      <c r="Z250" s="12" t="str">
        <f>"392.91"</f>
        <v>392.91</v>
      </c>
      <c r="AA250" s="12"/>
      <c r="AB250" s="12"/>
      <c r="AC250" s="12"/>
      <c r="AD250" s="12"/>
      <c r="AE250" s="12"/>
      <c r="AF250" s="12"/>
      <c r="AG250" s="12" t="str">
        <f>"329.08"</f>
        <v>329.08</v>
      </c>
      <c r="AH250" s="12"/>
    </row>
    <row r="251" spans="1:34">
      <c r="A251" s="9">
        <v>249</v>
      </c>
      <c r="B251" s="9">
        <v>11014</v>
      </c>
      <c r="C251" s="9" t="s">
        <v>368</v>
      </c>
      <c r="D251" s="9" t="s">
        <v>53</v>
      </c>
      <c r="E251" s="10" t="str">
        <f>"361.29"</f>
        <v>361.29</v>
      </c>
      <c r="F251" s="11" t="s">
        <v>37</v>
      </c>
      <c r="G251" s="11">
        <v>2017</v>
      </c>
      <c r="H251" s="12" t="str">
        <f>"441.65"</f>
        <v>441.65</v>
      </c>
      <c r="I251" s="12"/>
      <c r="J251" s="12"/>
      <c r="K251" s="12"/>
      <c r="L251" s="12"/>
      <c r="M251" s="12"/>
      <c r="N251" s="12"/>
      <c r="O251" s="12"/>
      <c r="P251" s="12"/>
      <c r="Q251" s="12" t="str">
        <f>"321.29"</f>
        <v>321.29</v>
      </c>
      <c r="R251" s="12"/>
      <c r="S251" s="12"/>
      <c r="T251" s="12"/>
      <c r="U251" s="12"/>
      <c r="V251" s="12"/>
      <c r="W251" s="12"/>
      <c r="X251" s="12"/>
      <c r="Y251" s="12"/>
      <c r="Z251" s="12"/>
      <c r="AA251" s="12"/>
      <c r="AB251" s="12"/>
      <c r="AC251" s="12"/>
      <c r="AD251" s="12"/>
      <c r="AE251" s="12"/>
      <c r="AF251" s="12"/>
      <c r="AG251" s="12"/>
      <c r="AH251" s="12"/>
    </row>
    <row r="252" spans="1:34">
      <c r="A252" s="9">
        <v>250</v>
      </c>
      <c r="B252" s="9">
        <v>8489</v>
      </c>
      <c r="C252" s="9" t="s">
        <v>369</v>
      </c>
      <c r="D252" s="9" t="s">
        <v>39</v>
      </c>
      <c r="E252" s="10" t="str">
        <f>"362.13"</f>
        <v>362.13</v>
      </c>
      <c r="F252" s="11"/>
      <c r="G252" s="11">
        <v>2017</v>
      </c>
      <c r="H252" s="12" t="str">
        <f>"312.87"</f>
        <v>312.87</v>
      </c>
      <c r="I252" s="12"/>
      <c r="J252" s="12"/>
      <c r="K252" s="12"/>
      <c r="L252" s="12"/>
      <c r="M252" s="12" t="str">
        <f>"343.59"</f>
        <v>343.59</v>
      </c>
      <c r="N252" s="12" t="str">
        <f>"380.67"</f>
        <v>380.67</v>
      </c>
      <c r="O252" s="12"/>
      <c r="P252" s="12"/>
      <c r="Q252" s="12"/>
      <c r="R252" s="12"/>
      <c r="S252" s="12"/>
      <c r="T252" s="12"/>
      <c r="U252" s="12"/>
      <c r="V252" s="12"/>
      <c r="W252" s="12"/>
      <c r="X252" s="12"/>
      <c r="Y252" s="12"/>
      <c r="Z252" s="12"/>
      <c r="AA252" s="12"/>
      <c r="AB252" s="12"/>
      <c r="AC252" s="12"/>
      <c r="AD252" s="12"/>
      <c r="AE252" s="12"/>
      <c r="AF252" s="12"/>
      <c r="AG252" s="12"/>
      <c r="AH252" s="12"/>
    </row>
    <row r="253" spans="1:34">
      <c r="A253" s="9">
        <v>251</v>
      </c>
      <c r="B253" s="9">
        <v>5403</v>
      </c>
      <c r="C253" s="9" t="s">
        <v>370</v>
      </c>
      <c r="D253" s="9" t="s">
        <v>71</v>
      </c>
      <c r="E253" s="10" t="str">
        <f>"363.38"</f>
        <v>363.38</v>
      </c>
      <c r="F253" s="11" t="s">
        <v>37</v>
      </c>
      <c r="G253" s="11">
        <v>2017</v>
      </c>
      <c r="H253" s="12"/>
      <c r="I253" s="12"/>
      <c r="J253" s="12"/>
      <c r="K253" s="12"/>
      <c r="L253" s="12"/>
      <c r="M253" s="12"/>
      <c r="N253" s="12"/>
      <c r="O253" s="12"/>
      <c r="P253" s="12"/>
      <c r="Q253" s="12"/>
      <c r="R253" s="12"/>
      <c r="S253" s="12"/>
      <c r="T253" s="12"/>
      <c r="U253" s="12"/>
      <c r="V253" s="12"/>
      <c r="W253" s="12" t="str">
        <f>"323.38"</f>
        <v>323.38</v>
      </c>
      <c r="X253" s="12"/>
      <c r="Y253" s="12"/>
      <c r="Z253" s="12"/>
      <c r="AA253" s="12"/>
      <c r="AB253" s="12"/>
      <c r="AC253" s="12"/>
      <c r="AD253" s="12"/>
      <c r="AE253" s="12"/>
      <c r="AF253" s="12"/>
      <c r="AG253" s="12"/>
      <c r="AH253" s="12"/>
    </row>
    <row r="254" spans="1:34">
      <c r="A254" s="9">
        <v>252</v>
      </c>
      <c r="B254" s="9">
        <v>10429</v>
      </c>
      <c r="C254" s="9" t="s">
        <v>371</v>
      </c>
      <c r="D254" s="9" t="s">
        <v>71</v>
      </c>
      <c r="E254" s="10" t="str">
        <f>"365.06"</f>
        <v>365.06</v>
      </c>
      <c r="F254" s="11" t="s">
        <v>37</v>
      </c>
      <c r="G254" s="11">
        <v>2017</v>
      </c>
      <c r="H254" s="12" t="str">
        <f>"515.00"</f>
        <v>515.00</v>
      </c>
      <c r="I254" s="12"/>
      <c r="J254" s="12"/>
      <c r="K254" s="12"/>
      <c r="L254" s="12"/>
      <c r="M254" s="12"/>
      <c r="N254" s="12"/>
      <c r="O254" s="12"/>
      <c r="P254" s="12"/>
      <c r="Q254" s="12"/>
      <c r="R254" s="12"/>
      <c r="S254" s="12"/>
      <c r="T254" s="12"/>
      <c r="U254" s="12"/>
      <c r="V254" s="12"/>
      <c r="W254" s="12" t="str">
        <f>"325.06"</f>
        <v>325.06</v>
      </c>
      <c r="X254" s="12"/>
      <c r="Y254" s="12"/>
      <c r="Z254" s="12"/>
      <c r="AA254" s="12"/>
      <c r="AB254" s="12"/>
      <c r="AC254" s="12"/>
      <c r="AD254" s="12"/>
      <c r="AE254" s="12"/>
      <c r="AF254" s="12"/>
      <c r="AG254" s="12"/>
      <c r="AH254" s="12"/>
    </row>
    <row r="255" spans="1:34">
      <c r="A255" s="9">
        <v>253</v>
      </c>
      <c r="B255" s="9">
        <v>2187</v>
      </c>
      <c r="C255" s="9" t="s">
        <v>372</v>
      </c>
      <c r="D255" s="9" t="s">
        <v>179</v>
      </c>
      <c r="E255" s="10" t="str">
        <f>"365.07"</f>
        <v>365.07</v>
      </c>
      <c r="F255" s="11"/>
      <c r="G255" s="11">
        <v>2017</v>
      </c>
      <c r="H255" s="12"/>
      <c r="I255" s="12"/>
      <c r="J255" s="12"/>
      <c r="K255" s="12" t="str">
        <f>"356.65"</f>
        <v>356.65</v>
      </c>
      <c r="L255" s="12" t="str">
        <f>"373.48"</f>
        <v>373.48</v>
      </c>
      <c r="M255" s="12"/>
      <c r="N255" s="12"/>
      <c r="O255" s="12"/>
      <c r="P255" s="12"/>
      <c r="Q255" s="12"/>
      <c r="R255" s="12"/>
      <c r="S255" s="12"/>
      <c r="T255" s="12"/>
      <c r="U255" s="12"/>
      <c r="V255" s="12"/>
      <c r="W255" s="12"/>
      <c r="X255" s="12"/>
      <c r="Y255" s="12"/>
      <c r="Z255" s="12"/>
      <c r="AA255" s="12"/>
      <c r="AB255" s="12"/>
      <c r="AC255" s="12"/>
      <c r="AD255" s="12"/>
      <c r="AE255" s="12"/>
      <c r="AF255" s="12"/>
      <c r="AG255" s="12"/>
      <c r="AH255" s="12"/>
    </row>
    <row r="256" spans="1:34">
      <c r="A256" s="9">
        <v>254</v>
      </c>
      <c r="B256" s="9">
        <v>11203</v>
      </c>
      <c r="C256" s="9" t="s">
        <v>373</v>
      </c>
      <c r="D256" s="9" t="s">
        <v>71</v>
      </c>
      <c r="E256" s="10" t="str">
        <f>"366.93"</f>
        <v>366.93</v>
      </c>
      <c r="F256" s="11" t="s">
        <v>37</v>
      </c>
      <c r="G256" s="11">
        <v>2017</v>
      </c>
      <c r="H256" s="12"/>
      <c r="I256" s="12"/>
      <c r="J256" s="12"/>
      <c r="K256" s="12"/>
      <c r="L256" s="12"/>
      <c r="M256" s="12"/>
      <c r="N256" s="12"/>
      <c r="O256" s="12"/>
      <c r="P256" s="12"/>
      <c r="Q256" s="12"/>
      <c r="R256" s="12"/>
      <c r="S256" s="12"/>
      <c r="T256" s="12"/>
      <c r="U256" s="12"/>
      <c r="V256" s="12"/>
      <c r="W256" s="12" t="str">
        <f>"326.93"</f>
        <v>326.93</v>
      </c>
      <c r="X256" s="12"/>
      <c r="Y256" s="12"/>
      <c r="Z256" s="12"/>
      <c r="AA256" s="12"/>
      <c r="AB256" s="12"/>
      <c r="AC256" s="12"/>
      <c r="AD256" s="12"/>
      <c r="AE256" s="12"/>
      <c r="AF256" s="12"/>
      <c r="AG256" s="12"/>
      <c r="AH256" s="12"/>
    </row>
    <row r="257" spans="1:34">
      <c r="A257" s="9">
        <v>255</v>
      </c>
      <c r="B257" s="9">
        <v>4380</v>
      </c>
      <c r="C257" s="9" t="s">
        <v>374</v>
      </c>
      <c r="D257" s="9" t="s">
        <v>159</v>
      </c>
      <c r="E257" s="10" t="str">
        <f>"370.29"</f>
        <v>370.29</v>
      </c>
      <c r="F257" s="11"/>
      <c r="G257" s="11">
        <v>2017</v>
      </c>
      <c r="H257" s="12" t="str">
        <f>"253.74"</f>
        <v>253.74</v>
      </c>
      <c r="I257" s="12"/>
      <c r="J257" s="12"/>
      <c r="K257" s="12"/>
      <c r="L257" s="12" t="str">
        <f>"368.47"</f>
        <v>368.47</v>
      </c>
      <c r="M257" s="12"/>
      <c r="N257" s="12"/>
      <c r="O257" s="12"/>
      <c r="P257" s="12"/>
      <c r="Q257" s="12"/>
      <c r="R257" s="12"/>
      <c r="S257" s="12"/>
      <c r="T257" s="12"/>
      <c r="U257" s="12"/>
      <c r="V257" s="12" t="str">
        <f>"372.10"</f>
        <v>372.10</v>
      </c>
      <c r="W257" s="12"/>
      <c r="X257" s="12"/>
      <c r="Y257" s="12"/>
      <c r="Z257" s="12"/>
      <c r="AA257" s="12"/>
      <c r="AB257" s="12"/>
      <c r="AC257" s="12" t="str">
        <f>"392.66"</f>
        <v>392.66</v>
      </c>
      <c r="AD257" s="12"/>
      <c r="AE257" s="12"/>
      <c r="AF257" s="12"/>
      <c r="AG257" s="12"/>
      <c r="AH257" s="12"/>
    </row>
    <row r="258" spans="1:34">
      <c r="A258" s="9">
        <v>256</v>
      </c>
      <c r="B258" s="9">
        <v>10676</v>
      </c>
      <c r="C258" s="9" t="s">
        <v>375</v>
      </c>
      <c r="D258" s="9" t="s">
        <v>376</v>
      </c>
      <c r="E258" s="10" t="str">
        <f>"370.82"</f>
        <v>370.82</v>
      </c>
      <c r="F258" s="11" t="s">
        <v>37</v>
      </c>
      <c r="G258" s="11">
        <v>2017</v>
      </c>
      <c r="H258" s="12" t="str">
        <f>"387.37"</f>
        <v>387.37</v>
      </c>
      <c r="I258" s="12"/>
      <c r="J258" s="12"/>
      <c r="K258" s="12"/>
      <c r="L258" s="12"/>
      <c r="M258" s="12"/>
      <c r="N258" s="12"/>
      <c r="O258" s="12"/>
      <c r="P258" s="12"/>
      <c r="Q258" s="12"/>
      <c r="R258" s="12"/>
      <c r="S258" s="12"/>
      <c r="T258" s="12" t="str">
        <f>"330.82"</f>
        <v>330.82</v>
      </c>
      <c r="U258" s="12"/>
      <c r="V258" s="12"/>
      <c r="W258" s="12"/>
      <c r="X258" s="12"/>
      <c r="Y258" s="12"/>
      <c r="Z258" s="12"/>
      <c r="AA258" s="12"/>
      <c r="AB258" s="12"/>
      <c r="AC258" s="12"/>
      <c r="AD258" s="12"/>
      <c r="AE258" s="12"/>
      <c r="AF258" s="12"/>
      <c r="AG258" s="12"/>
      <c r="AH258" s="12"/>
    </row>
    <row r="259" spans="1:34">
      <c r="A259" s="9">
        <v>257</v>
      </c>
      <c r="B259" s="9">
        <v>479</v>
      </c>
      <c r="C259" s="9" t="s">
        <v>377</v>
      </c>
      <c r="D259" s="9" t="s">
        <v>187</v>
      </c>
      <c r="E259" s="10" t="str">
        <f>"372.27"</f>
        <v>372.27</v>
      </c>
      <c r="F259" s="11"/>
      <c r="G259" s="11">
        <v>2017</v>
      </c>
      <c r="H259" s="12" t="str">
        <f>"365.08"</f>
        <v>365.08</v>
      </c>
      <c r="I259" s="12"/>
      <c r="J259" s="12"/>
      <c r="K259" s="12"/>
      <c r="L259" s="12" t="str">
        <f>"441.26"</f>
        <v>441.26</v>
      </c>
      <c r="M259" s="12"/>
      <c r="N259" s="12"/>
      <c r="O259" s="12"/>
      <c r="P259" s="12" t="str">
        <f>"388.94"</f>
        <v>388.94</v>
      </c>
      <c r="Q259" s="12"/>
      <c r="R259" s="12"/>
      <c r="S259" s="12"/>
      <c r="T259" s="12"/>
      <c r="U259" s="12"/>
      <c r="V259" s="12"/>
      <c r="W259" s="12"/>
      <c r="X259" s="12"/>
      <c r="Y259" s="12"/>
      <c r="Z259" s="12"/>
      <c r="AA259" s="12"/>
      <c r="AB259" s="12"/>
      <c r="AC259" s="12"/>
      <c r="AD259" s="12"/>
      <c r="AE259" s="12"/>
      <c r="AF259" s="12" t="str">
        <f>"355.60"</f>
        <v>355.60</v>
      </c>
      <c r="AG259" s="12"/>
      <c r="AH259" s="12"/>
    </row>
    <row r="260" spans="1:34">
      <c r="A260" s="9">
        <v>258</v>
      </c>
      <c r="B260" s="9">
        <v>11025</v>
      </c>
      <c r="C260" s="9" t="s">
        <v>378</v>
      </c>
      <c r="D260" s="9" t="s">
        <v>223</v>
      </c>
      <c r="E260" s="10" t="str">
        <f>"373.17"</f>
        <v>373.17</v>
      </c>
      <c r="F260" s="11"/>
      <c r="G260" s="11">
        <v>2017</v>
      </c>
      <c r="H260" s="12" t="str">
        <f>"664.72"</f>
        <v>664.72</v>
      </c>
      <c r="I260" s="12"/>
      <c r="J260" s="12"/>
      <c r="K260" s="12"/>
      <c r="L260" s="12"/>
      <c r="M260" s="12"/>
      <c r="N260" s="12"/>
      <c r="O260" s="12"/>
      <c r="P260" s="12"/>
      <c r="Q260" s="12" t="str">
        <f>"419.79"</f>
        <v>419.79</v>
      </c>
      <c r="R260" s="12"/>
      <c r="S260" s="12" t="str">
        <f>"326.55"</f>
        <v>326.55</v>
      </c>
      <c r="T260" s="12"/>
      <c r="U260" s="12"/>
      <c r="V260" s="12"/>
      <c r="W260" s="12"/>
      <c r="X260" s="12"/>
      <c r="Y260" s="12"/>
      <c r="Z260" s="12"/>
      <c r="AA260" s="12"/>
      <c r="AB260" s="12"/>
      <c r="AC260" s="12"/>
      <c r="AD260" s="12"/>
      <c r="AE260" s="12"/>
      <c r="AF260" s="12"/>
      <c r="AG260" s="12"/>
      <c r="AH260" s="12"/>
    </row>
    <row r="261" spans="1:34">
      <c r="A261" s="9">
        <v>259</v>
      </c>
      <c r="B261" s="9">
        <v>10480</v>
      </c>
      <c r="C261" s="9" t="s">
        <v>379</v>
      </c>
      <c r="D261" s="9" t="s">
        <v>71</v>
      </c>
      <c r="E261" s="10" t="str">
        <f>"375.34"</f>
        <v>375.34</v>
      </c>
      <c r="F261" s="11" t="s">
        <v>37</v>
      </c>
      <c r="G261" s="11">
        <v>2017</v>
      </c>
      <c r="H261" s="12" t="str">
        <f>"349.26"</f>
        <v>349.26</v>
      </c>
      <c r="I261" s="12"/>
      <c r="J261" s="12"/>
      <c r="K261" s="12"/>
      <c r="L261" s="12"/>
      <c r="M261" s="12"/>
      <c r="N261" s="12"/>
      <c r="O261" s="12"/>
      <c r="P261" s="12"/>
      <c r="Q261" s="12"/>
      <c r="R261" s="12"/>
      <c r="S261" s="12"/>
      <c r="T261" s="12"/>
      <c r="U261" s="12"/>
      <c r="V261" s="12"/>
      <c r="W261" s="12" t="str">
        <f>"335.34"</f>
        <v>335.34</v>
      </c>
      <c r="X261" s="12"/>
      <c r="Y261" s="12"/>
      <c r="Z261" s="12"/>
      <c r="AA261" s="12"/>
      <c r="AB261" s="12"/>
      <c r="AC261" s="12"/>
      <c r="AD261" s="12"/>
      <c r="AE261" s="12"/>
      <c r="AF261" s="12"/>
      <c r="AG261" s="12"/>
      <c r="AH261" s="12"/>
    </row>
    <row r="262" spans="1:34">
      <c r="A262" s="9">
        <v>260</v>
      </c>
      <c r="B262" s="9">
        <v>2261</v>
      </c>
      <c r="C262" s="9" t="s">
        <v>392</v>
      </c>
      <c r="D262" s="9" t="s">
        <v>393</v>
      </c>
      <c r="E262" s="10">
        <v>375.66</v>
      </c>
      <c r="F262" s="11" t="s">
        <v>489</v>
      </c>
      <c r="G262" s="11">
        <v>2017</v>
      </c>
      <c r="H262" s="12" t="str">
        <f>"355.66"</f>
        <v>355.66</v>
      </c>
      <c r="I262" s="12"/>
      <c r="J262" s="12"/>
      <c r="K262" s="12"/>
      <c r="L262" s="12"/>
      <c r="M262" s="12"/>
      <c r="N262" s="12"/>
      <c r="O262" s="12"/>
      <c r="P262" s="12"/>
      <c r="Q262" s="12"/>
      <c r="R262" s="12"/>
      <c r="S262" s="12"/>
      <c r="T262" s="12"/>
      <c r="U262" s="12"/>
      <c r="V262" s="12"/>
      <c r="W262" s="12"/>
      <c r="X262" s="12"/>
      <c r="Y262" s="12"/>
      <c r="Z262" s="12"/>
      <c r="AA262" s="12"/>
      <c r="AB262" s="12"/>
      <c r="AC262" s="12"/>
      <c r="AD262" s="12"/>
      <c r="AE262" s="12"/>
      <c r="AF262" s="12"/>
      <c r="AG262" s="12"/>
      <c r="AH262" s="12"/>
    </row>
    <row r="263" spans="1:34">
      <c r="A263" s="9">
        <v>261</v>
      </c>
      <c r="B263" s="9">
        <v>10769</v>
      </c>
      <c r="C263" s="9" t="s">
        <v>380</v>
      </c>
      <c r="D263" s="9" t="s">
        <v>71</v>
      </c>
      <c r="E263" s="10" t="str">
        <f>"376.46"</f>
        <v>376.46</v>
      </c>
      <c r="F263" s="11" t="s">
        <v>37</v>
      </c>
      <c r="G263" s="11">
        <v>2017</v>
      </c>
      <c r="H263" s="12"/>
      <c r="I263" s="12"/>
      <c r="J263" s="12"/>
      <c r="K263" s="12"/>
      <c r="L263" s="12"/>
      <c r="M263" s="12"/>
      <c r="N263" s="12"/>
      <c r="O263" s="12"/>
      <c r="P263" s="12"/>
      <c r="Q263" s="12"/>
      <c r="R263" s="12"/>
      <c r="S263" s="12"/>
      <c r="T263" s="12"/>
      <c r="U263" s="12"/>
      <c r="V263" s="12"/>
      <c r="W263" s="12" t="str">
        <f>"336.46"</f>
        <v>336.46</v>
      </c>
      <c r="X263" s="12"/>
      <c r="Y263" s="12"/>
      <c r="Z263" s="12"/>
      <c r="AA263" s="12"/>
      <c r="AB263" s="12"/>
      <c r="AC263" s="12"/>
      <c r="AD263" s="12"/>
      <c r="AE263" s="12"/>
      <c r="AF263" s="12"/>
      <c r="AG263" s="12"/>
      <c r="AH263" s="12"/>
    </row>
    <row r="264" spans="1:34">
      <c r="A264" s="9">
        <v>262</v>
      </c>
      <c r="B264" s="9">
        <v>8649</v>
      </c>
      <c r="C264" s="9" t="s">
        <v>381</v>
      </c>
      <c r="D264" s="9" t="s">
        <v>382</v>
      </c>
      <c r="E264" s="10" t="str">
        <f>"376.95"</f>
        <v>376.95</v>
      </c>
      <c r="F264" s="11" t="s">
        <v>40</v>
      </c>
      <c r="G264" s="11">
        <v>2017</v>
      </c>
      <c r="H264" s="12" t="str">
        <f>"336.95"</f>
        <v>336.95</v>
      </c>
      <c r="I264" s="12"/>
      <c r="J264" s="12"/>
      <c r="K264" s="12"/>
      <c r="L264" s="12"/>
      <c r="M264" s="12"/>
      <c r="N264" s="12"/>
      <c r="O264" s="12"/>
      <c r="P264" s="12"/>
      <c r="Q264" s="12"/>
      <c r="R264" s="12"/>
      <c r="S264" s="12"/>
      <c r="T264" s="12"/>
      <c r="U264" s="12"/>
      <c r="V264" s="12"/>
      <c r="W264" s="12"/>
      <c r="X264" s="12"/>
      <c r="Y264" s="12"/>
      <c r="Z264" s="12"/>
      <c r="AA264" s="12"/>
      <c r="AB264" s="12"/>
      <c r="AC264" s="12"/>
      <c r="AD264" s="12"/>
      <c r="AE264" s="12"/>
      <c r="AF264" s="12"/>
      <c r="AG264" s="12"/>
      <c r="AH264" s="12"/>
    </row>
    <row r="265" spans="1:34">
      <c r="A265" s="9">
        <v>263</v>
      </c>
      <c r="B265" s="9">
        <v>11080</v>
      </c>
      <c r="C265" s="9" t="s">
        <v>383</v>
      </c>
      <c r="D265" s="9" t="s">
        <v>384</v>
      </c>
      <c r="E265" s="10" t="str">
        <f>"377.34"</f>
        <v>377.34</v>
      </c>
      <c r="F265" s="11" t="s">
        <v>40</v>
      </c>
      <c r="G265" s="11">
        <v>2017</v>
      </c>
      <c r="H265" s="12" t="str">
        <f>"337.34"</f>
        <v>337.34</v>
      </c>
      <c r="I265" s="12"/>
      <c r="J265" s="12"/>
      <c r="K265" s="12"/>
      <c r="L265" s="12"/>
      <c r="M265" s="12"/>
      <c r="N265" s="12"/>
      <c r="O265" s="12"/>
      <c r="P265" s="12"/>
      <c r="Q265" s="12"/>
      <c r="R265" s="12"/>
      <c r="S265" s="12"/>
      <c r="T265" s="12"/>
      <c r="U265" s="12"/>
      <c r="V265" s="12"/>
      <c r="W265" s="12"/>
      <c r="X265" s="12"/>
      <c r="Y265" s="12"/>
      <c r="Z265" s="12"/>
      <c r="AA265" s="12"/>
      <c r="AB265" s="12"/>
      <c r="AC265" s="12"/>
      <c r="AD265" s="12"/>
      <c r="AE265" s="12"/>
      <c r="AF265" s="12"/>
      <c r="AG265" s="12"/>
      <c r="AH265" s="12"/>
    </row>
    <row r="266" spans="1:34">
      <c r="A266" s="9">
        <v>264</v>
      </c>
      <c r="B266" s="9">
        <v>11046</v>
      </c>
      <c r="C266" s="9" t="s">
        <v>385</v>
      </c>
      <c r="D266" s="9" t="s">
        <v>48</v>
      </c>
      <c r="E266" s="10" t="str">
        <f>"378.00"</f>
        <v>378.00</v>
      </c>
      <c r="F266" s="11" t="s">
        <v>37</v>
      </c>
      <c r="G266" s="11">
        <v>2017</v>
      </c>
      <c r="H266" s="12" t="str">
        <f>"539.40"</f>
        <v>539.40</v>
      </c>
      <c r="I266" s="12"/>
      <c r="J266" s="12"/>
      <c r="K266" s="12"/>
      <c r="L266" s="12"/>
      <c r="M266" s="12"/>
      <c r="N266" s="12"/>
      <c r="O266" s="12"/>
      <c r="P266" s="12"/>
      <c r="Q266" s="12"/>
      <c r="R266" s="12"/>
      <c r="S266" s="12" t="str">
        <f>"338.00"</f>
        <v>338.00</v>
      </c>
      <c r="T266" s="12"/>
      <c r="U266" s="12"/>
      <c r="V266" s="12"/>
      <c r="W266" s="12"/>
      <c r="X266" s="12"/>
      <c r="Y266" s="12"/>
      <c r="Z266" s="12"/>
      <c r="AA266" s="12"/>
      <c r="AB266" s="12"/>
      <c r="AC266" s="12"/>
      <c r="AD266" s="12"/>
      <c r="AE266" s="12"/>
      <c r="AF266" s="12"/>
      <c r="AG266" s="12"/>
      <c r="AH266" s="12"/>
    </row>
    <row r="267" spans="1:34">
      <c r="A267" s="9">
        <v>265</v>
      </c>
      <c r="B267" s="9">
        <v>10768</v>
      </c>
      <c r="C267" s="9" t="s">
        <v>386</v>
      </c>
      <c r="D267" s="9" t="s">
        <v>71</v>
      </c>
      <c r="E267" s="10" t="str">
        <f>"380.36"</f>
        <v>380.36</v>
      </c>
      <c r="F267" s="11"/>
      <c r="G267" s="11">
        <v>2017</v>
      </c>
      <c r="H267" s="12" t="str">
        <f>"484.02"</f>
        <v>484.02</v>
      </c>
      <c r="I267" s="12"/>
      <c r="J267" s="12"/>
      <c r="K267" s="12"/>
      <c r="L267" s="12"/>
      <c r="M267" s="12"/>
      <c r="N267" s="12"/>
      <c r="O267" s="12"/>
      <c r="P267" s="12"/>
      <c r="Q267" s="12"/>
      <c r="R267" s="12"/>
      <c r="S267" s="12"/>
      <c r="T267" s="12"/>
      <c r="U267" s="12" t="str">
        <f>"424.62"</f>
        <v>424.62</v>
      </c>
      <c r="V267" s="12"/>
      <c r="W267" s="12" t="str">
        <f>"336.09"</f>
        <v>336.09</v>
      </c>
      <c r="X267" s="12"/>
      <c r="Y267" s="12"/>
      <c r="Z267" s="12"/>
      <c r="AA267" s="12"/>
      <c r="AB267" s="12"/>
      <c r="AC267" s="12"/>
      <c r="AD267" s="12"/>
      <c r="AE267" s="12"/>
      <c r="AF267" s="12"/>
      <c r="AG267" s="12"/>
      <c r="AH267" s="12"/>
    </row>
    <row r="268" spans="1:34">
      <c r="A268" s="9">
        <v>266</v>
      </c>
      <c r="B268" s="9">
        <v>7578</v>
      </c>
      <c r="C268" s="9" t="s">
        <v>387</v>
      </c>
      <c r="D268" s="9" t="s">
        <v>268</v>
      </c>
      <c r="E268" s="10" t="str">
        <f>"385.35"</f>
        <v>385.35</v>
      </c>
      <c r="F268" s="11" t="s">
        <v>40</v>
      </c>
      <c r="G268" s="11">
        <v>2017</v>
      </c>
      <c r="H268" s="12" t="str">
        <f>"345.35"</f>
        <v>345.35</v>
      </c>
      <c r="I268" s="12"/>
      <c r="J268" s="12"/>
      <c r="K268" s="12"/>
      <c r="L268" s="12"/>
      <c r="M268" s="12"/>
      <c r="N268" s="12"/>
      <c r="O268" s="12"/>
      <c r="P268" s="12"/>
      <c r="Q268" s="12"/>
      <c r="R268" s="12"/>
      <c r="S268" s="12"/>
      <c r="T268" s="12"/>
      <c r="U268" s="12"/>
      <c r="V268" s="12"/>
      <c r="W268" s="12"/>
      <c r="X268" s="12"/>
      <c r="Y268" s="12"/>
      <c r="Z268" s="12"/>
      <c r="AA268" s="12"/>
      <c r="AB268" s="12"/>
      <c r="AC268" s="12"/>
      <c r="AD268" s="12"/>
      <c r="AE268" s="12"/>
      <c r="AF268" s="12"/>
      <c r="AG268" s="12"/>
      <c r="AH268" s="12"/>
    </row>
    <row r="269" spans="1:34">
      <c r="A269" s="9">
        <v>267</v>
      </c>
      <c r="B269" s="9">
        <v>10712</v>
      </c>
      <c r="C269" s="9" t="s">
        <v>388</v>
      </c>
      <c r="D269" s="9" t="s">
        <v>48</v>
      </c>
      <c r="E269" s="10" t="str">
        <f>"385.49"</f>
        <v>385.49</v>
      </c>
      <c r="F269" s="11" t="s">
        <v>40</v>
      </c>
      <c r="G269" s="11">
        <v>2017</v>
      </c>
      <c r="H269" s="12" t="str">
        <f>"345.49"</f>
        <v>345.49</v>
      </c>
      <c r="I269" s="12"/>
      <c r="J269" s="12"/>
      <c r="K269" s="12"/>
      <c r="L269" s="12"/>
      <c r="M269" s="12"/>
      <c r="N269" s="12"/>
      <c r="O269" s="12"/>
      <c r="P269" s="12"/>
      <c r="Q269" s="12"/>
      <c r="R269" s="12"/>
      <c r="S269" s="12"/>
      <c r="T269" s="12"/>
      <c r="U269" s="12"/>
      <c r="V269" s="12"/>
      <c r="W269" s="12"/>
      <c r="X269" s="12"/>
      <c r="Y269" s="12"/>
      <c r="Z269" s="12"/>
      <c r="AA269" s="12"/>
      <c r="AB269" s="12"/>
      <c r="AC269" s="12"/>
      <c r="AD269" s="12"/>
      <c r="AE269" s="12"/>
      <c r="AF269" s="12"/>
      <c r="AG269" s="12"/>
      <c r="AH269" s="12"/>
    </row>
    <row r="270" spans="1:34">
      <c r="A270" s="9">
        <v>268</v>
      </c>
      <c r="B270" s="9">
        <v>11064</v>
      </c>
      <c r="C270" s="9" t="s">
        <v>389</v>
      </c>
      <c r="D270" s="9" t="s">
        <v>201</v>
      </c>
      <c r="E270" s="10" t="str">
        <f>"385.58"</f>
        <v>385.58</v>
      </c>
      <c r="F270" s="11"/>
      <c r="G270" s="11">
        <v>2017</v>
      </c>
      <c r="H270" s="12" t="str">
        <f>"521.08"</f>
        <v>521.08</v>
      </c>
      <c r="I270" s="12"/>
      <c r="J270" s="12"/>
      <c r="K270" s="12"/>
      <c r="L270" s="12"/>
      <c r="M270" s="12"/>
      <c r="N270" s="12"/>
      <c r="O270" s="12"/>
      <c r="P270" s="12"/>
      <c r="Q270" s="12" t="str">
        <f>"476.03"</f>
        <v>476.03</v>
      </c>
      <c r="R270" s="12"/>
      <c r="S270" s="12" t="str">
        <f>"295.13"</f>
        <v>295.13</v>
      </c>
      <c r="T270" s="12"/>
      <c r="U270" s="12"/>
      <c r="V270" s="12"/>
      <c r="W270" s="12"/>
      <c r="X270" s="12"/>
      <c r="Y270" s="12"/>
      <c r="Z270" s="12"/>
      <c r="AA270" s="12"/>
      <c r="AB270" s="12"/>
      <c r="AC270" s="12"/>
      <c r="AD270" s="12"/>
      <c r="AE270" s="12"/>
      <c r="AF270" s="12"/>
      <c r="AG270" s="12"/>
      <c r="AH270" s="12"/>
    </row>
    <row r="271" spans="1:34">
      <c r="A271" s="9">
        <v>269</v>
      </c>
      <c r="B271" s="9">
        <v>1385</v>
      </c>
      <c r="C271" s="9" t="s">
        <v>390</v>
      </c>
      <c r="D271" s="9" t="s">
        <v>181</v>
      </c>
      <c r="E271" s="10" t="str">
        <f>"389.64"</f>
        <v>389.64</v>
      </c>
      <c r="F271" s="11"/>
      <c r="G271" s="11">
        <v>2017</v>
      </c>
      <c r="H271" s="12" t="str">
        <f>"338.78"</f>
        <v>338.78</v>
      </c>
      <c r="I271" s="12"/>
      <c r="J271" s="12"/>
      <c r="K271" s="12" t="str">
        <f>"441.15"</f>
        <v>441.15</v>
      </c>
      <c r="L271" s="12" t="str">
        <f>"381.59"</f>
        <v>381.59</v>
      </c>
      <c r="M271" s="12"/>
      <c r="N271" s="12"/>
      <c r="O271" s="12"/>
      <c r="P271" s="12"/>
      <c r="Q271" s="12"/>
      <c r="R271" s="12"/>
      <c r="S271" s="12"/>
      <c r="T271" s="12"/>
      <c r="U271" s="12"/>
      <c r="V271" s="12" t="str">
        <f>"397.69"</f>
        <v>397.69</v>
      </c>
      <c r="W271" s="12"/>
      <c r="X271" s="12"/>
      <c r="Y271" s="12"/>
      <c r="Z271" s="12"/>
      <c r="AA271" s="12"/>
      <c r="AB271" s="12"/>
      <c r="AC271" s="12"/>
      <c r="AD271" s="12"/>
      <c r="AE271" s="12"/>
      <c r="AF271" s="12"/>
      <c r="AG271" s="12"/>
      <c r="AH271" s="12"/>
    </row>
    <row r="272" spans="1:34">
      <c r="A272" s="9">
        <v>270</v>
      </c>
      <c r="B272" s="9">
        <v>10637</v>
      </c>
      <c r="C272" s="9" t="s">
        <v>391</v>
      </c>
      <c r="D272" s="9" t="s">
        <v>39</v>
      </c>
      <c r="E272" s="10" t="str">
        <f>"392.43"</f>
        <v>392.43</v>
      </c>
      <c r="F272" s="11"/>
      <c r="G272" s="11">
        <v>2017</v>
      </c>
      <c r="H272" s="12" t="str">
        <f>"665.33"</f>
        <v>665.33</v>
      </c>
      <c r="I272" s="12"/>
      <c r="J272" s="12"/>
      <c r="K272" s="12"/>
      <c r="L272" s="12"/>
      <c r="M272" s="12" t="str">
        <f>"406.02"</f>
        <v>406.02</v>
      </c>
      <c r="N272" s="12" t="str">
        <f>"491.96"</f>
        <v>491.96</v>
      </c>
      <c r="O272" s="12"/>
      <c r="P272" s="12"/>
      <c r="Q272" s="12"/>
      <c r="R272" s="12"/>
      <c r="S272" s="12"/>
      <c r="T272" s="12"/>
      <c r="U272" s="12"/>
      <c r="V272" s="12"/>
      <c r="W272" s="12"/>
      <c r="X272" s="12"/>
      <c r="Y272" s="12"/>
      <c r="Z272" s="12" t="str">
        <f>"378.83"</f>
        <v>378.83</v>
      </c>
      <c r="AA272" s="12" t="str">
        <f>"515.16"</f>
        <v>515.16</v>
      </c>
      <c r="AB272" s="12"/>
      <c r="AC272" s="12"/>
      <c r="AD272" s="12"/>
      <c r="AE272" s="12"/>
      <c r="AF272" s="12"/>
      <c r="AG272" s="12"/>
      <c r="AH272" s="12"/>
    </row>
    <row r="273" spans="1:34">
      <c r="A273" s="9">
        <v>271</v>
      </c>
      <c r="B273" s="9">
        <v>10697</v>
      </c>
      <c r="C273" s="9" t="s">
        <v>394</v>
      </c>
      <c r="D273" s="9" t="s">
        <v>71</v>
      </c>
      <c r="E273" s="10" t="str">
        <f>"398.69"</f>
        <v>398.69</v>
      </c>
      <c r="F273" s="11" t="s">
        <v>37</v>
      </c>
      <c r="G273" s="11">
        <v>2017</v>
      </c>
      <c r="H273" s="12" t="str">
        <f>"428.62"</f>
        <v>428.62</v>
      </c>
      <c r="I273" s="12"/>
      <c r="J273" s="12"/>
      <c r="K273" s="12"/>
      <c r="L273" s="12"/>
      <c r="M273" s="12"/>
      <c r="N273" s="12"/>
      <c r="O273" s="12"/>
      <c r="P273" s="12"/>
      <c r="Q273" s="12"/>
      <c r="R273" s="12"/>
      <c r="S273" s="12"/>
      <c r="T273" s="12"/>
      <c r="U273" s="12"/>
      <c r="V273" s="12"/>
      <c r="W273" s="12" t="str">
        <f>"358.69"</f>
        <v>358.69</v>
      </c>
      <c r="X273" s="12"/>
      <c r="Y273" s="12"/>
      <c r="Z273" s="12"/>
      <c r="AA273" s="12"/>
      <c r="AB273" s="12"/>
      <c r="AC273" s="12"/>
      <c r="AD273" s="12"/>
      <c r="AE273" s="12"/>
      <c r="AF273" s="12"/>
      <c r="AG273" s="12"/>
      <c r="AH273" s="12"/>
    </row>
    <row r="274" spans="1:34">
      <c r="A274" s="9">
        <v>272</v>
      </c>
      <c r="B274" s="9">
        <v>11094</v>
      </c>
      <c r="C274" s="9" t="s">
        <v>395</v>
      </c>
      <c r="D274" s="9" t="s">
        <v>201</v>
      </c>
      <c r="E274" s="10" t="str">
        <f>"404.67"</f>
        <v>404.67</v>
      </c>
      <c r="F274" s="11"/>
      <c r="G274" s="11">
        <v>2017</v>
      </c>
      <c r="H274" s="12" t="str">
        <f>"495.31"</f>
        <v>495.31</v>
      </c>
      <c r="I274" s="12"/>
      <c r="J274" s="12"/>
      <c r="K274" s="12"/>
      <c r="L274" s="12"/>
      <c r="M274" s="12"/>
      <c r="N274" s="12"/>
      <c r="O274" s="12"/>
      <c r="P274" s="12"/>
      <c r="Q274" s="12" t="str">
        <f>"429.44"</f>
        <v>429.44</v>
      </c>
      <c r="R274" s="12"/>
      <c r="S274" s="12" t="str">
        <f>"379.90"</f>
        <v>379.90</v>
      </c>
      <c r="T274" s="12"/>
      <c r="U274" s="12"/>
      <c r="V274" s="12"/>
      <c r="W274" s="12"/>
      <c r="X274" s="12"/>
      <c r="Y274" s="12"/>
      <c r="Z274" s="12"/>
      <c r="AA274" s="12"/>
      <c r="AB274" s="12"/>
      <c r="AC274" s="12"/>
      <c r="AD274" s="12"/>
      <c r="AE274" s="12"/>
      <c r="AF274" s="12"/>
      <c r="AG274" s="12"/>
      <c r="AH274" s="12"/>
    </row>
    <row r="275" spans="1:34">
      <c r="A275" s="9">
        <v>273</v>
      </c>
      <c r="B275" s="9">
        <v>10802</v>
      </c>
      <c r="C275" s="9" t="s">
        <v>396</v>
      </c>
      <c r="D275" s="9" t="s">
        <v>71</v>
      </c>
      <c r="E275" s="10" t="str">
        <f>"405.04"</f>
        <v>405.04</v>
      </c>
      <c r="F275" s="11" t="s">
        <v>40</v>
      </c>
      <c r="G275" s="11">
        <v>2017</v>
      </c>
      <c r="H275" s="12" t="str">
        <f>"365.04"</f>
        <v>365.04</v>
      </c>
      <c r="I275" s="12"/>
      <c r="J275" s="12"/>
      <c r="K275" s="12"/>
      <c r="L275" s="12"/>
      <c r="M275" s="12"/>
      <c r="N275" s="12"/>
      <c r="O275" s="12"/>
      <c r="P275" s="12"/>
      <c r="Q275" s="12"/>
      <c r="R275" s="12"/>
      <c r="S275" s="12"/>
      <c r="T275" s="12"/>
      <c r="U275" s="12"/>
      <c r="V275" s="12"/>
      <c r="W275" s="12"/>
      <c r="X275" s="12"/>
      <c r="Y275" s="12"/>
      <c r="Z275" s="12"/>
      <c r="AA275" s="12"/>
      <c r="AB275" s="12"/>
      <c r="AC275" s="12"/>
      <c r="AD275" s="12"/>
      <c r="AE275" s="12"/>
      <c r="AF275" s="12"/>
      <c r="AG275" s="12"/>
      <c r="AH275" s="12"/>
    </row>
    <row r="276" spans="1:34">
      <c r="A276" s="9">
        <v>274</v>
      </c>
      <c r="B276" s="9">
        <v>7202</v>
      </c>
      <c r="C276" s="9" t="s">
        <v>397</v>
      </c>
      <c r="D276" s="9" t="s">
        <v>231</v>
      </c>
      <c r="E276" s="10" t="str">
        <f>"406.95"</f>
        <v>406.95</v>
      </c>
      <c r="F276" s="11" t="s">
        <v>40</v>
      </c>
      <c r="G276" s="11">
        <v>2017</v>
      </c>
      <c r="H276" s="12" t="str">
        <f>"366.95"</f>
        <v>366.95</v>
      </c>
      <c r="I276" s="12"/>
      <c r="J276" s="12"/>
      <c r="K276" s="12"/>
      <c r="L276" s="12"/>
      <c r="M276" s="12"/>
      <c r="N276" s="12"/>
      <c r="O276" s="12"/>
      <c r="P276" s="12"/>
      <c r="Q276" s="12"/>
      <c r="R276" s="12"/>
      <c r="S276" s="12"/>
      <c r="T276" s="12"/>
      <c r="U276" s="12"/>
      <c r="V276" s="12"/>
      <c r="W276" s="12"/>
      <c r="X276" s="12"/>
      <c r="Y276" s="12"/>
      <c r="Z276" s="12"/>
      <c r="AA276" s="12"/>
      <c r="AB276" s="12"/>
      <c r="AC276" s="12"/>
      <c r="AD276" s="12"/>
      <c r="AE276" s="12"/>
      <c r="AF276" s="12"/>
      <c r="AG276" s="12"/>
      <c r="AH276" s="12"/>
    </row>
    <row r="277" spans="1:34">
      <c r="A277" s="9">
        <v>275</v>
      </c>
      <c r="B277" s="9">
        <v>10782</v>
      </c>
      <c r="C277" s="9" t="s">
        <v>398</v>
      </c>
      <c r="D277" s="9" t="s">
        <v>71</v>
      </c>
      <c r="E277" s="10" t="str">
        <f>"411.22"</f>
        <v>411.22</v>
      </c>
      <c r="F277" s="11"/>
      <c r="G277" s="11">
        <v>2017</v>
      </c>
      <c r="H277" s="12" t="str">
        <f>"783.35"</f>
        <v>783.35</v>
      </c>
      <c r="I277" s="12"/>
      <c r="J277" s="12"/>
      <c r="K277" s="12"/>
      <c r="L277" s="12"/>
      <c r="M277" s="12"/>
      <c r="N277" s="12"/>
      <c r="O277" s="12"/>
      <c r="P277" s="12"/>
      <c r="Q277" s="12"/>
      <c r="R277" s="12"/>
      <c r="S277" s="12"/>
      <c r="T277" s="12"/>
      <c r="U277" s="12"/>
      <c r="V277" s="12"/>
      <c r="W277" s="12" t="str">
        <f>"504.81"</f>
        <v>504.81</v>
      </c>
      <c r="X277" s="12"/>
      <c r="Y277" s="12"/>
      <c r="Z277" s="12"/>
      <c r="AA277" s="12"/>
      <c r="AB277" s="12"/>
      <c r="AC277" s="12"/>
      <c r="AD277" s="12"/>
      <c r="AE277" s="12"/>
      <c r="AF277" s="12" t="str">
        <f>"317.62"</f>
        <v>317.62</v>
      </c>
      <c r="AG277" s="12"/>
      <c r="AH277" s="12"/>
    </row>
    <row r="278" spans="1:34">
      <c r="A278" s="9">
        <v>276</v>
      </c>
      <c r="B278" s="9">
        <v>10743</v>
      </c>
      <c r="C278" s="9" t="s">
        <v>399</v>
      </c>
      <c r="D278" s="9" t="s">
        <v>71</v>
      </c>
      <c r="E278" s="10" t="str">
        <f>"418.49"</f>
        <v>418.49</v>
      </c>
      <c r="F278" s="11" t="s">
        <v>37</v>
      </c>
      <c r="G278" s="11">
        <v>2017</v>
      </c>
      <c r="H278" s="12" t="str">
        <f>"543.50"</f>
        <v>543.50</v>
      </c>
      <c r="I278" s="12"/>
      <c r="J278" s="12"/>
      <c r="K278" s="12"/>
      <c r="L278" s="12"/>
      <c r="M278" s="12"/>
      <c r="N278" s="12"/>
      <c r="O278" s="12"/>
      <c r="P278" s="12"/>
      <c r="Q278" s="12"/>
      <c r="R278" s="12"/>
      <c r="S278" s="12"/>
      <c r="T278" s="12"/>
      <c r="U278" s="12"/>
      <c r="V278" s="12"/>
      <c r="W278" s="12"/>
      <c r="X278" s="12"/>
      <c r="Y278" s="12"/>
      <c r="Z278" s="12"/>
      <c r="AA278" s="12"/>
      <c r="AB278" s="12"/>
      <c r="AC278" s="12"/>
      <c r="AD278" s="12" t="str">
        <f>"378.49"</f>
        <v>378.49</v>
      </c>
      <c r="AE278" s="12"/>
      <c r="AF278" s="12"/>
      <c r="AG278" s="12"/>
      <c r="AH278" s="12"/>
    </row>
    <row r="279" spans="1:34">
      <c r="A279" s="9">
        <v>277</v>
      </c>
      <c r="B279" s="9">
        <v>11149</v>
      </c>
      <c r="C279" s="9" t="s">
        <v>400</v>
      </c>
      <c r="D279" s="9" t="s">
        <v>71</v>
      </c>
      <c r="E279" s="10" t="str">
        <f>"419.03"</f>
        <v>419.03</v>
      </c>
      <c r="F279" s="11"/>
      <c r="G279" s="11">
        <v>2017</v>
      </c>
      <c r="H279" s="12"/>
      <c r="I279" s="12"/>
      <c r="J279" s="12"/>
      <c r="K279" s="12"/>
      <c r="L279" s="12"/>
      <c r="M279" s="12"/>
      <c r="N279" s="12"/>
      <c r="O279" s="12"/>
      <c r="P279" s="12"/>
      <c r="Q279" s="12"/>
      <c r="R279" s="12"/>
      <c r="S279" s="12"/>
      <c r="T279" s="12"/>
      <c r="U279" s="12" t="str">
        <f>"525.64"</f>
        <v>525.64</v>
      </c>
      <c r="V279" s="12"/>
      <c r="W279" s="12" t="str">
        <f>"491.35"</f>
        <v>491.35</v>
      </c>
      <c r="X279" s="12" t="str">
        <f>"493.11"</f>
        <v>493.11</v>
      </c>
      <c r="Y279" s="12" t="str">
        <f>"408.09"</f>
        <v>408.09</v>
      </c>
      <c r="Z279" s="12"/>
      <c r="AA279" s="12"/>
      <c r="AB279" s="12"/>
      <c r="AC279" s="12"/>
      <c r="AD279" s="12" t="str">
        <f>"440.41"</f>
        <v>440.41</v>
      </c>
      <c r="AE279" s="12"/>
      <c r="AF279" s="12" t="str">
        <f>"429.96"</f>
        <v>429.96</v>
      </c>
      <c r="AG279" s="12"/>
      <c r="AH279" s="12"/>
    </row>
    <row r="280" spans="1:34">
      <c r="A280" s="9">
        <v>278</v>
      </c>
      <c r="B280" s="9">
        <v>8425</v>
      </c>
      <c r="C280" s="9" t="s">
        <v>401</v>
      </c>
      <c r="D280" s="9" t="s">
        <v>89</v>
      </c>
      <c r="E280" s="10" t="str">
        <f>"420.79"</f>
        <v>420.79</v>
      </c>
      <c r="F280" s="11" t="s">
        <v>37</v>
      </c>
      <c r="G280" s="11">
        <v>2017</v>
      </c>
      <c r="H280" s="12" t="str">
        <f>"368.52"</f>
        <v>368.52</v>
      </c>
      <c r="I280" s="12"/>
      <c r="J280" s="12"/>
      <c r="K280" s="12" t="str">
        <f>"380.79"</f>
        <v>380.79</v>
      </c>
      <c r="L280" s="12"/>
      <c r="M280" s="12"/>
      <c r="N280" s="12"/>
      <c r="O280" s="12"/>
      <c r="P280" s="12"/>
      <c r="Q280" s="12"/>
      <c r="R280" s="12"/>
      <c r="S280" s="12"/>
      <c r="T280" s="12"/>
      <c r="U280" s="12"/>
      <c r="V280" s="12"/>
      <c r="W280" s="12"/>
      <c r="X280" s="12"/>
      <c r="Y280" s="12"/>
      <c r="Z280" s="12"/>
      <c r="AA280" s="12"/>
      <c r="AB280" s="12"/>
      <c r="AC280" s="12"/>
      <c r="AD280" s="12"/>
      <c r="AE280" s="12"/>
      <c r="AF280" s="12"/>
      <c r="AG280" s="12"/>
      <c r="AH280" s="12"/>
    </row>
    <row r="281" spans="1:34">
      <c r="A281" s="9">
        <v>279</v>
      </c>
      <c r="B281" s="9">
        <v>1000</v>
      </c>
      <c r="C281" s="9" t="s">
        <v>402</v>
      </c>
      <c r="D281" s="9" t="s">
        <v>403</v>
      </c>
      <c r="E281" s="10" t="str">
        <f>"423.12"</f>
        <v>423.12</v>
      </c>
      <c r="F281" s="11" t="s">
        <v>40</v>
      </c>
      <c r="G281" s="11">
        <v>2017</v>
      </c>
      <c r="H281" s="12" t="str">
        <f>"383.12"</f>
        <v>383.12</v>
      </c>
      <c r="I281" s="12"/>
      <c r="J281" s="12"/>
      <c r="K281" s="12"/>
      <c r="L281" s="12"/>
      <c r="M281" s="12"/>
      <c r="N281" s="12"/>
      <c r="O281" s="12"/>
      <c r="P281" s="12"/>
      <c r="Q281" s="12"/>
      <c r="R281" s="12"/>
      <c r="S281" s="12"/>
      <c r="T281" s="12"/>
      <c r="U281" s="12"/>
      <c r="V281" s="12"/>
      <c r="W281" s="12"/>
      <c r="X281" s="12"/>
      <c r="Y281" s="12"/>
      <c r="Z281" s="12"/>
      <c r="AA281" s="12"/>
      <c r="AB281" s="12"/>
      <c r="AC281" s="12"/>
      <c r="AD281" s="12"/>
      <c r="AE281" s="12"/>
      <c r="AF281" s="12"/>
      <c r="AG281" s="12"/>
      <c r="AH281" s="12"/>
    </row>
    <row r="282" spans="1:34">
      <c r="A282" s="9">
        <v>280</v>
      </c>
      <c r="B282" s="9">
        <v>10864</v>
      </c>
      <c r="C282" s="9" t="s">
        <v>404</v>
      </c>
      <c r="D282" s="9" t="s">
        <v>39</v>
      </c>
      <c r="E282" s="10" t="str">
        <f>"424.18"</f>
        <v>424.18</v>
      </c>
      <c r="F282" s="11"/>
      <c r="G282" s="11">
        <v>2017</v>
      </c>
      <c r="H282" s="12" t="str">
        <f>"764.78"</f>
        <v>764.78</v>
      </c>
      <c r="I282" s="12"/>
      <c r="J282" s="12"/>
      <c r="K282" s="12"/>
      <c r="L282" s="12"/>
      <c r="M282" s="12" t="str">
        <f>"614.82"</f>
        <v>614.82</v>
      </c>
      <c r="N282" s="12"/>
      <c r="O282" s="12"/>
      <c r="P282" s="12"/>
      <c r="Q282" s="12"/>
      <c r="R282" s="12"/>
      <c r="S282" s="12"/>
      <c r="T282" s="12"/>
      <c r="U282" s="12"/>
      <c r="V282" s="12"/>
      <c r="W282" s="12"/>
      <c r="X282" s="12"/>
      <c r="Y282" s="12"/>
      <c r="Z282" s="12" t="str">
        <f>"423.66"</f>
        <v>423.66</v>
      </c>
      <c r="AA282" s="12"/>
      <c r="AB282" s="12"/>
      <c r="AC282" s="12"/>
      <c r="AD282" s="12"/>
      <c r="AE282" s="12"/>
      <c r="AF282" s="12"/>
      <c r="AG282" s="12" t="str">
        <f>"424.69"</f>
        <v>424.69</v>
      </c>
      <c r="AH282" s="12"/>
    </row>
    <row r="283" spans="1:34">
      <c r="A283" s="9">
        <v>281</v>
      </c>
      <c r="B283" s="9">
        <v>10878</v>
      </c>
      <c r="C283" s="9" t="s">
        <v>405</v>
      </c>
      <c r="D283" s="9" t="s">
        <v>39</v>
      </c>
      <c r="E283" s="10" t="str">
        <f>"427.36"</f>
        <v>427.36</v>
      </c>
      <c r="F283" s="11"/>
      <c r="G283" s="11">
        <v>2017</v>
      </c>
      <c r="H283" s="12" t="str">
        <f>"514.88"</f>
        <v>514.88</v>
      </c>
      <c r="I283" s="12"/>
      <c r="J283" s="12"/>
      <c r="K283" s="12"/>
      <c r="L283" s="12"/>
      <c r="M283" s="12" t="str">
        <f>"500.26"</f>
        <v>500.26</v>
      </c>
      <c r="N283" s="12"/>
      <c r="O283" s="12"/>
      <c r="P283" s="12"/>
      <c r="Q283" s="12"/>
      <c r="R283" s="12"/>
      <c r="S283" s="12"/>
      <c r="T283" s="12"/>
      <c r="U283" s="12"/>
      <c r="V283" s="12"/>
      <c r="W283" s="12"/>
      <c r="X283" s="12"/>
      <c r="Y283" s="12"/>
      <c r="Z283" s="12" t="str">
        <f>"448.53"</f>
        <v>448.53</v>
      </c>
      <c r="AA283" s="12"/>
      <c r="AB283" s="12"/>
      <c r="AC283" s="12"/>
      <c r="AD283" s="12"/>
      <c r="AE283" s="12"/>
      <c r="AF283" s="12"/>
      <c r="AG283" s="12" t="str">
        <f>"406.19"</f>
        <v>406.19</v>
      </c>
      <c r="AH283" s="12"/>
    </row>
    <row r="284" spans="1:34">
      <c r="A284" s="9">
        <v>282</v>
      </c>
      <c r="B284" s="9">
        <v>11249</v>
      </c>
      <c r="C284" s="9" t="s">
        <v>406</v>
      </c>
      <c r="D284" s="9" t="s">
        <v>39</v>
      </c>
      <c r="E284" s="10" t="str">
        <f>"429.07"</f>
        <v>429.07</v>
      </c>
      <c r="F284" s="11"/>
      <c r="G284" s="11">
        <v>2017</v>
      </c>
      <c r="H284" s="12"/>
      <c r="I284" s="12"/>
      <c r="J284" s="12"/>
      <c r="K284" s="12"/>
      <c r="L284" s="12"/>
      <c r="M284" s="12" t="str">
        <f>"522.18"</f>
        <v>522.18</v>
      </c>
      <c r="N284" s="12"/>
      <c r="O284" s="12"/>
      <c r="P284" s="12"/>
      <c r="Q284" s="12"/>
      <c r="R284" s="12"/>
      <c r="S284" s="12"/>
      <c r="T284" s="12"/>
      <c r="U284" s="12" t="str">
        <f>"632.31"</f>
        <v>632.31</v>
      </c>
      <c r="V284" s="12"/>
      <c r="W284" s="12"/>
      <c r="X284" s="12"/>
      <c r="Y284" s="12"/>
      <c r="Z284" s="12" t="str">
        <f>"386.84"</f>
        <v>386.84</v>
      </c>
      <c r="AA284" s="12" t="str">
        <f>"471.30"</f>
        <v>471.30</v>
      </c>
      <c r="AB284" s="12"/>
      <c r="AC284" s="12"/>
      <c r="AD284" s="12"/>
      <c r="AE284" s="12"/>
      <c r="AF284" s="12"/>
      <c r="AG284" s="12"/>
      <c r="AH284" s="12"/>
    </row>
    <row r="285" spans="1:34">
      <c r="A285" s="9">
        <v>283</v>
      </c>
      <c r="B285" s="9">
        <v>11027</v>
      </c>
      <c r="C285" s="9" t="s">
        <v>407</v>
      </c>
      <c r="D285" s="9" t="s">
        <v>223</v>
      </c>
      <c r="E285" s="10" t="str">
        <f>"431.34"</f>
        <v>431.34</v>
      </c>
      <c r="F285" s="11" t="s">
        <v>37</v>
      </c>
      <c r="G285" s="11">
        <v>2017</v>
      </c>
      <c r="H285" s="12" t="str">
        <f>"509.41"</f>
        <v>509.41</v>
      </c>
      <c r="I285" s="12"/>
      <c r="J285" s="12"/>
      <c r="K285" s="12"/>
      <c r="L285" s="12"/>
      <c r="M285" s="12"/>
      <c r="N285" s="12"/>
      <c r="O285" s="12"/>
      <c r="P285" s="12"/>
      <c r="Q285" s="12" t="str">
        <f>"391.34"</f>
        <v>391.34</v>
      </c>
      <c r="R285" s="12"/>
      <c r="S285" s="12"/>
      <c r="T285" s="12"/>
      <c r="U285" s="12"/>
      <c r="V285" s="12"/>
      <c r="W285" s="12"/>
      <c r="X285" s="12"/>
      <c r="Y285" s="12"/>
      <c r="Z285" s="12"/>
      <c r="AA285" s="12"/>
      <c r="AB285" s="12"/>
      <c r="AC285" s="12"/>
      <c r="AD285" s="12"/>
      <c r="AE285" s="12"/>
      <c r="AF285" s="12"/>
      <c r="AG285" s="12"/>
      <c r="AH285" s="12"/>
    </row>
    <row r="286" spans="1:34">
      <c r="A286" s="9">
        <v>284</v>
      </c>
      <c r="B286" s="9">
        <v>10808</v>
      </c>
      <c r="C286" s="9" t="s">
        <v>408</v>
      </c>
      <c r="D286" s="9" t="s">
        <v>71</v>
      </c>
      <c r="E286" s="10" t="str">
        <f>"435.72"</f>
        <v>435.72</v>
      </c>
      <c r="F286" s="11"/>
      <c r="G286" s="11">
        <v>2017</v>
      </c>
      <c r="H286" s="12"/>
      <c r="I286" s="12"/>
      <c r="J286" s="12"/>
      <c r="K286" s="12"/>
      <c r="L286" s="12"/>
      <c r="M286" s="12"/>
      <c r="N286" s="12"/>
      <c r="O286" s="12"/>
      <c r="P286" s="12"/>
      <c r="Q286" s="12"/>
      <c r="R286" s="12"/>
      <c r="S286" s="12"/>
      <c r="T286" s="12"/>
      <c r="U286" s="12"/>
      <c r="V286" s="12"/>
      <c r="W286" s="12" t="str">
        <f>"419.42"</f>
        <v>419.42</v>
      </c>
      <c r="X286" s="12"/>
      <c r="Y286" s="12"/>
      <c r="Z286" s="12"/>
      <c r="AA286" s="12"/>
      <c r="AB286" s="12"/>
      <c r="AC286" s="12"/>
      <c r="AD286" s="12" t="str">
        <f>"452.02"</f>
        <v>452.02</v>
      </c>
      <c r="AE286" s="12"/>
      <c r="AF286" s="12"/>
      <c r="AG286" s="12"/>
      <c r="AH286" s="12"/>
    </row>
    <row r="287" spans="1:34">
      <c r="A287" s="9">
        <v>285</v>
      </c>
      <c r="B287" s="9">
        <v>11131</v>
      </c>
      <c r="C287" s="9" t="s">
        <v>409</v>
      </c>
      <c r="D287" s="9" t="s">
        <v>71</v>
      </c>
      <c r="E287" s="10" t="str">
        <f>"437.93"</f>
        <v>437.93</v>
      </c>
      <c r="F287" s="11" t="s">
        <v>37</v>
      </c>
      <c r="G287" s="11">
        <v>2017</v>
      </c>
      <c r="H287" s="12"/>
      <c r="I287" s="12"/>
      <c r="J287" s="12"/>
      <c r="K287" s="12"/>
      <c r="L287" s="12"/>
      <c r="M287" s="12"/>
      <c r="N287" s="12"/>
      <c r="O287" s="12"/>
      <c r="P287" s="12"/>
      <c r="Q287" s="12"/>
      <c r="R287" s="12"/>
      <c r="S287" s="12"/>
      <c r="T287" s="12"/>
      <c r="U287" s="12"/>
      <c r="V287" s="12"/>
      <c r="W287" s="12" t="str">
        <f>"397.93"</f>
        <v>397.93</v>
      </c>
      <c r="X287" s="12"/>
      <c r="Y287" s="12"/>
      <c r="Z287" s="12"/>
      <c r="AA287" s="12"/>
      <c r="AB287" s="12"/>
      <c r="AC287" s="12"/>
      <c r="AD287" s="12"/>
      <c r="AE287" s="12"/>
      <c r="AF287" s="12"/>
      <c r="AG287" s="12"/>
      <c r="AH287" s="12"/>
    </row>
    <row r="288" spans="1:34">
      <c r="A288" s="9">
        <v>286</v>
      </c>
      <c r="B288" s="9">
        <v>11307</v>
      </c>
      <c r="C288" s="9" t="s">
        <v>410</v>
      </c>
      <c r="D288" s="9" t="s">
        <v>39</v>
      </c>
      <c r="E288" s="10" t="str">
        <f>"439.77"</f>
        <v>439.77</v>
      </c>
      <c r="F288" s="11"/>
      <c r="G288" s="11">
        <v>2017</v>
      </c>
      <c r="H288" s="12"/>
      <c r="I288" s="12"/>
      <c r="J288" s="12"/>
      <c r="K288" s="12"/>
      <c r="L288" s="12"/>
      <c r="M288" s="12" t="str">
        <f>"559.35"</f>
        <v>559.35</v>
      </c>
      <c r="N288" s="12"/>
      <c r="O288" s="12"/>
      <c r="P288" s="12"/>
      <c r="Q288" s="12"/>
      <c r="R288" s="12"/>
      <c r="S288" s="12"/>
      <c r="T288" s="12"/>
      <c r="U288" s="12"/>
      <c r="V288" s="12"/>
      <c r="W288" s="12"/>
      <c r="X288" s="12"/>
      <c r="Y288" s="12"/>
      <c r="Z288" s="12" t="str">
        <f>"439.86"</f>
        <v>439.86</v>
      </c>
      <c r="AA288" s="12"/>
      <c r="AB288" s="12"/>
      <c r="AC288" s="12"/>
      <c r="AD288" s="12"/>
      <c r="AE288" s="12"/>
      <c r="AF288" s="12"/>
      <c r="AG288" s="12" t="str">
        <f>"439.67"</f>
        <v>439.67</v>
      </c>
      <c r="AH288" s="12"/>
    </row>
    <row r="289" spans="1:34">
      <c r="A289" s="9">
        <v>287</v>
      </c>
      <c r="B289" s="9">
        <v>5346</v>
      </c>
      <c r="C289" s="9" t="s">
        <v>411</v>
      </c>
      <c r="D289" s="9" t="s">
        <v>137</v>
      </c>
      <c r="E289" s="10" t="str">
        <f>"440.58"</f>
        <v>440.58</v>
      </c>
      <c r="F289" s="11" t="s">
        <v>37</v>
      </c>
      <c r="G289" s="11">
        <v>2017</v>
      </c>
      <c r="H289" s="12"/>
      <c r="I289" s="12"/>
      <c r="J289" s="12"/>
      <c r="K289" s="12"/>
      <c r="L289" s="12"/>
      <c r="M289" s="12"/>
      <c r="N289" s="12"/>
      <c r="O289" s="12"/>
      <c r="P289" s="12"/>
      <c r="Q289" s="12"/>
      <c r="R289" s="12"/>
      <c r="S289" s="12"/>
      <c r="T289" s="12"/>
      <c r="U289" s="12"/>
      <c r="V289" s="12"/>
      <c r="W289" s="12"/>
      <c r="X289" s="12"/>
      <c r="Y289" s="12"/>
      <c r="Z289" s="12"/>
      <c r="AA289" s="12"/>
      <c r="AB289" s="12"/>
      <c r="AC289" s="12"/>
      <c r="AD289" s="12" t="str">
        <f>"400.58"</f>
        <v>400.58</v>
      </c>
      <c r="AE289" s="12"/>
      <c r="AF289" s="12"/>
      <c r="AG289" s="12"/>
      <c r="AH289" s="12"/>
    </row>
    <row r="290" spans="1:34">
      <c r="A290" s="9">
        <v>288</v>
      </c>
      <c r="B290" s="9">
        <v>11073</v>
      </c>
      <c r="C290" s="9" t="s">
        <v>412</v>
      </c>
      <c r="D290" s="9" t="s">
        <v>127</v>
      </c>
      <c r="E290" s="10" t="str">
        <f>"442.53"</f>
        <v>442.53</v>
      </c>
      <c r="F290" s="11" t="s">
        <v>40</v>
      </c>
      <c r="G290" s="11">
        <v>2017</v>
      </c>
      <c r="H290" s="12" t="str">
        <f>"402.53"</f>
        <v>402.53</v>
      </c>
      <c r="I290" s="12"/>
      <c r="J290" s="12"/>
      <c r="K290" s="12"/>
      <c r="L290" s="12"/>
      <c r="M290" s="12"/>
      <c r="N290" s="12"/>
      <c r="O290" s="12"/>
      <c r="P290" s="12"/>
      <c r="Q290" s="12"/>
      <c r="R290" s="12"/>
      <c r="S290" s="12"/>
      <c r="T290" s="12"/>
      <c r="U290" s="12"/>
      <c r="V290" s="12"/>
      <c r="W290" s="12"/>
      <c r="X290" s="12"/>
      <c r="Y290" s="12"/>
      <c r="Z290" s="12"/>
      <c r="AA290" s="12"/>
      <c r="AB290" s="12"/>
      <c r="AC290" s="12"/>
      <c r="AD290" s="12"/>
      <c r="AE290" s="12"/>
      <c r="AF290" s="12"/>
      <c r="AG290" s="12"/>
      <c r="AH290" s="12"/>
    </row>
    <row r="291" spans="1:34">
      <c r="A291" s="9">
        <v>289</v>
      </c>
      <c r="B291" s="9">
        <v>6486</v>
      </c>
      <c r="C291" s="9" t="s">
        <v>413</v>
      </c>
      <c r="D291" s="9" t="s">
        <v>414</v>
      </c>
      <c r="E291" s="10" t="str">
        <f>"447.45"</f>
        <v>447.45</v>
      </c>
      <c r="F291" s="11" t="s">
        <v>40</v>
      </c>
      <c r="G291" s="11">
        <v>2017</v>
      </c>
      <c r="H291" s="12" t="str">
        <f>"407.45"</f>
        <v>407.45</v>
      </c>
      <c r="I291" s="12"/>
      <c r="J291" s="12"/>
      <c r="K291" s="12"/>
      <c r="L291" s="12"/>
      <c r="M291" s="12"/>
      <c r="N291" s="12"/>
      <c r="O291" s="12"/>
      <c r="P291" s="12"/>
      <c r="Q291" s="12"/>
      <c r="R291" s="12"/>
      <c r="S291" s="12"/>
      <c r="T291" s="12"/>
      <c r="U291" s="12"/>
      <c r="V291" s="12"/>
      <c r="W291" s="12"/>
      <c r="X291" s="12"/>
      <c r="Y291" s="12"/>
      <c r="Z291" s="12"/>
      <c r="AA291" s="12"/>
      <c r="AB291" s="12"/>
      <c r="AC291" s="12"/>
      <c r="AD291" s="12"/>
      <c r="AE291" s="12"/>
      <c r="AF291" s="12"/>
      <c r="AG291" s="12"/>
      <c r="AH291" s="12"/>
    </row>
    <row r="292" spans="1:34">
      <c r="A292" s="9">
        <v>290</v>
      </c>
      <c r="B292" s="9">
        <v>10294</v>
      </c>
      <c r="C292" s="9" t="s">
        <v>415</v>
      </c>
      <c r="D292" s="9" t="s">
        <v>201</v>
      </c>
      <c r="E292" s="10" t="str">
        <f>"448.64"</f>
        <v>448.64</v>
      </c>
      <c r="F292" s="11" t="s">
        <v>37</v>
      </c>
      <c r="G292" s="11">
        <v>2017</v>
      </c>
      <c r="H292" s="12" t="str">
        <f>"429.61"</f>
        <v>429.61</v>
      </c>
      <c r="I292" s="12"/>
      <c r="J292" s="12"/>
      <c r="K292" s="12"/>
      <c r="L292" s="12"/>
      <c r="M292" s="12"/>
      <c r="N292" s="12"/>
      <c r="O292" s="12"/>
      <c r="P292" s="12"/>
      <c r="Q292" s="12" t="str">
        <f>"408.64"</f>
        <v>408.64</v>
      </c>
      <c r="R292" s="12"/>
      <c r="S292" s="12"/>
      <c r="T292" s="12"/>
      <c r="U292" s="12"/>
      <c r="V292" s="12"/>
      <c r="W292" s="12"/>
      <c r="X292" s="12"/>
      <c r="Y292" s="12"/>
      <c r="Z292" s="12"/>
      <c r="AA292" s="12"/>
      <c r="AB292" s="12"/>
      <c r="AC292" s="12"/>
      <c r="AD292" s="12"/>
      <c r="AE292" s="12"/>
      <c r="AF292" s="12"/>
      <c r="AG292" s="12"/>
      <c r="AH292" s="12"/>
    </row>
    <row r="293" spans="1:34">
      <c r="A293" s="9">
        <v>291</v>
      </c>
      <c r="B293" s="9">
        <v>5369</v>
      </c>
      <c r="C293" s="9" t="s">
        <v>416</v>
      </c>
      <c r="D293" s="9" t="s">
        <v>159</v>
      </c>
      <c r="E293" s="10" t="str">
        <f>"451.39"</f>
        <v>451.39</v>
      </c>
      <c r="F293" s="11"/>
      <c r="G293" s="11">
        <v>2017</v>
      </c>
      <c r="H293" s="12" t="str">
        <f>"477.91"</f>
        <v>477.91</v>
      </c>
      <c r="I293" s="12"/>
      <c r="J293" s="12"/>
      <c r="K293" s="12" t="str">
        <f>"445.13"</f>
        <v>445.13</v>
      </c>
      <c r="L293" s="12" t="str">
        <f>"462.92"</f>
        <v>462.92</v>
      </c>
      <c r="M293" s="12"/>
      <c r="N293" s="12"/>
      <c r="O293" s="12" t="str">
        <f>"551.33"</f>
        <v>551.33</v>
      </c>
      <c r="P293" s="12"/>
      <c r="Q293" s="12"/>
      <c r="R293" s="12"/>
      <c r="S293" s="12"/>
      <c r="T293" s="12"/>
      <c r="U293" s="12"/>
      <c r="V293" s="12" t="str">
        <f>"495.14"</f>
        <v>495.14</v>
      </c>
      <c r="W293" s="12"/>
      <c r="X293" s="12" t="str">
        <f>"575.42"</f>
        <v>575.42</v>
      </c>
      <c r="Y293" s="12" t="str">
        <f>"463.87"</f>
        <v>463.87</v>
      </c>
      <c r="Z293" s="12"/>
      <c r="AA293" s="12"/>
      <c r="AB293" s="12" t="str">
        <f>"457.64"</f>
        <v>457.64</v>
      </c>
      <c r="AC293" s="12" t="str">
        <f>"519.76"</f>
        <v>519.76</v>
      </c>
      <c r="AD293" s="12" t="str">
        <f>"507.81"</f>
        <v>507.81</v>
      </c>
      <c r="AE293" s="12"/>
      <c r="AF293" s="12" t="str">
        <f>"465.45"</f>
        <v>465.45</v>
      </c>
      <c r="AG293" s="12"/>
      <c r="AH293" s="12"/>
    </row>
    <row r="294" spans="1:34">
      <c r="A294" s="9">
        <v>292</v>
      </c>
      <c r="B294" s="9">
        <v>11199</v>
      </c>
      <c r="C294" s="9" t="s">
        <v>417</v>
      </c>
      <c r="D294" s="9" t="s">
        <v>71</v>
      </c>
      <c r="E294" s="10" t="str">
        <f>"454.37"</f>
        <v>454.37</v>
      </c>
      <c r="F294" s="11" t="s">
        <v>37</v>
      </c>
      <c r="G294" s="11">
        <v>2017</v>
      </c>
      <c r="H294" s="12"/>
      <c r="I294" s="12"/>
      <c r="J294" s="12"/>
      <c r="K294" s="12"/>
      <c r="L294" s="12"/>
      <c r="M294" s="12"/>
      <c r="N294" s="12"/>
      <c r="O294" s="12"/>
      <c r="P294" s="12"/>
      <c r="Q294" s="12"/>
      <c r="R294" s="12"/>
      <c r="S294" s="12"/>
      <c r="T294" s="12"/>
      <c r="U294" s="12"/>
      <c r="V294" s="12"/>
      <c r="W294" s="12" t="str">
        <f>"414.37"</f>
        <v>414.37</v>
      </c>
      <c r="X294" s="12"/>
      <c r="Y294" s="12"/>
      <c r="Z294" s="12"/>
      <c r="AA294" s="12"/>
      <c r="AB294" s="12"/>
      <c r="AC294" s="12"/>
      <c r="AD294" s="12"/>
      <c r="AE294" s="12"/>
      <c r="AF294" s="12"/>
      <c r="AG294" s="12"/>
      <c r="AH294" s="12"/>
    </row>
    <row r="295" spans="1:34">
      <c r="A295" s="9">
        <v>293</v>
      </c>
      <c r="B295" s="9">
        <v>9973</v>
      </c>
      <c r="C295" s="9" t="s">
        <v>418</v>
      </c>
      <c r="D295" s="9" t="s">
        <v>419</v>
      </c>
      <c r="E295" s="10" t="str">
        <f>"454.65"</f>
        <v>454.65</v>
      </c>
      <c r="F295" s="11" t="s">
        <v>40</v>
      </c>
      <c r="G295" s="11">
        <v>2017</v>
      </c>
      <c r="H295" s="12" t="str">
        <f>"414.65"</f>
        <v>414.65</v>
      </c>
      <c r="I295" s="12"/>
      <c r="J295" s="12"/>
      <c r="K295" s="12"/>
      <c r="L295" s="12"/>
      <c r="M295" s="12"/>
      <c r="N295" s="12"/>
      <c r="O295" s="12"/>
      <c r="P295" s="12"/>
      <c r="Q295" s="12"/>
      <c r="R295" s="12"/>
      <c r="S295" s="12"/>
      <c r="T295" s="12"/>
      <c r="U295" s="12"/>
      <c r="V295" s="12"/>
      <c r="W295" s="12"/>
      <c r="X295" s="12"/>
      <c r="Y295" s="12"/>
      <c r="Z295" s="12"/>
      <c r="AA295" s="12"/>
      <c r="AB295" s="12"/>
      <c r="AC295" s="12"/>
      <c r="AD295" s="12"/>
      <c r="AE295" s="12"/>
      <c r="AF295" s="12"/>
      <c r="AG295" s="12"/>
      <c r="AH295" s="12"/>
    </row>
    <row r="296" spans="1:34">
      <c r="A296" s="9">
        <v>294</v>
      </c>
      <c r="B296" s="9">
        <v>3109</v>
      </c>
      <c r="C296" s="9" t="s">
        <v>420</v>
      </c>
      <c r="D296" s="9" t="s">
        <v>248</v>
      </c>
      <c r="E296" s="10" t="str">
        <f>"455.76"</f>
        <v>455.76</v>
      </c>
      <c r="F296" s="11" t="s">
        <v>37</v>
      </c>
      <c r="G296" s="11">
        <v>2017</v>
      </c>
      <c r="H296" s="12" t="str">
        <f>"499.79"</f>
        <v>499.79</v>
      </c>
      <c r="I296" s="12"/>
      <c r="J296" s="12"/>
      <c r="K296" s="12"/>
      <c r="L296" s="12"/>
      <c r="M296" s="12"/>
      <c r="N296" s="12"/>
      <c r="O296" s="12"/>
      <c r="P296" s="12"/>
      <c r="Q296" s="12"/>
      <c r="R296" s="12"/>
      <c r="S296" s="12"/>
      <c r="T296" s="12"/>
      <c r="U296" s="12"/>
      <c r="V296" s="12" t="str">
        <f>"415.76"</f>
        <v>415.76</v>
      </c>
      <c r="W296" s="12"/>
      <c r="X296" s="12"/>
      <c r="Y296" s="12"/>
      <c r="Z296" s="12"/>
      <c r="AA296" s="12"/>
      <c r="AB296" s="12"/>
      <c r="AC296" s="12"/>
      <c r="AD296" s="12"/>
      <c r="AE296" s="12"/>
      <c r="AF296" s="12"/>
      <c r="AG296" s="12"/>
      <c r="AH296" s="12"/>
    </row>
    <row r="297" spans="1:34">
      <c r="A297" s="9">
        <v>295</v>
      </c>
      <c r="B297" s="9">
        <v>10534</v>
      </c>
      <c r="C297" s="9" t="s">
        <v>421</v>
      </c>
      <c r="D297" s="9" t="s">
        <v>205</v>
      </c>
      <c r="E297" s="10" t="str">
        <f>"455.77"</f>
        <v>455.77</v>
      </c>
      <c r="F297" s="11"/>
      <c r="G297" s="11">
        <v>2017</v>
      </c>
      <c r="H297" s="12" t="str">
        <f>"370.10"</f>
        <v>370.10</v>
      </c>
      <c r="I297" s="12"/>
      <c r="J297" s="12"/>
      <c r="K297" s="12"/>
      <c r="L297" s="12"/>
      <c r="M297" s="12"/>
      <c r="N297" s="12"/>
      <c r="O297" s="12"/>
      <c r="P297" s="12"/>
      <c r="Q297" s="12"/>
      <c r="R297" s="12"/>
      <c r="S297" s="12"/>
      <c r="T297" s="12"/>
      <c r="U297" s="12"/>
      <c r="V297" s="12"/>
      <c r="W297" s="12"/>
      <c r="X297" s="12" t="str">
        <f>"473.29"</f>
        <v>473.29</v>
      </c>
      <c r="Y297" s="12" t="str">
        <f>"438.25"</f>
        <v>438.25</v>
      </c>
      <c r="Z297" s="12"/>
      <c r="AA297" s="12"/>
      <c r="AB297" s="12"/>
      <c r="AC297" s="12"/>
      <c r="AD297" s="12"/>
      <c r="AE297" s="12"/>
      <c r="AF297" s="12"/>
      <c r="AG297" s="12"/>
      <c r="AH297" s="12"/>
    </row>
    <row r="298" spans="1:34">
      <c r="A298" s="9">
        <v>296</v>
      </c>
      <c r="B298" s="9">
        <v>10301</v>
      </c>
      <c r="C298" s="9" t="s">
        <v>422</v>
      </c>
      <c r="D298" s="9" t="s">
        <v>93</v>
      </c>
      <c r="E298" s="10" t="str">
        <f>"467.64"</f>
        <v>467.64</v>
      </c>
      <c r="F298" s="11" t="s">
        <v>40</v>
      </c>
      <c r="G298" s="11">
        <v>2017</v>
      </c>
      <c r="H298" s="12" t="str">
        <f>"427.64"</f>
        <v>427.64</v>
      </c>
      <c r="I298" s="12"/>
      <c r="J298" s="12"/>
      <c r="K298" s="12"/>
      <c r="L298" s="12"/>
      <c r="M298" s="12"/>
      <c r="N298" s="12"/>
      <c r="O298" s="12"/>
      <c r="P298" s="12"/>
      <c r="Q298" s="12"/>
      <c r="R298" s="12"/>
      <c r="S298" s="12"/>
      <c r="T298" s="12"/>
      <c r="U298" s="12"/>
      <c r="V298" s="12"/>
      <c r="W298" s="12"/>
      <c r="X298" s="12"/>
      <c r="Y298" s="12"/>
      <c r="Z298" s="12"/>
      <c r="AA298" s="12"/>
      <c r="AB298" s="12"/>
      <c r="AC298" s="12"/>
      <c r="AD298" s="12"/>
      <c r="AE298" s="12"/>
      <c r="AF298" s="12"/>
      <c r="AG298" s="12"/>
      <c r="AH298" s="12"/>
    </row>
    <row r="299" spans="1:34">
      <c r="A299" s="9">
        <v>297</v>
      </c>
      <c r="B299" s="9">
        <v>9737</v>
      </c>
      <c r="C299" s="9" t="s">
        <v>423</v>
      </c>
      <c r="D299" s="9" t="s">
        <v>137</v>
      </c>
      <c r="E299" s="10" t="str">
        <f>"479.83"</f>
        <v>479.83</v>
      </c>
      <c r="F299" s="11"/>
      <c r="G299" s="11">
        <v>2017</v>
      </c>
      <c r="H299" s="12" t="str">
        <f>"436.71"</f>
        <v>436.71</v>
      </c>
      <c r="I299" s="12"/>
      <c r="J299" s="12"/>
      <c r="K299" s="12" t="str">
        <f>"494.62"</f>
        <v>494.62</v>
      </c>
      <c r="L299" s="12" t="str">
        <f>"478.39"</f>
        <v>478.39</v>
      </c>
      <c r="M299" s="12"/>
      <c r="N299" s="12"/>
      <c r="O299" s="12"/>
      <c r="P299" s="12" t="str">
        <f>"481.26"</f>
        <v>481.26</v>
      </c>
      <c r="Q299" s="12"/>
      <c r="R299" s="12"/>
      <c r="S299" s="12"/>
      <c r="T299" s="12"/>
      <c r="U299" s="12"/>
      <c r="V299" s="12"/>
      <c r="W299" s="12"/>
      <c r="X299" s="12"/>
      <c r="Y299" s="12"/>
      <c r="Z299" s="12"/>
      <c r="AA299" s="12"/>
      <c r="AB299" s="12"/>
      <c r="AC299" s="12"/>
      <c r="AD299" s="12"/>
      <c r="AE299" s="12"/>
      <c r="AF299" s="12"/>
      <c r="AG299" s="12"/>
      <c r="AH299" s="12"/>
    </row>
    <row r="300" spans="1:34">
      <c r="A300" s="9">
        <v>298</v>
      </c>
      <c r="B300" s="9">
        <v>11324</v>
      </c>
      <c r="C300" s="9" t="s">
        <v>424</v>
      </c>
      <c r="D300" s="9" t="s">
        <v>201</v>
      </c>
      <c r="E300" s="10" t="str">
        <f>"483.25"</f>
        <v>483.25</v>
      </c>
      <c r="F300" s="11" t="s">
        <v>37</v>
      </c>
      <c r="G300" s="11">
        <v>2017</v>
      </c>
      <c r="H300" s="12"/>
      <c r="I300" s="12"/>
      <c r="J300" s="12"/>
      <c r="K300" s="12"/>
      <c r="L300" s="12"/>
      <c r="M300" s="12"/>
      <c r="N300" s="12"/>
      <c r="O300" s="12"/>
      <c r="P300" s="12"/>
      <c r="Q300" s="12" t="str">
        <f>"443.25"</f>
        <v>443.25</v>
      </c>
      <c r="R300" s="12"/>
      <c r="S300" s="12"/>
      <c r="T300" s="12"/>
      <c r="U300" s="12"/>
      <c r="V300" s="12"/>
      <c r="W300" s="12"/>
      <c r="X300" s="12"/>
      <c r="Y300" s="12"/>
      <c r="Z300" s="12"/>
      <c r="AA300" s="12"/>
      <c r="AB300" s="12"/>
      <c r="AC300" s="12"/>
      <c r="AD300" s="12"/>
      <c r="AE300" s="12"/>
      <c r="AF300" s="12"/>
      <c r="AG300" s="12"/>
      <c r="AH300" s="12"/>
    </row>
    <row r="301" spans="1:34">
      <c r="A301" s="9">
        <v>299</v>
      </c>
      <c r="B301" s="9">
        <v>11408</v>
      </c>
      <c r="C301" s="9" t="s">
        <v>425</v>
      </c>
      <c r="D301" s="9" t="s">
        <v>53</v>
      </c>
      <c r="E301" s="10" t="str">
        <f>"485.67"</f>
        <v>485.67</v>
      </c>
      <c r="F301" s="11" t="s">
        <v>37</v>
      </c>
      <c r="G301" s="11">
        <v>2017</v>
      </c>
      <c r="H301" s="12"/>
      <c r="I301" s="12"/>
      <c r="J301" s="12"/>
      <c r="K301" s="12"/>
      <c r="L301" s="12"/>
      <c r="M301" s="12"/>
      <c r="N301" s="12"/>
      <c r="O301" s="12"/>
      <c r="P301" s="12"/>
      <c r="Q301" s="12"/>
      <c r="R301" s="12"/>
      <c r="S301" s="12" t="str">
        <f>"445.67"</f>
        <v>445.67</v>
      </c>
      <c r="T301" s="12"/>
      <c r="U301" s="12"/>
      <c r="V301" s="12"/>
      <c r="W301" s="12"/>
      <c r="X301" s="12"/>
      <c r="Y301" s="12"/>
      <c r="Z301" s="12"/>
      <c r="AA301" s="12"/>
      <c r="AB301" s="12"/>
      <c r="AC301" s="12"/>
      <c r="AD301" s="12"/>
      <c r="AE301" s="12"/>
      <c r="AF301" s="12"/>
      <c r="AG301" s="12"/>
      <c r="AH301" s="12"/>
    </row>
    <row r="302" spans="1:34">
      <c r="A302" s="9">
        <v>300</v>
      </c>
      <c r="B302" s="9">
        <v>3680</v>
      </c>
      <c r="C302" s="9" t="s">
        <v>426</v>
      </c>
      <c r="D302" s="9" t="s">
        <v>362</v>
      </c>
      <c r="E302" s="10" t="str">
        <f>"490.25"</f>
        <v>490.25</v>
      </c>
      <c r="F302" s="11" t="s">
        <v>37</v>
      </c>
      <c r="G302" s="11">
        <v>2017</v>
      </c>
      <c r="H302" s="12" t="str">
        <f>"444.08"</f>
        <v>444.08</v>
      </c>
      <c r="I302" s="12"/>
      <c r="J302" s="12"/>
      <c r="K302" s="12"/>
      <c r="L302" s="12" t="str">
        <f>"450.25"</f>
        <v>450.25</v>
      </c>
      <c r="M302" s="12"/>
      <c r="N302" s="12"/>
      <c r="O302" s="12"/>
      <c r="P302" s="12"/>
      <c r="Q302" s="12"/>
      <c r="R302" s="12"/>
      <c r="S302" s="12"/>
      <c r="T302" s="12"/>
      <c r="U302" s="12"/>
      <c r="V302" s="12"/>
      <c r="W302" s="12"/>
      <c r="X302" s="12"/>
      <c r="Y302" s="12"/>
      <c r="Z302" s="12"/>
      <c r="AA302" s="12"/>
      <c r="AB302" s="12"/>
      <c r="AC302" s="12"/>
      <c r="AD302" s="12"/>
      <c r="AE302" s="12"/>
      <c r="AF302" s="12"/>
      <c r="AG302" s="12"/>
      <c r="AH302" s="12"/>
    </row>
    <row r="303" spans="1:34">
      <c r="A303" s="9">
        <v>301</v>
      </c>
      <c r="B303" s="9">
        <v>7075</v>
      </c>
      <c r="C303" s="9" t="s">
        <v>427</v>
      </c>
      <c r="D303" s="9" t="s">
        <v>428</v>
      </c>
      <c r="E303" s="10" t="str">
        <f>"492.36"</f>
        <v>492.36</v>
      </c>
      <c r="F303" s="11" t="s">
        <v>40</v>
      </c>
      <c r="G303" s="11">
        <v>2017</v>
      </c>
      <c r="H303" s="12" t="str">
        <f>"452.36"</f>
        <v>452.36</v>
      </c>
      <c r="I303" s="12"/>
      <c r="J303" s="12"/>
      <c r="K303" s="12"/>
      <c r="L303" s="12"/>
      <c r="M303" s="12"/>
      <c r="N303" s="12"/>
      <c r="O303" s="12"/>
      <c r="P303" s="12"/>
      <c r="Q303" s="12"/>
      <c r="R303" s="12"/>
      <c r="S303" s="12"/>
      <c r="T303" s="12"/>
      <c r="U303" s="12"/>
      <c r="V303" s="12"/>
      <c r="W303" s="12"/>
      <c r="X303" s="12"/>
      <c r="Y303" s="12"/>
      <c r="Z303" s="12"/>
      <c r="AA303" s="12"/>
      <c r="AB303" s="12"/>
      <c r="AC303" s="12"/>
      <c r="AD303" s="12"/>
      <c r="AE303" s="12"/>
      <c r="AF303" s="12"/>
      <c r="AG303" s="12"/>
      <c r="AH303" s="12"/>
    </row>
    <row r="304" spans="1:34">
      <c r="A304" s="9">
        <v>302</v>
      </c>
      <c r="B304" s="9">
        <v>11028</v>
      </c>
      <c r="C304" s="9" t="s">
        <v>429</v>
      </c>
      <c r="D304" s="9" t="s">
        <v>223</v>
      </c>
      <c r="E304" s="10" t="str">
        <f>"492.74"</f>
        <v>492.74</v>
      </c>
      <c r="F304" s="11" t="s">
        <v>37</v>
      </c>
      <c r="G304" s="11">
        <v>2017</v>
      </c>
      <c r="H304" s="12" t="str">
        <f>"675.27"</f>
        <v>675.27</v>
      </c>
      <c r="I304" s="12"/>
      <c r="J304" s="12"/>
      <c r="K304" s="12"/>
      <c r="L304" s="12"/>
      <c r="M304" s="12"/>
      <c r="N304" s="12"/>
      <c r="O304" s="12"/>
      <c r="P304" s="12"/>
      <c r="Q304" s="12" t="str">
        <f>"452.74"</f>
        <v>452.74</v>
      </c>
      <c r="R304" s="12"/>
      <c r="S304" s="12"/>
      <c r="T304" s="12"/>
      <c r="U304" s="12"/>
      <c r="V304" s="12"/>
      <c r="W304" s="12"/>
      <c r="X304" s="12"/>
      <c r="Y304" s="12"/>
      <c r="Z304" s="12"/>
      <c r="AA304" s="12"/>
      <c r="AB304" s="12"/>
      <c r="AC304" s="12"/>
      <c r="AD304" s="12"/>
      <c r="AE304" s="12"/>
      <c r="AF304" s="12"/>
      <c r="AG304" s="12"/>
      <c r="AH304" s="12"/>
    </row>
    <row r="305" spans="1:34">
      <c r="A305" s="9">
        <v>303</v>
      </c>
      <c r="B305" s="9">
        <v>10784</v>
      </c>
      <c r="C305" s="9" t="s">
        <v>430</v>
      </c>
      <c r="D305" s="9" t="s">
        <v>71</v>
      </c>
      <c r="E305" s="10" t="str">
        <f>"495.15"</f>
        <v>495.15</v>
      </c>
      <c r="F305" s="11"/>
      <c r="G305" s="11">
        <v>2017</v>
      </c>
      <c r="H305" s="12" t="str">
        <f>"697.41"</f>
        <v>697.41</v>
      </c>
      <c r="I305" s="12"/>
      <c r="J305" s="12"/>
      <c r="K305" s="12"/>
      <c r="L305" s="12"/>
      <c r="M305" s="12"/>
      <c r="N305" s="12"/>
      <c r="O305" s="12"/>
      <c r="P305" s="12"/>
      <c r="Q305" s="12"/>
      <c r="R305" s="12"/>
      <c r="S305" s="12"/>
      <c r="T305" s="12"/>
      <c r="U305" s="12"/>
      <c r="V305" s="12"/>
      <c r="W305" s="12" t="str">
        <f>"559.74"</f>
        <v>559.74</v>
      </c>
      <c r="X305" s="12"/>
      <c r="Y305" s="12"/>
      <c r="Z305" s="12"/>
      <c r="AA305" s="12"/>
      <c r="AB305" s="12"/>
      <c r="AC305" s="12"/>
      <c r="AD305" s="12"/>
      <c r="AE305" s="12"/>
      <c r="AF305" s="12" t="str">
        <f>"430.55"</f>
        <v>430.55</v>
      </c>
      <c r="AG305" s="12"/>
      <c r="AH305" s="12"/>
    </row>
    <row r="306" spans="1:34">
      <c r="A306" s="9">
        <v>304</v>
      </c>
      <c r="B306" s="9">
        <v>10255</v>
      </c>
      <c r="C306" s="9" t="s">
        <v>431</v>
      </c>
      <c r="D306" s="9" t="s">
        <v>432</v>
      </c>
      <c r="E306" s="10" t="str">
        <f>"496.77"</f>
        <v>496.77</v>
      </c>
      <c r="F306" s="11" t="s">
        <v>40</v>
      </c>
      <c r="G306" s="11">
        <v>2017</v>
      </c>
      <c r="H306" s="12" t="str">
        <f>"456.77"</f>
        <v>456.77</v>
      </c>
      <c r="I306" s="12"/>
      <c r="J306" s="12"/>
      <c r="K306" s="12"/>
      <c r="L306" s="12"/>
      <c r="M306" s="12"/>
      <c r="N306" s="12"/>
      <c r="O306" s="12"/>
      <c r="P306" s="12"/>
      <c r="Q306" s="12"/>
      <c r="R306" s="12"/>
      <c r="S306" s="12"/>
      <c r="T306" s="12"/>
      <c r="U306" s="12"/>
      <c r="V306" s="12"/>
      <c r="W306" s="12"/>
      <c r="X306" s="12"/>
      <c r="Y306" s="12"/>
      <c r="Z306" s="12"/>
      <c r="AA306" s="12"/>
      <c r="AB306" s="12"/>
      <c r="AC306" s="12"/>
      <c r="AD306" s="12"/>
      <c r="AE306" s="12"/>
      <c r="AF306" s="12"/>
      <c r="AG306" s="12"/>
      <c r="AH306" s="12"/>
    </row>
    <row r="307" spans="1:34">
      <c r="A307" s="9">
        <v>305</v>
      </c>
      <c r="B307" s="9">
        <v>10687</v>
      </c>
      <c r="C307" s="9" t="s">
        <v>433</v>
      </c>
      <c r="D307" s="9" t="s">
        <v>48</v>
      </c>
      <c r="E307" s="10" t="str">
        <f>"496.89"</f>
        <v>496.89</v>
      </c>
      <c r="F307" s="11" t="s">
        <v>37</v>
      </c>
      <c r="G307" s="11">
        <v>2017</v>
      </c>
      <c r="H307" s="12" t="str">
        <f>"449.99"</f>
        <v>449.99</v>
      </c>
      <c r="I307" s="12"/>
      <c r="J307" s="12"/>
      <c r="K307" s="12"/>
      <c r="L307" s="12"/>
      <c r="M307" s="12"/>
      <c r="N307" s="12"/>
      <c r="O307" s="12"/>
      <c r="P307" s="12"/>
      <c r="Q307" s="12" t="str">
        <f>"456.89"</f>
        <v>456.89</v>
      </c>
      <c r="R307" s="12"/>
      <c r="S307" s="12"/>
      <c r="T307" s="12"/>
      <c r="U307" s="12"/>
      <c r="V307" s="12"/>
      <c r="W307" s="12"/>
      <c r="X307" s="12"/>
      <c r="Y307" s="12"/>
      <c r="Z307" s="12"/>
      <c r="AA307" s="12"/>
      <c r="AB307" s="12"/>
      <c r="AC307" s="12"/>
      <c r="AD307" s="12"/>
      <c r="AE307" s="12"/>
      <c r="AF307" s="12"/>
      <c r="AG307" s="12"/>
      <c r="AH307" s="12"/>
    </row>
    <row r="308" spans="1:34">
      <c r="A308" s="9">
        <v>306</v>
      </c>
      <c r="B308" s="9">
        <v>2661</v>
      </c>
      <c r="C308" s="9" t="s">
        <v>434</v>
      </c>
      <c r="D308" s="9" t="s">
        <v>435</v>
      </c>
      <c r="E308" s="10" t="str">
        <f>"497.99"</f>
        <v>497.99</v>
      </c>
      <c r="F308" s="11" t="s">
        <v>40</v>
      </c>
      <c r="G308" s="11">
        <v>2017</v>
      </c>
      <c r="H308" s="12" t="str">
        <f>"457.99"</f>
        <v>457.99</v>
      </c>
      <c r="I308" s="12"/>
      <c r="J308" s="12"/>
      <c r="K308" s="12"/>
      <c r="L308" s="12"/>
      <c r="M308" s="12"/>
      <c r="N308" s="12"/>
      <c r="O308" s="12"/>
      <c r="P308" s="12"/>
      <c r="Q308" s="12"/>
      <c r="R308" s="12"/>
      <c r="S308" s="12"/>
      <c r="T308" s="12"/>
      <c r="U308" s="12"/>
      <c r="V308" s="12"/>
      <c r="W308" s="12"/>
      <c r="X308" s="12"/>
      <c r="Y308" s="12"/>
      <c r="Z308" s="12"/>
      <c r="AA308" s="12"/>
      <c r="AB308" s="12"/>
      <c r="AC308" s="12"/>
      <c r="AD308" s="12"/>
      <c r="AE308" s="12"/>
      <c r="AF308" s="12"/>
      <c r="AG308" s="12"/>
      <c r="AH308" s="12"/>
    </row>
    <row r="309" spans="1:34">
      <c r="A309" s="9">
        <v>307</v>
      </c>
      <c r="B309" s="9">
        <v>8444</v>
      </c>
      <c r="C309" s="9" t="s">
        <v>436</v>
      </c>
      <c r="D309" s="9" t="s">
        <v>298</v>
      </c>
      <c r="E309" s="10" t="str">
        <f>"500.55"</f>
        <v>500.55</v>
      </c>
      <c r="F309" s="11" t="s">
        <v>40</v>
      </c>
      <c r="G309" s="11">
        <v>2017</v>
      </c>
      <c r="H309" s="12" t="str">
        <f>"460.55"</f>
        <v>460.55</v>
      </c>
      <c r="I309" s="12"/>
      <c r="J309" s="12"/>
      <c r="K309" s="12"/>
      <c r="L309" s="12"/>
      <c r="M309" s="12"/>
      <c r="N309" s="12"/>
      <c r="O309" s="12"/>
      <c r="P309" s="12"/>
      <c r="Q309" s="12"/>
      <c r="R309" s="12"/>
      <c r="S309" s="12"/>
      <c r="T309" s="12"/>
      <c r="U309" s="12"/>
      <c r="V309" s="12"/>
      <c r="W309" s="12"/>
      <c r="X309" s="12"/>
      <c r="Y309" s="12"/>
      <c r="Z309" s="12"/>
      <c r="AA309" s="12"/>
      <c r="AB309" s="12"/>
      <c r="AC309" s="12"/>
      <c r="AD309" s="12"/>
      <c r="AE309" s="12"/>
      <c r="AF309" s="12"/>
      <c r="AG309" s="12"/>
      <c r="AH309" s="12"/>
    </row>
    <row r="310" spans="1:34">
      <c r="A310" s="9">
        <v>308</v>
      </c>
      <c r="B310" s="9">
        <v>5293</v>
      </c>
      <c r="C310" s="9" t="s">
        <v>437</v>
      </c>
      <c r="D310" s="9" t="s">
        <v>187</v>
      </c>
      <c r="E310" s="10" t="str">
        <f>"505.07"</f>
        <v>505.07</v>
      </c>
      <c r="F310" s="11" t="s">
        <v>40</v>
      </c>
      <c r="G310" s="11">
        <v>2017</v>
      </c>
      <c r="H310" s="12" t="str">
        <f>"465.07"</f>
        <v>465.07</v>
      </c>
      <c r="I310" s="12"/>
      <c r="J310" s="12"/>
      <c r="K310" s="12"/>
      <c r="L310" s="12"/>
      <c r="M310" s="12"/>
      <c r="N310" s="12"/>
      <c r="O310" s="12"/>
      <c r="P310" s="12"/>
      <c r="Q310" s="12"/>
      <c r="R310" s="12"/>
      <c r="S310" s="12"/>
      <c r="T310" s="12"/>
      <c r="U310" s="12"/>
      <c r="V310" s="12"/>
      <c r="W310" s="12"/>
      <c r="X310" s="12"/>
      <c r="Y310" s="12"/>
      <c r="Z310" s="12"/>
      <c r="AA310" s="12"/>
      <c r="AB310" s="12"/>
      <c r="AC310" s="12"/>
      <c r="AD310" s="12"/>
      <c r="AE310" s="12"/>
      <c r="AF310" s="12"/>
      <c r="AG310" s="12"/>
      <c r="AH310" s="12"/>
    </row>
    <row r="311" spans="1:34">
      <c r="A311" s="9">
        <v>309</v>
      </c>
      <c r="B311" s="9">
        <v>11321</v>
      </c>
      <c r="C311" s="9" t="s">
        <v>438</v>
      </c>
      <c r="D311" s="9" t="s">
        <v>201</v>
      </c>
      <c r="E311" s="10" t="str">
        <f>"511.74"</f>
        <v>511.74</v>
      </c>
      <c r="F311" s="11" t="s">
        <v>37</v>
      </c>
      <c r="G311" s="11">
        <v>2017</v>
      </c>
      <c r="H311" s="12"/>
      <c r="I311" s="12"/>
      <c r="J311" s="12"/>
      <c r="K311" s="12"/>
      <c r="L311" s="12"/>
      <c r="M311" s="12"/>
      <c r="N311" s="12"/>
      <c r="O311" s="12"/>
      <c r="P311" s="12"/>
      <c r="Q311" s="12"/>
      <c r="R311" s="12"/>
      <c r="S311" s="12" t="str">
        <f>"471.74"</f>
        <v>471.74</v>
      </c>
      <c r="T311" s="12"/>
      <c r="U311" s="12"/>
      <c r="V311" s="12"/>
      <c r="W311" s="12"/>
      <c r="X311" s="12"/>
      <c r="Y311" s="12"/>
      <c r="Z311" s="12"/>
      <c r="AA311" s="12"/>
      <c r="AB311" s="12"/>
      <c r="AC311" s="12"/>
      <c r="AD311" s="12"/>
      <c r="AE311" s="12"/>
      <c r="AF311" s="12"/>
      <c r="AG311" s="12"/>
      <c r="AH311" s="12"/>
    </row>
    <row r="312" spans="1:34">
      <c r="A312" s="9">
        <v>310</v>
      </c>
      <c r="B312" s="9">
        <v>10953</v>
      </c>
      <c r="C312" s="9" t="s">
        <v>439</v>
      </c>
      <c r="D312" s="9" t="s">
        <v>231</v>
      </c>
      <c r="E312" s="10" t="str">
        <f>"516.04"</f>
        <v>516.04</v>
      </c>
      <c r="F312" s="11"/>
      <c r="G312" s="11">
        <v>2017</v>
      </c>
      <c r="H312" s="12"/>
      <c r="I312" s="12"/>
      <c r="J312" s="12"/>
      <c r="K312" s="12"/>
      <c r="L312" s="12"/>
      <c r="M312" s="12"/>
      <c r="N312" s="12"/>
      <c r="O312" s="12"/>
      <c r="P312" s="12"/>
      <c r="Q312" s="12"/>
      <c r="R312" s="12"/>
      <c r="S312" s="12"/>
      <c r="T312" s="12"/>
      <c r="U312" s="12"/>
      <c r="V312" s="12"/>
      <c r="W312" s="12"/>
      <c r="X312" s="12"/>
      <c r="Y312" s="12"/>
      <c r="Z312" s="12"/>
      <c r="AA312" s="12"/>
      <c r="AB312" s="12"/>
      <c r="AC312" s="12" t="str">
        <f>"553.97"</f>
        <v>553.97</v>
      </c>
      <c r="AD312" s="12"/>
      <c r="AE312" s="12" t="str">
        <f>"478.10"</f>
        <v>478.10</v>
      </c>
      <c r="AF312" s="12"/>
      <c r="AG312" s="12"/>
      <c r="AH312" s="12"/>
    </row>
    <row r="313" spans="1:34">
      <c r="A313" s="9">
        <v>311</v>
      </c>
      <c r="B313" s="9">
        <v>10431</v>
      </c>
      <c r="C313" s="9" t="s">
        <v>440</v>
      </c>
      <c r="D313" s="9" t="s">
        <v>71</v>
      </c>
      <c r="E313" s="10" t="str">
        <f>"516.97"</f>
        <v>516.97</v>
      </c>
      <c r="F313" s="11" t="s">
        <v>37</v>
      </c>
      <c r="G313" s="11">
        <v>2017</v>
      </c>
      <c r="H313" s="12" t="str">
        <f>"627.25"</f>
        <v>627.25</v>
      </c>
      <c r="I313" s="12"/>
      <c r="J313" s="12"/>
      <c r="K313" s="12"/>
      <c r="L313" s="12"/>
      <c r="M313" s="12"/>
      <c r="N313" s="12"/>
      <c r="O313" s="12"/>
      <c r="P313" s="12"/>
      <c r="Q313" s="12"/>
      <c r="R313" s="12"/>
      <c r="S313" s="12"/>
      <c r="T313" s="12"/>
      <c r="U313" s="12"/>
      <c r="V313" s="12"/>
      <c r="W313" s="12" t="str">
        <f>"476.97"</f>
        <v>476.97</v>
      </c>
      <c r="X313" s="12"/>
      <c r="Y313" s="12"/>
      <c r="Z313" s="12"/>
      <c r="AA313" s="12"/>
      <c r="AB313" s="12"/>
      <c r="AC313" s="12"/>
      <c r="AD313" s="12"/>
      <c r="AE313" s="12"/>
      <c r="AF313" s="12"/>
      <c r="AG313" s="12"/>
      <c r="AH313" s="12"/>
    </row>
    <row r="314" spans="1:34">
      <c r="A314" s="9">
        <v>312</v>
      </c>
      <c r="B314" s="9">
        <v>11105</v>
      </c>
      <c r="C314" s="9" t="s">
        <v>441</v>
      </c>
      <c r="D314" s="9" t="s">
        <v>39</v>
      </c>
      <c r="E314" s="10" t="str">
        <f>"520.05"</f>
        <v>520.05</v>
      </c>
      <c r="F314" s="11"/>
      <c r="G314" s="11">
        <v>2017</v>
      </c>
      <c r="H314" s="12"/>
      <c r="I314" s="12"/>
      <c r="J314" s="12"/>
      <c r="K314" s="12"/>
      <c r="L314" s="12"/>
      <c r="M314" s="12" t="str">
        <f>"528.33"</f>
        <v>528.33</v>
      </c>
      <c r="N314" s="12"/>
      <c r="O314" s="12"/>
      <c r="P314" s="12"/>
      <c r="Q314" s="12"/>
      <c r="R314" s="12"/>
      <c r="S314" s="12"/>
      <c r="T314" s="12"/>
      <c r="U314" s="12"/>
      <c r="V314" s="12"/>
      <c r="W314" s="12"/>
      <c r="X314" s="12"/>
      <c r="Y314" s="12"/>
      <c r="Z314" s="12" t="str">
        <f>"511.77"</f>
        <v>511.77</v>
      </c>
      <c r="AA314" s="12"/>
      <c r="AB314" s="12"/>
      <c r="AC314" s="12"/>
      <c r="AD314" s="12"/>
      <c r="AE314" s="12"/>
      <c r="AF314" s="12"/>
      <c r="AG314" s="12"/>
      <c r="AH314" s="12"/>
    </row>
    <row r="315" spans="1:34">
      <c r="A315" s="9">
        <v>313</v>
      </c>
      <c r="B315" s="9">
        <v>11065</v>
      </c>
      <c r="C315" s="9" t="s">
        <v>442</v>
      </c>
      <c r="D315" s="9" t="s">
        <v>201</v>
      </c>
      <c r="E315" s="10" t="str">
        <f>"521.35"</f>
        <v>521.35</v>
      </c>
      <c r="F315" s="11" t="s">
        <v>37</v>
      </c>
      <c r="G315" s="11">
        <v>2017</v>
      </c>
      <c r="H315" s="12" t="str">
        <f>"473.32"</f>
        <v>473.32</v>
      </c>
      <c r="I315" s="12"/>
      <c r="J315" s="12"/>
      <c r="K315" s="12"/>
      <c r="L315" s="12"/>
      <c r="M315" s="12"/>
      <c r="N315" s="12"/>
      <c r="O315" s="12"/>
      <c r="P315" s="12"/>
      <c r="Q315" s="12" t="str">
        <f>"481.35"</f>
        <v>481.35</v>
      </c>
      <c r="R315" s="12"/>
      <c r="S315" s="12"/>
      <c r="T315" s="12"/>
      <c r="U315" s="12"/>
      <c r="V315" s="12"/>
      <c r="W315" s="12"/>
      <c r="X315" s="12"/>
      <c r="Y315" s="12"/>
      <c r="Z315" s="12"/>
      <c r="AA315" s="12"/>
      <c r="AB315" s="12"/>
      <c r="AC315" s="12"/>
      <c r="AD315" s="12"/>
      <c r="AE315" s="12"/>
      <c r="AF315" s="12"/>
      <c r="AG315" s="12"/>
      <c r="AH315" s="12"/>
    </row>
    <row r="316" spans="1:34">
      <c r="A316" s="9">
        <v>314</v>
      </c>
      <c r="B316" s="9">
        <v>11036</v>
      </c>
      <c r="C316" s="9" t="s">
        <v>443</v>
      </c>
      <c r="D316" s="9" t="s">
        <v>48</v>
      </c>
      <c r="E316" s="10" t="str">
        <f>"524.35"</f>
        <v>524.35</v>
      </c>
      <c r="F316" s="11" t="s">
        <v>37</v>
      </c>
      <c r="G316" s="11">
        <v>2017</v>
      </c>
      <c r="H316" s="12"/>
      <c r="I316" s="12"/>
      <c r="J316" s="12"/>
      <c r="K316" s="12"/>
      <c r="L316" s="12"/>
      <c r="M316" s="12"/>
      <c r="N316" s="12"/>
      <c r="O316" s="12"/>
      <c r="P316" s="12"/>
      <c r="Q316" s="12" t="str">
        <f>"484.35"</f>
        <v>484.35</v>
      </c>
      <c r="R316" s="12"/>
      <c r="S316" s="12"/>
      <c r="T316" s="12"/>
      <c r="U316" s="12"/>
      <c r="V316" s="12"/>
      <c r="W316" s="12"/>
      <c r="X316" s="12"/>
      <c r="Y316" s="12"/>
      <c r="Z316" s="12"/>
      <c r="AA316" s="12"/>
      <c r="AB316" s="12"/>
      <c r="AC316" s="12"/>
      <c r="AD316" s="12"/>
      <c r="AE316" s="12"/>
      <c r="AF316" s="12"/>
      <c r="AG316" s="12"/>
      <c r="AH316" s="12"/>
    </row>
    <row r="317" spans="1:34">
      <c r="A317" s="9">
        <v>315</v>
      </c>
      <c r="B317" s="9">
        <v>5916</v>
      </c>
      <c r="C317" s="9" t="s">
        <v>444</v>
      </c>
      <c r="D317" s="9" t="s">
        <v>87</v>
      </c>
      <c r="E317" s="10" t="str">
        <f>"525.63"</f>
        <v>525.63</v>
      </c>
      <c r="F317" s="11" t="s">
        <v>40</v>
      </c>
      <c r="G317" s="11">
        <v>2017</v>
      </c>
      <c r="H317" s="12" t="str">
        <f>"485.63"</f>
        <v>485.63</v>
      </c>
      <c r="I317" s="12"/>
      <c r="J317" s="12"/>
      <c r="K317" s="12"/>
      <c r="L317" s="12"/>
      <c r="M317" s="12"/>
      <c r="N317" s="12"/>
      <c r="O317" s="12"/>
      <c r="P317" s="12"/>
      <c r="Q317" s="12"/>
      <c r="R317" s="12"/>
      <c r="S317" s="12"/>
      <c r="T317" s="12"/>
      <c r="U317" s="12"/>
      <c r="V317" s="12"/>
      <c r="W317" s="12"/>
      <c r="X317" s="12"/>
      <c r="Y317" s="12"/>
      <c r="Z317" s="12"/>
      <c r="AA317" s="12"/>
      <c r="AB317" s="12"/>
      <c r="AC317" s="12"/>
      <c r="AD317" s="12"/>
      <c r="AE317" s="12"/>
      <c r="AF317" s="12"/>
      <c r="AG317" s="12"/>
      <c r="AH317" s="12"/>
    </row>
    <row r="318" spans="1:34">
      <c r="A318" s="9">
        <v>316</v>
      </c>
      <c r="B318" s="9">
        <v>11266</v>
      </c>
      <c r="C318" s="9" t="s">
        <v>445</v>
      </c>
      <c r="D318" s="9" t="s">
        <v>39</v>
      </c>
      <c r="E318" s="10" t="str">
        <f>"525.99"</f>
        <v>525.99</v>
      </c>
      <c r="F318" s="11"/>
      <c r="G318" s="11">
        <v>2017</v>
      </c>
      <c r="H318" s="12"/>
      <c r="I318" s="12"/>
      <c r="J318" s="12"/>
      <c r="K318" s="12"/>
      <c r="L318" s="12"/>
      <c r="M318" s="12" t="str">
        <f>"633.54"</f>
        <v>633.54</v>
      </c>
      <c r="N318" s="12"/>
      <c r="O318" s="12"/>
      <c r="P318" s="12"/>
      <c r="Q318" s="12"/>
      <c r="R318" s="12"/>
      <c r="S318" s="12"/>
      <c r="T318" s="12"/>
      <c r="U318" s="12"/>
      <c r="V318" s="12"/>
      <c r="W318" s="12"/>
      <c r="X318" s="12"/>
      <c r="Y318" s="12"/>
      <c r="Z318" s="12"/>
      <c r="AA318" s="12"/>
      <c r="AB318" s="12"/>
      <c r="AC318" s="12"/>
      <c r="AD318" s="12"/>
      <c r="AE318" s="12"/>
      <c r="AF318" s="12"/>
      <c r="AG318" s="12" t="str">
        <f>"418.44"</f>
        <v>418.44</v>
      </c>
      <c r="AH318" s="12"/>
    </row>
    <row r="319" spans="1:34">
      <c r="A319" s="9">
        <v>317</v>
      </c>
      <c r="B319" s="9">
        <v>11326</v>
      </c>
      <c r="C319" s="9" t="s">
        <v>446</v>
      </c>
      <c r="D319" s="9" t="s">
        <v>201</v>
      </c>
      <c r="E319" s="10" t="str">
        <f>"527.93"</f>
        <v>527.93</v>
      </c>
      <c r="F319" s="11"/>
      <c r="G319" s="11">
        <v>2017</v>
      </c>
      <c r="H319" s="12"/>
      <c r="I319" s="12"/>
      <c r="J319" s="12"/>
      <c r="K319" s="12"/>
      <c r="L319" s="12"/>
      <c r="M319" s="12"/>
      <c r="N319" s="12"/>
      <c r="O319" s="12"/>
      <c r="P319" s="12"/>
      <c r="Q319" s="12" t="str">
        <f>"564.38"</f>
        <v>564.38</v>
      </c>
      <c r="R319" s="12"/>
      <c r="S319" s="12" t="str">
        <f>"491.47"</f>
        <v>491.47</v>
      </c>
      <c r="T319" s="12"/>
      <c r="U319" s="12"/>
      <c r="V319" s="12"/>
      <c r="W319" s="12"/>
      <c r="X319" s="12"/>
      <c r="Y319" s="12"/>
      <c r="Z319" s="12"/>
      <c r="AA319" s="12"/>
      <c r="AB319" s="12"/>
      <c r="AC319" s="12"/>
      <c r="AD319" s="12"/>
      <c r="AE319" s="12"/>
      <c r="AF319" s="12"/>
      <c r="AG319" s="12"/>
      <c r="AH319" s="12"/>
    </row>
    <row r="320" spans="1:34">
      <c r="A320" s="9">
        <v>318</v>
      </c>
      <c r="B320" s="9">
        <v>11261</v>
      </c>
      <c r="C320" s="9" t="s">
        <v>447</v>
      </c>
      <c r="D320" s="9" t="s">
        <v>39</v>
      </c>
      <c r="E320" s="10" t="str">
        <f>"531.15"</f>
        <v>531.15</v>
      </c>
      <c r="F320" s="11"/>
      <c r="G320" s="11">
        <v>2017</v>
      </c>
      <c r="H320" s="12"/>
      <c r="I320" s="12"/>
      <c r="J320" s="12"/>
      <c r="K320" s="12"/>
      <c r="L320" s="12"/>
      <c r="M320" s="12" t="str">
        <f>"538.23"</f>
        <v>538.23</v>
      </c>
      <c r="N320" s="12"/>
      <c r="O320" s="12"/>
      <c r="P320" s="12"/>
      <c r="Q320" s="12"/>
      <c r="R320" s="12"/>
      <c r="S320" s="12"/>
      <c r="T320" s="12"/>
      <c r="U320" s="12"/>
      <c r="V320" s="12"/>
      <c r="W320" s="12"/>
      <c r="X320" s="12"/>
      <c r="Y320" s="12"/>
      <c r="Z320" s="12" t="str">
        <f>"573.75"</f>
        <v>573.75</v>
      </c>
      <c r="AA320" s="12"/>
      <c r="AB320" s="12"/>
      <c r="AC320" s="12"/>
      <c r="AD320" s="12"/>
      <c r="AE320" s="12"/>
      <c r="AF320" s="12"/>
      <c r="AG320" s="12" t="str">
        <f>"524.07"</f>
        <v>524.07</v>
      </c>
      <c r="AH320" s="12"/>
    </row>
    <row r="321" spans="1:34">
      <c r="A321" s="9">
        <v>319</v>
      </c>
      <c r="B321" s="9">
        <v>11245</v>
      </c>
      <c r="C321" s="9" t="s">
        <v>448</v>
      </c>
      <c r="D321" s="9" t="s">
        <v>39</v>
      </c>
      <c r="E321" s="10" t="str">
        <f>"531.85"</f>
        <v>531.85</v>
      </c>
      <c r="F321" s="11"/>
      <c r="G321" s="11">
        <v>2017</v>
      </c>
      <c r="H321" s="12"/>
      <c r="I321" s="12"/>
      <c r="J321" s="12"/>
      <c r="K321" s="12"/>
      <c r="L321" s="12"/>
      <c r="M321" s="12"/>
      <c r="N321" s="12"/>
      <c r="O321" s="12"/>
      <c r="P321" s="12"/>
      <c r="Q321" s="12"/>
      <c r="R321" s="12"/>
      <c r="S321" s="12"/>
      <c r="T321" s="12"/>
      <c r="U321" s="12"/>
      <c r="V321" s="12"/>
      <c r="W321" s="12"/>
      <c r="X321" s="12"/>
      <c r="Y321" s="12"/>
      <c r="Z321" s="12" t="str">
        <f>"510.32"</f>
        <v>510.32</v>
      </c>
      <c r="AA321" s="12"/>
      <c r="AB321" s="12"/>
      <c r="AC321" s="12"/>
      <c r="AD321" s="12"/>
      <c r="AE321" s="12"/>
      <c r="AF321" s="12"/>
      <c r="AG321" s="12" t="str">
        <f>"553.37"</f>
        <v>553.37</v>
      </c>
      <c r="AH321" s="12"/>
    </row>
    <row r="322" spans="1:34">
      <c r="A322" s="9">
        <v>320</v>
      </c>
      <c r="B322" s="9">
        <v>10501</v>
      </c>
      <c r="C322" s="9" t="s">
        <v>449</v>
      </c>
      <c r="D322" s="9" t="s">
        <v>71</v>
      </c>
      <c r="E322" s="10" t="str">
        <f>"549.30"</f>
        <v>549.30</v>
      </c>
      <c r="F322" s="11" t="s">
        <v>40</v>
      </c>
      <c r="G322" s="11">
        <v>2017</v>
      </c>
      <c r="H322" s="12" t="str">
        <f>"509.30"</f>
        <v>509.30</v>
      </c>
      <c r="I322" s="12"/>
      <c r="J322" s="12"/>
      <c r="K322" s="12"/>
      <c r="L322" s="12"/>
      <c r="M322" s="12"/>
      <c r="N322" s="12"/>
      <c r="O322" s="12"/>
      <c r="P322" s="12"/>
      <c r="Q322" s="12"/>
      <c r="R322" s="12"/>
      <c r="S322" s="12"/>
      <c r="T322" s="12"/>
      <c r="U322" s="12"/>
      <c r="V322" s="12"/>
      <c r="W322" s="12"/>
      <c r="X322" s="12"/>
      <c r="Y322" s="12"/>
      <c r="Z322" s="12"/>
      <c r="AA322" s="12"/>
      <c r="AB322" s="12"/>
      <c r="AC322" s="12"/>
      <c r="AD322" s="12"/>
      <c r="AE322" s="12"/>
      <c r="AF322" s="12"/>
      <c r="AG322" s="12"/>
      <c r="AH322" s="12"/>
    </row>
    <row r="323" spans="1:34">
      <c r="A323" s="9">
        <v>321</v>
      </c>
      <c r="B323" s="9">
        <v>11415</v>
      </c>
      <c r="C323" s="9" t="s">
        <v>450</v>
      </c>
      <c r="D323" s="9" t="s">
        <v>53</v>
      </c>
      <c r="E323" s="10" t="str">
        <f>"556.63"</f>
        <v>556.63</v>
      </c>
      <c r="F323" s="11"/>
      <c r="G323" s="11">
        <v>2017</v>
      </c>
      <c r="H323" s="12"/>
      <c r="I323" s="12"/>
      <c r="J323" s="12"/>
      <c r="K323" s="12"/>
      <c r="L323" s="12"/>
      <c r="M323" s="12"/>
      <c r="N323" s="12"/>
      <c r="O323" s="12"/>
      <c r="P323" s="12"/>
      <c r="Q323" s="12"/>
      <c r="R323" s="12"/>
      <c r="S323" s="12"/>
      <c r="T323" s="12"/>
      <c r="U323" s="12"/>
      <c r="V323" s="12"/>
      <c r="W323" s="12"/>
      <c r="X323" s="12"/>
      <c r="Y323" s="12"/>
      <c r="Z323" s="12"/>
      <c r="AA323" s="12"/>
      <c r="AB323" s="12" t="str">
        <f>"499.80"</f>
        <v>499.80</v>
      </c>
      <c r="AC323" s="12" t="str">
        <f>"613.46"</f>
        <v>613.46</v>
      </c>
      <c r="AD323" s="12"/>
      <c r="AE323" s="12"/>
      <c r="AF323" s="12"/>
      <c r="AG323" s="12"/>
      <c r="AH323" s="12"/>
    </row>
    <row r="324" spans="1:34">
      <c r="A324" s="9">
        <v>322</v>
      </c>
      <c r="B324" s="9">
        <v>10783</v>
      </c>
      <c r="C324" s="9" t="s">
        <v>451</v>
      </c>
      <c r="D324" s="9" t="s">
        <v>71</v>
      </c>
      <c r="E324" s="10" t="str">
        <f>"564.28"</f>
        <v>564.28</v>
      </c>
      <c r="F324" s="11"/>
      <c r="G324" s="11">
        <v>2017</v>
      </c>
      <c r="H324" s="12" t="str">
        <f>"978.03"</f>
        <v>978.03</v>
      </c>
      <c r="I324" s="12"/>
      <c r="J324" s="12"/>
      <c r="K324" s="12"/>
      <c r="L324" s="12"/>
      <c r="M324" s="12"/>
      <c r="N324" s="12"/>
      <c r="O324" s="12"/>
      <c r="P324" s="12"/>
      <c r="Q324" s="12"/>
      <c r="R324" s="12"/>
      <c r="S324" s="12"/>
      <c r="T324" s="12"/>
      <c r="U324" s="12"/>
      <c r="V324" s="12"/>
      <c r="W324" s="12" t="str">
        <f>"624.39"</f>
        <v>624.39</v>
      </c>
      <c r="X324" s="12"/>
      <c r="Y324" s="12"/>
      <c r="Z324" s="12"/>
      <c r="AA324" s="12"/>
      <c r="AB324" s="12"/>
      <c r="AC324" s="12"/>
      <c r="AD324" s="12"/>
      <c r="AE324" s="12"/>
      <c r="AF324" s="12" t="str">
        <f>"504.17"</f>
        <v>504.17</v>
      </c>
      <c r="AG324" s="12"/>
      <c r="AH324" s="12"/>
    </row>
    <row r="325" spans="1:34">
      <c r="A325" s="9">
        <v>323</v>
      </c>
      <c r="B325" s="9">
        <v>10698</v>
      </c>
      <c r="C325" s="9" t="s">
        <v>452</v>
      </c>
      <c r="D325" s="9" t="s">
        <v>189</v>
      </c>
      <c r="E325" s="10" t="str">
        <f>"565.33"</f>
        <v>565.33</v>
      </c>
      <c r="F325" s="11" t="s">
        <v>37</v>
      </c>
      <c r="G325" s="11">
        <v>2017</v>
      </c>
      <c r="H325" s="12"/>
      <c r="I325" s="12"/>
      <c r="J325" s="12"/>
      <c r="K325" s="12"/>
      <c r="L325" s="12"/>
      <c r="M325" s="12"/>
      <c r="N325" s="12"/>
      <c r="O325" s="12"/>
      <c r="P325" s="12"/>
      <c r="Q325" s="12"/>
      <c r="R325" s="12"/>
      <c r="S325" s="12" t="str">
        <f>"525.33"</f>
        <v>525.33</v>
      </c>
      <c r="T325" s="12"/>
      <c r="U325" s="12"/>
      <c r="V325" s="12"/>
      <c r="W325" s="12"/>
      <c r="X325" s="12"/>
      <c r="Y325" s="12"/>
      <c r="Z325" s="12"/>
      <c r="AA325" s="12"/>
      <c r="AB325" s="12"/>
      <c r="AC325" s="12"/>
      <c r="AD325" s="12"/>
      <c r="AE325" s="12"/>
      <c r="AF325" s="12"/>
      <c r="AG325" s="12"/>
      <c r="AH325" s="12"/>
    </row>
    <row r="326" spans="1:34">
      <c r="A326" s="9">
        <v>324</v>
      </c>
      <c r="B326" s="9">
        <v>10500</v>
      </c>
      <c r="C326" s="9" t="s">
        <v>453</v>
      </c>
      <c r="D326" s="9" t="s">
        <v>71</v>
      </c>
      <c r="E326" s="10" t="str">
        <f>"576.01"</f>
        <v>576.01</v>
      </c>
      <c r="F326" s="11" t="s">
        <v>37</v>
      </c>
      <c r="G326" s="11">
        <v>2017</v>
      </c>
      <c r="H326" s="12" t="str">
        <f>"669.78"</f>
        <v>669.78</v>
      </c>
      <c r="I326" s="12"/>
      <c r="J326" s="12"/>
      <c r="K326" s="12"/>
      <c r="L326" s="12"/>
      <c r="M326" s="12"/>
      <c r="N326" s="12"/>
      <c r="O326" s="12"/>
      <c r="P326" s="12"/>
      <c r="Q326" s="12"/>
      <c r="R326" s="12"/>
      <c r="S326" s="12"/>
      <c r="T326" s="12"/>
      <c r="U326" s="12"/>
      <c r="V326" s="12"/>
      <c r="W326" s="12" t="str">
        <f>"536.01"</f>
        <v>536.01</v>
      </c>
      <c r="X326" s="12"/>
      <c r="Y326" s="12"/>
      <c r="Z326" s="12"/>
      <c r="AA326" s="12"/>
      <c r="AB326" s="12"/>
      <c r="AC326" s="12"/>
      <c r="AD326" s="12"/>
      <c r="AE326" s="12"/>
      <c r="AF326" s="12"/>
      <c r="AG326" s="12"/>
      <c r="AH326" s="12"/>
    </row>
    <row r="327" spans="1:34">
      <c r="A327" s="9">
        <v>325</v>
      </c>
      <c r="B327" s="9">
        <v>2891</v>
      </c>
      <c r="C327" s="9" t="s">
        <v>454</v>
      </c>
      <c r="D327" s="9" t="s">
        <v>181</v>
      </c>
      <c r="E327" s="10" t="str">
        <f>"585.35"</f>
        <v>585.35</v>
      </c>
      <c r="F327" s="11" t="s">
        <v>40</v>
      </c>
      <c r="G327" s="11">
        <v>2017</v>
      </c>
      <c r="H327" s="12" t="str">
        <f>"545.35"</f>
        <v>545.35</v>
      </c>
      <c r="I327" s="12"/>
      <c r="J327" s="12"/>
      <c r="K327" s="12"/>
      <c r="L327" s="12"/>
      <c r="M327" s="12"/>
      <c r="N327" s="12"/>
      <c r="O327" s="12"/>
      <c r="P327" s="12"/>
      <c r="Q327" s="12"/>
      <c r="R327" s="12"/>
      <c r="S327" s="12"/>
      <c r="T327" s="12"/>
      <c r="U327" s="12"/>
      <c r="V327" s="12"/>
      <c r="W327" s="12"/>
      <c r="X327" s="12"/>
      <c r="Y327" s="12"/>
      <c r="Z327" s="12"/>
      <c r="AA327" s="12"/>
      <c r="AB327" s="12"/>
      <c r="AC327" s="12"/>
      <c r="AD327" s="12"/>
      <c r="AE327" s="12"/>
      <c r="AF327" s="12"/>
      <c r="AG327" s="12"/>
      <c r="AH327" s="12"/>
    </row>
    <row r="328" spans="1:34">
      <c r="A328" s="9">
        <v>326</v>
      </c>
      <c r="B328" s="9">
        <v>10874</v>
      </c>
      <c r="C328" s="9" t="s">
        <v>455</v>
      </c>
      <c r="D328" s="9" t="s">
        <v>39</v>
      </c>
      <c r="E328" s="10" t="str">
        <f>"596.44"</f>
        <v>596.44</v>
      </c>
      <c r="F328" s="11"/>
      <c r="G328" s="11">
        <v>2017</v>
      </c>
      <c r="H328" s="12"/>
      <c r="I328" s="12"/>
      <c r="J328" s="12"/>
      <c r="K328" s="12"/>
      <c r="L328" s="12"/>
      <c r="M328" s="12" t="str">
        <f>"637.28"</f>
        <v>637.28</v>
      </c>
      <c r="N328" s="12"/>
      <c r="O328" s="12"/>
      <c r="P328" s="12"/>
      <c r="Q328" s="12"/>
      <c r="R328" s="12"/>
      <c r="S328" s="12"/>
      <c r="T328" s="12"/>
      <c r="U328" s="12"/>
      <c r="V328" s="12"/>
      <c r="W328" s="12"/>
      <c r="X328" s="12"/>
      <c r="Y328" s="12"/>
      <c r="Z328" s="12"/>
      <c r="AA328" s="12"/>
      <c r="AB328" s="12"/>
      <c r="AC328" s="12"/>
      <c r="AD328" s="12"/>
      <c r="AE328" s="12"/>
      <c r="AF328" s="12"/>
      <c r="AG328" s="12" t="str">
        <f>"555.59"</f>
        <v>555.59</v>
      </c>
      <c r="AH328" s="12"/>
    </row>
    <row r="329" spans="1:34">
      <c r="A329" s="9">
        <v>327</v>
      </c>
      <c r="B329" s="9">
        <v>11319</v>
      </c>
      <c r="C329" s="9" t="s">
        <v>456</v>
      </c>
      <c r="D329" s="9" t="s">
        <v>201</v>
      </c>
      <c r="E329" s="10" t="str">
        <f>"607.23"</f>
        <v>607.23</v>
      </c>
      <c r="F329" s="11" t="s">
        <v>37</v>
      </c>
      <c r="G329" s="11">
        <v>2017</v>
      </c>
      <c r="H329" s="12"/>
      <c r="I329" s="12"/>
      <c r="J329" s="12"/>
      <c r="K329" s="12"/>
      <c r="L329" s="12"/>
      <c r="M329" s="12"/>
      <c r="N329" s="12"/>
      <c r="O329" s="12"/>
      <c r="P329" s="12"/>
      <c r="Q329" s="12"/>
      <c r="R329" s="12"/>
      <c r="S329" s="12" t="str">
        <f>"567.23"</f>
        <v>567.23</v>
      </c>
      <c r="T329" s="12"/>
      <c r="U329" s="12"/>
      <c r="V329" s="12"/>
      <c r="W329" s="12"/>
      <c r="X329" s="12"/>
      <c r="Y329" s="12"/>
      <c r="Z329" s="12"/>
      <c r="AA329" s="12"/>
      <c r="AB329" s="12"/>
      <c r="AC329" s="12"/>
      <c r="AD329" s="12"/>
      <c r="AE329" s="12"/>
      <c r="AF329" s="12"/>
      <c r="AG329" s="12"/>
      <c r="AH329" s="12"/>
    </row>
    <row r="330" spans="1:34">
      <c r="A330" s="9">
        <v>328</v>
      </c>
      <c r="B330" s="9">
        <v>11263</v>
      </c>
      <c r="C330" s="9" t="s">
        <v>457</v>
      </c>
      <c r="D330" s="9" t="s">
        <v>39</v>
      </c>
      <c r="E330" s="10" t="str">
        <f>"616.94"</f>
        <v>616.94</v>
      </c>
      <c r="F330" s="11" t="s">
        <v>37</v>
      </c>
      <c r="G330" s="11">
        <v>2017</v>
      </c>
      <c r="H330" s="12"/>
      <c r="I330" s="12"/>
      <c r="J330" s="12"/>
      <c r="K330" s="12"/>
      <c r="L330" s="12"/>
      <c r="M330" s="12"/>
      <c r="N330" s="12"/>
      <c r="O330" s="12"/>
      <c r="P330" s="12"/>
      <c r="Q330" s="12"/>
      <c r="R330" s="12"/>
      <c r="S330" s="12"/>
      <c r="T330" s="12"/>
      <c r="U330" s="12"/>
      <c r="V330" s="12"/>
      <c r="W330" s="12"/>
      <c r="X330" s="12"/>
      <c r="Y330" s="12"/>
      <c r="Z330" s="12" t="str">
        <f>"576.94"</f>
        <v>576.94</v>
      </c>
      <c r="AA330" s="12"/>
      <c r="AB330" s="12"/>
      <c r="AC330" s="12"/>
      <c r="AD330" s="12"/>
      <c r="AE330" s="12"/>
      <c r="AF330" s="12"/>
      <c r="AG330" s="12"/>
      <c r="AH330" s="12"/>
    </row>
    <row r="331" spans="1:34">
      <c r="A331" s="9">
        <v>329</v>
      </c>
      <c r="B331" s="9">
        <v>10716</v>
      </c>
      <c r="C331" s="9" t="s">
        <v>458</v>
      </c>
      <c r="D331" s="9" t="s">
        <v>39</v>
      </c>
      <c r="E331" s="10" t="str">
        <f>"631.78"</f>
        <v>631.78</v>
      </c>
      <c r="F331" s="11" t="s">
        <v>37</v>
      </c>
      <c r="G331" s="11">
        <v>2017</v>
      </c>
      <c r="H331" s="12" t="str">
        <f>"940.49"</f>
        <v>940.49</v>
      </c>
      <c r="I331" s="12"/>
      <c r="J331" s="12"/>
      <c r="K331" s="12"/>
      <c r="L331" s="12"/>
      <c r="M331" s="12"/>
      <c r="N331" s="12"/>
      <c r="O331" s="12"/>
      <c r="P331" s="12"/>
      <c r="Q331" s="12"/>
      <c r="R331" s="12"/>
      <c r="S331" s="12"/>
      <c r="T331" s="12"/>
      <c r="U331" s="12"/>
      <c r="V331" s="12"/>
      <c r="W331" s="12"/>
      <c r="X331" s="12"/>
      <c r="Y331" s="12"/>
      <c r="Z331" s="12" t="str">
        <f>"591.78"</f>
        <v>591.78</v>
      </c>
      <c r="AA331" s="12"/>
      <c r="AB331" s="12"/>
      <c r="AC331" s="12"/>
      <c r="AD331" s="12"/>
      <c r="AE331" s="12"/>
      <c r="AF331" s="12"/>
      <c r="AG331" s="12"/>
      <c r="AH331" s="12"/>
    </row>
    <row r="332" spans="1:34">
      <c r="A332" s="9">
        <v>330</v>
      </c>
      <c r="B332" s="9">
        <v>10821</v>
      </c>
      <c r="C332" s="9" t="s">
        <v>459</v>
      </c>
      <c r="D332" s="9" t="s">
        <v>71</v>
      </c>
      <c r="E332" s="10" t="str">
        <f>"632.25"</f>
        <v>632.25</v>
      </c>
      <c r="F332" s="11" t="s">
        <v>37</v>
      </c>
      <c r="G332" s="11">
        <v>2017</v>
      </c>
      <c r="H332" s="12"/>
      <c r="I332" s="12"/>
      <c r="J332" s="12"/>
      <c r="K332" s="12"/>
      <c r="L332" s="12"/>
      <c r="M332" s="12"/>
      <c r="N332" s="12"/>
      <c r="O332" s="12"/>
      <c r="P332" s="12"/>
      <c r="Q332" s="12"/>
      <c r="R332" s="12"/>
      <c r="S332" s="12"/>
      <c r="T332" s="12"/>
      <c r="U332" s="12"/>
      <c r="V332" s="12"/>
      <c r="W332" s="12" t="str">
        <f>"592.25"</f>
        <v>592.25</v>
      </c>
      <c r="X332" s="12"/>
      <c r="Y332" s="12"/>
      <c r="Z332" s="12"/>
      <c r="AA332" s="12"/>
      <c r="AB332" s="12"/>
      <c r="AC332" s="12"/>
      <c r="AD332" s="12"/>
      <c r="AE332" s="12"/>
      <c r="AF332" s="12"/>
      <c r="AG332" s="12"/>
      <c r="AH332" s="12"/>
    </row>
    <row r="333" spans="1:34">
      <c r="A333" s="9">
        <v>331</v>
      </c>
      <c r="B333" s="9">
        <v>7687</v>
      </c>
      <c r="C333" s="9" t="s">
        <v>460</v>
      </c>
      <c r="D333" s="9" t="s">
        <v>461</v>
      </c>
      <c r="E333" s="10" t="str">
        <f>"642.77"</f>
        <v>642.77</v>
      </c>
      <c r="F333" s="11"/>
      <c r="G333" s="11">
        <v>2017</v>
      </c>
      <c r="H333" s="12"/>
      <c r="I333" s="12"/>
      <c r="J333" s="12"/>
      <c r="K333" s="12" t="str">
        <f>"637.10"</f>
        <v>637.10</v>
      </c>
      <c r="L333" s="12" t="str">
        <f>"648.43"</f>
        <v>648.43</v>
      </c>
      <c r="M333" s="12"/>
      <c r="N333" s="12"/>
      <c r="O333" s="12"/>
      <c r="P333" s="12"/>
      <c r="Q333" s="12"/>
      <c r="R333" s="12"/>
      <c r="S333" s="12"/>
      <c r="T333" s="12"/>
      <c r="U333" s="12"/>
      <c r="V333" s="12"/>
      <c r="W333" s="12"/>
      <c r="X333" s="12"/>
      <c r="Y333" s="12"/>
      <c r="Z333" s="12"/>
      <c r="AA333" s="12"/>
      <c r="AB333" s="12"/>
      <c r="AC333" s="12"/>
      <c r="AD333" s="12"/>
      <c r="AE333" s="12"/>
      <c r="AF333" s="12"/>
      <c r="AG333" s="12"/>
      <c r="AH333" s="12"/>
    </row>
    <row r="334" spans="1:34">
      <c r="A334" s="9">
        <v>332</v>
      </c>
      <c r="B334" s="9">
        <v>10785</v>
      </c>
      <c r="C334" s="9" t="s">
        <v>462</v>
      </c>
      <c r="D334" s="9" t="s">
        <v>71</v>
      </c>
      <c r="E334" s="10" t="str">
        <f>"645.43"</f>
        <v>645.43</v>
      </c>
      <c r="F334" s="11"/>
      <c r="G334" s="11">
        <v>2017</v>
      </c>
      <c r="H334" s="12"/>
      <c r="I334" s="12"/>
      <c r="J334" s="12"/>
      <c r="K334" s="12"/>
      <c r="L334" s="12"/>
      <c r="M334" s="12"/>
      <c r="N334" s="12"/>
      <c r="O334" s="12"/>
      <c r="P334" s="12"/>
      <c r="Q334" s="12"/>
      <c r="R334" s="12"/>
      <c r="S334" s="12"/>
      <c r="T334" s="12"/>
      <c r="U334" s="12"/>
      <c r="V334" s="12"/>
      <c r="W334" s="12" t="str">
        <f>"747.52"</f>
        <v>747.52</v>
      </c>
      <c r="X334" s="12"/>
      <c r="Y334" s="12"/>
      <c r="Z334" s="12"/>
      <c r="AA334" s="12"/>
      <c r="AB334" s="12"/>
      <c r="AC334" s="12"/>
      <c r="AD334" s="12"/>
      <c r="AE334" s="12"/>
      <c r="AF334" s="12" t="str">
        <f>"543.33"</f>
        <v>543.33</v>
      </c>
      <c r="AG334" s="12"/>
      <c r="AH334" s="12"/>
    </row>
    <row r="335" spans="1:34">
      <c r="A335" s="9">
        <v>333</v>
      </c>
      <c r="B335" s="9">
        <v>11095</v>
      </c>
      <c r="C335" s="9" t="s">
        <v>463</v>
      </c>
      <c r="D335" s="9" t="s">
        <v>201</v>
      </c>
      <c r="E335" s="10" t="str">
        <f>"653.69"</f>
        <v>653.69</v>
      </c>
      <c r="F335" s="11" t="s">
        <v>37</v>
      </c>
      <c r="G335" s="11">
        <v>2017</v>
      </c>
      <c r="H335" s="12" t="str">
        <f>"799.77"</f>
        <v>799.77</v>
      </c>
      <c r="I335" s="12"/>
      <c r="J335" s="12"/>
      <c r="K335" s="12"/>
      <c r="L335" s="12"/>
      <c r="M335" s="12"/>
      <c r="N335" s="12"/>
      <c r="O335" s="12"/>
      <c r="P335" s="12"/>
      <c r="Q335" s="12"/>
      <c r="R335" s="12"/>
      <c r="S335" s="12"/>
      <c r="T335" s="12" t="str">
        <f>"613.69"</f>
        <v>613.69</v>
      </c>
      <c r="U335" s="12"/>
      <c r="V335" s="12"/>
      <c r="W335" s="12"/>
      <c r="X335" s="12"/>
      <c r="Y335" s="12"/>
      <c r="Z335" s="12"/>
      <c r="AA335" s="12"/>
      <c r="AB335" s="12"/>
      <c r="AC335" s="12"/>
      <c r="AD335" s="12"/>
      <c r="AE335" s="12"/>
      <c r="AF335" s="12"/>
      <c r="AG335" s="12"/>
      <c r="AH335" s="12"/>
    </row>
    <row r="336" spans="1:34">
      <c r="A336" s="9">
        <v>334</v>
      </c>
      <c r="B336" s="9">
        <v>7900</v>
      </c>
      <c r="C336" s="9" t="s">
        <v>464</v>
      </c>
      <c r="D336" s="9" t="s">
        <v>465</v>
      </c>
      <c r="E336" s="10" t="str">
        <f>"663.35"</f>
        <v>663.35</v>
      </c>
      <c r="F336" s="11" t="s">
        <v>40</v>
      </c>
      <c r="G336" s="11">
        <v>2017</v>
      </c>
      <c r="H336" s="12" t="str">
        <f>"623.35"</f>
        <v>623.35</v>
      </c>
      <c r="I336" s="12"/>
      <c r="J336" s="12"/>
      <c r="K336" s="12"/>
      <c r="L336" s="12"/>
      <c r="M336" s="12"/>
      <c r="N336" s="12"/>
      <c r="O336" s="12"/>
      <c r="P336" s="12"/>
      <c r="Q336" s="12"/>
      <c r="R336" s="12"/>
      <c r="S336" s="12"/>
      <c r="T336" s="12"/>
      <c r="U336" s="12"/>
      <c r="V336" s="12"/>
      <c r="W336" s="12"/>
      <c r="X336" s="12"/>
      <c r="Y336" s="12"/>
      <c r="Z336" s="12"/>
      <c r="AA336" s="12"/>
      <c r="AB336" s="12"/>
      <c r="AC336" s="12"/>
      <c r="AD336" s="12"/>
      <c r="AE336" s="12"/>
      <c r="AF336" s="12"/>
      <c r="AG336" s="12"/>
      <c r="AH336" s="12"/>
    </row>
    <row r="337" spans="1:34">
      <c r="A337" s="9">
        <v>335</v>
      </c>
      <c r="B337" s="9">
        <v>10583</v>
      </c>
      <c r="C337" s="9" t="s">
        <v>466</v>
      </c>
      <c r="D337" s="9" t="s">
        <v>39</v>
      </c>
      <c r="E337" s="10" t="str">
        <f>"683.97"</f>
        <v>683.97</v>
      </c>
      <c r="F337" s="11" t="s">
        <v>37</v>
      </c>
      <c r="G337" s="11">
        <v>2017</v>
      </c>
      <c r="H337" s="12" t="str">
        <f>"486.23"</f>
        <v>486.23</v>
      </c>
      <c r="I337" s="12"/>
      <c r="J337" s="12"/>
      <c r="K337" s="12"/>
      <c r="L337" s="12"/>
      <c r="M337" s="12" t="str">
        <f>"643.97"</f>
        <v>643.97</v>
      </c>
      <c r="N337" s="12"/>
      <c r="O337" s="12"/>
      <c r="P337" s="12"/>
      <c r="Q337" s="12"/>
      <c r="R337" s="12"/>
      <c r="S337" s="12"/>
      <c r="T337" s="12"/>
      <c r="U337" s="12"/>
      <c r="V337" s="12"/>
      <c r="W337" s="12"/>
      <c r="X337" s="12"/>
      <c r="Y337" s="12"/>
      <c r="Z337" s="12"/>
      <c r="AA337" s="12"/>
      <c r="AB337" s="12"/>
      <c r="AC337" s="12"/>
      <c r="AD337" s="12"/>
      <c r="AE337" s="12"/>
      <c r="AF337" s="12"/>
      <c r="AG337" s="12"/>
      <c r="AH337" s="12"/>
    </row>
    <row r="338" spans="1:34">
      <c r="A338" s="9">
        <v>336</v>
      </c>
      <c r="B338" s="9">
        <v>11089</v>
      </c>
      <c r="C338" s="9" t="s">
        <v>467</v>
      </c>
      <c r="D338" s="9" t="s">
        <v>53</v>
      </c>
      <c r="E338" s="10" t="str">
        <f>"689.22"</f>
        <v>689.22</v>
      </c>
      <c r="F338" s="11" t="s">
        <v>37</v>
      </c>
      <c r="G338" s="11">
        <v>2017</v>
      </c>
      <c r="H338" s="12" t="str">
        <f>"898.67"</f>
        <v>898.67</v>
      </c>
      <c r="I338" s="12"/>
      <c r="J338" s="12"/>
      <c r="K338" s="12"/>
      <c r="L338" s="12"/>
      <c r="M338" s="12"/>
      <c r="N338" s="12"/>
      <c r="O338" s="12"/>
      <c r="P338" s="12"/>
      <c r="Q338" s="12"/>
      <c r="R338" s="12"/>
      <c r="S338" s="12"/>
      <c r="T338" s="12"/>
      <c r="U338" s="12"/>
      <c r="V338" s="12"/>
      <c r="W338" s="12"/>
      <c r="X338" s="12"/>
      <c r="Y338" s="12"/>
      <c r="Z338" s="12"/>
      <c r="AA338" s="12"/>
      <c r="AB338" s="12"/>
      <c r="AC338" s="12"/>
      <c r="AD338" s="12"/>
      <c r="AE338" s="12"/>
      <c r="AF338" s="12" t="str">
        <f>"649.22"</f>
        <v>649.22</v>
      </c>
      <c r="AG338" s="12"/>
      <c r="AH338" s="12"/>
    </row>
    <row r="339" spans="1:34">
      <c r="A339" s="9">
        <v>337</v>
      </c>
      <c r="B339" s="9">
        <v>11247</v>
      </c>
      <c r="C339" s="9" t="s">
        <v>468</v>
      </c>
      <c r="D339" s="9" t="s">
        <v>39</v>
      </c>
      <c r="E339" s="10" t="str">
        <f>"696.58"</f>
        <v>696.58</v>
      </c>
      <c r="F339" s="11"/>
      <c r="G339" s="11">
        <v>2017</v>
      </c>
      <c r="H339" s="12"/>
      <c r="I339" s="12"/>
      <c r="J339" s="12"/>
      <c r="K339" s="12"/>
      <c r="L339" s="12"/>
      <c r="M339" s="12" t="str">
        <f>"853.57"</f>
        <v>853.57</v>
      </c>
      <c r="N339" s="12"/>
      <c r="O339" s="12"/>
      <c r="P339" s="12"/>
      <c r="Q339" s="12"/>
      <c r="R339" s="12"/>
      <c r="S339" s="12"/>
      <c r="T339" s="12"/>
      <c r="U339" s="12"/>
      <c r="V339" s="12"/>
      <c r="W339" s="12"/>
      <c r="X339" s="12"/>
      <c r="Y339" s="12"/>
      <c r="Z339" s="12" t="str">
        <f>"613.28"</f>
        <v>613.28</v>
      </c>
      <c r="AA339" s="12"/>
      <c r="AB339" s="12"/>
      <c r="AC339" s="12"/>
      <c r="AD339" s="12"/>
      <c r="AE339" s="12"/>
      <c r="AF339" s="12"/>
      <c r="AG339" s="12" t="str">
        <f>"779.88"</f>
        <v>779.88</v>
      </c>
      <c r="AH339" s="12"/>
    </row>
    <row r="340" spans="1:34">
      <c r="A340" s="9">
        <v>338</v>
      </c>
      <c r="B340" s="9">
        <v>11057</v>
      </c>
      <c r="C340" s="9" t="s">
        <v>469</v>
      </c>
      <c r="D340" s="9" t="s">
        <v>201</v>
      </c>
      <c r="E340" s="10" t="str">
        <f>"700.30"</f>
        <v>700.30</v>
      </c>
      <c r="F340" s="11" t="s">
        <v>40</v>
      </c>
      <c r="G340" s="11">
        <v>2017</v>
      </c>
      <c r="H340" s="12" t="str">
        <f>"660.30"</f>
        <v>660.30</v>
      </c>
      <c r="I340" s="12"/>
      <c r="J340" s="12"/>
      <c r="K340" s="12"/>
      <c r="L340" s="12"/>
      <c r="M340" s="12"/>
      <c r="N340" s="12"/>
      <c r="O340" s="12"/>
      <c r="P340" s="12"/>
      <c r="Q340" s="12"/>
      <c r="R340" s="12"/>
      <c r="S340" s="12"/>
      <c r="T340" s="12"/>
      <c r="U340" s="12"/>
      <c r="V340" s="12"/>
      <c r="W340" s="12"/>
      <c r="X340" s="12"/>
      <c r="Y340" s="12"/>
      <c r="Z340" s="12"/>
      <c r="AA340" s="12"/>
      <c r="AB340" s="12"/>
      <c r="AC340" s="12"/>
      <c r="AD340" s="12"/>
      <c r="AE340" s="12"/>
      <c r="AF340" s="12"/>
      <c r="AG340" s="12"/>
      <c r="AH340" s="12"/>
    </row>
    <row r="341" spans="1:34">
      <c r="A341" s="9">
        <v>339</v>
      </c>
      <c r="B341" s="9">
        <v>11218</v>
      </c>
      <c r="C341" s="9" t="s">
        <v>470</v>
      </c>
      <c r="D341" s="9" t="s">
        <v>71</v>
      </c>
      <c r="E341" s="10" t="str">
        <f>"706.05"</f>
        <v>706.05</v>
      </c>
      <c r="F341" s="11" t="s">
        <v>37</v>
      </c>
      <c r="G341" s="11">
        <v>2017</v>
      </c>
      <c r="H341" s="12"/>
      <c r="I341" s="12"/>
      <c r="J341" s="12"/>
      <c r="K341" s="12"/>
      <c r="L341" s="12"/>
      <c r="M341" s="12"/>
      <c r="N341" s="12"/>
      <c r="O341" s="12"/>
      <c r="P341" s="12"/>
      <c r="Q341" s="12"/>
      <c r="R341" s="12"/>
      <c r="S341" s="12"/>
      <c r="T341" s="12"/>
      <c r="U341" s="12"/>
      <c r="V341" s="12"/>
      <c r="W341" s="12" t="str">
        <f>"666.05"</f>
        <v>666.05</v>
      </c>
      <c r="X341" s="12"/>
      <c r="Y341" s="12"/>
      <c r="Z341" s="12"/>
      <c r="AA341" s="12"/>
      <c r="AB341" s="12"/>
      <c r="AC341" s="12"/>
      <c r="AD341" s="12"/>
      <c r="AE341" s="12"/>
      <c r="AF341" s="12"/>
      <c r="AG341" s="12"/>
      <c r="AH341" s="12"/>
    </row>
    <row r="342" spans="1:34">
      <c r="A342" s="9">
        <v>340</v>
      </c>
      <c r="B342" s="9">
        <v>11044</v>
      </c>
      <c r="C342" s="9" t="s">
        <v>471</v>
      </c>
      <c r="D342" s="9" t="s">
        <v>48</v>
      </c>
      <c r="E342" s="10" t="str">
        <f>"720.30"</f>
        <v>720.30</v>
      </c>
      <c r="F342" s="11" t="s">
        <v>40</v>
      </c>
      <c r="G342" s="11">
        <v>2017</v>
      </c>
      <c r="H342" s="12" t="str">
        <f>"680.30"</f>
        <v>680.30</v>
      </c>
      <c r="I342" s="12"/>
      <c r="J342" s="12"/>
      <c r="K342" s="12"/>
      <c r="L342" s="12"/>
      <c r="M342" s="12"/>
      <c r="N342" s="12"/>
      <c r="O342" s="12"/>
      <c r="P342" s="12"/>
      <c r="Q342" s="12"/>
      <c r="R342" s="12"/>
      <c r="S342" s="12"/>
      <c r="T342" s="12"/>
      <c r="U342" s="12"/>
      <c r="V342" s="12"/>
      <c r="W342" s="12"/>
      <c r="X342" s="12"/>
      <c r="Y342" s="12"/>
      <c r="Z342" s="12"/>
      <c r="AA342" s="12"/>
      <c r="AB342" s="12"/>
      <c r="AC342" s="12"/>
      <c r="AD342" s="12"/>
      <c r="AE342" s="12"/>
      <c r="AF342" s="12"/>
      <c r="AG342" s="12"/>
      <c r="AH342" s="12"/>
    </row>
    <row r="343" spans="1:34">
      <c r="A343" s="9">
        <v>341</v>
      </c>
      <c r="B343" s="9">
        <v>2719</v>
      </c>
      <c r="C343" s="9" t="s">
        <v>472</v>
      </c>
      <c r="D343" s="9" t="s">
        <v>473</v>
      </c>
      <c r="E343" s="10" t="str">
        <f>"727.67"</f>
        <v>727.67</v>
      </c>
      <c r="F343" s="11" t="s">
        <v>40</v>
      </c>
      <c r="G343" s="11">
        <v>2017</v>
      </c>
      <c r="H343" s="12" t="str">
        <f>"687.67"</f>
        <v>687.67</v>
      </c>
      <c r="I343" s="12"/>
      <c r="J343" s="12"/>
      <c r="K343" s="12"/>
      <c r="L343" s="12"/>
      <c r="M343" s="12"/>
      <c r="N343" s="12"/>
      <c r="O343" s="12"/>
      <c r="P343" s="12"/>
      <c r="Q343" s="12"/>
      <c r="R343" s="12"/>
      <c r="S343" s="12"/>
      <c r="T343" s="12"/>
      <c r="U343" s="12"/>
      <c r="V343" s="12"/>
      <c r="W343" s="12"/>
      <c r="X343" s="12"/>
      <c r="Y343" s="12"/>
      <c r="Z343" s="12"/>
      <c r="AA343" s="12"/>
      <c r="AB343" s="12"/>
      <c r="AC343" s="12"/>
      <c r="AD343" s="12"/>
      <c r="AE343" s="12"/>
      <c r="AF343" s="12"/>
      <c r="AG343" s="12"/>
      <c r="AH343" s="12"/>
    </row>
    <row r="344" spans="1:34">
      <c r="A344" s="9">
        <v>342</v>
      </c>
      <c r="B344" s="9">
        <v>1432</v>
      </c>
      <c r="C344" s="9" t="s">
        <v>474</v>
      </c>
      <c r="D344" s="9" t="s">
        <v>475</v>
      </c>
      <c r="E344" s="10" t="str">
        <f>"744.69"</f>
        <v>744.69</v>
      </c>
      <c r="F344" s="11" t="s">
        <v>40</v>
      </c>
      <c r="G344" s="11">
        <v>2017</v>
      </c>
      <c r="H344" s="12" t="str">
        <f>"704.69"</f>
        <v>704.69</v>
      </c>
      <c r="I344" s="12"/>
      <c r="J344" s="12"/>
      <c r="K344" s="12"/>
      <c r="L344" s="12"/>
      <c r="M344" s="12"/>
      <c r="N344" s="12"/>
      <c r="O344" s="12"/>
      <c r="P344" s="12"/>
      <c r="Q344" s="12"/>
      <c r="R344" s="12"/>
      <c r="S344" s="12"/>
      <c r="T344" s="12"/>
      <c r="U344" s="12"/>
      <c r="V344" s="12"/>
      <c r="W344" s="12"/>
      <c r="X344" s="12"/>
      <c r="Y344" s="12"/>
      <c r="Z344" s="12"/>
      <c r="AA344" s="12"/>
      <c r="AB344" s="12"/>
      <c r="AC344" s="12"/>
      <c r="AD344" s="12"/>
      <c r="AE344" s="12"/>
      <c r="AF344" s="12"/>
      <c r="AG344" s="12"/>
      <c r="AH344" s="12"/>
    </row>
    <row r="345" spans="1:34">
      <c r="A345" s="9">
        <v>343</v>
      </c>
      <c r="B345" s="9">
        <v>10433</v>
      </c>
      <c r="C345" s="9" t="s">
        <v>476</v>
      </c>
      <c r="D345" s="9" t="s">
        <v>71</v>
      </c>
      <c r="E345" s="10" t="str">
        <f>"747.53"</f>
        <v>747.53</v>
      </c>
      <c r="F345" s="11" t="s">
        <v>37</v>
      </c>
      <c r="G345" s="11">
        <v>2017</v>
      </c>
      <c r="H345" s="12"/>
      <c r="I345" s="12"/>
      <c r="J345" s="12"/>
      <c r="K345" s="12"/>
      <c r="L345" s="12"/>
      <c r="M345" s="12"/>
      <c r="N345" s="12"/>
      <c r="O345" s="12"/>
      <c r="P345" s="12"/>
      <c r="Q345" s="12"/>
      <c r="R345" s="12"/>
      <c r="S345" s="12"/>
      <c r="T345" s="12"/>
      <c r="U345" s="12"/>
      <c r="V345" s="12"/>
      <c r="W345" s="12" t="str">
        <f>"707.53"</f>
        <v>707.53</v>
      </c>
      <c r="X345" s="12"/>
      <c r="Y345" s="12"/>
      <c r="Z345" s="12"/>
      <c r="AA345" s="12"/>
      <c r="AB345" s="12"/>
      <c r="AC345" s="12"/>
      <c r="AD345" s="12"/>
      <c r="AE345" s="12"/>
      <c r="AF345" s="12"/>
      <c r="AG345" s="12"/>
      <c r="AH345" s="12"/>
    </row>
    <row r="346" spans="1:34">
      <c r="A346" s="9">
        <v>344</v>
      </c>
      <c r="B346" s="9">
        <v>3657</v>
      </c>
      <c r="C346" s="9" t="s">
        <v>477</v>
      </c>
      <c r="D346" s="9" t="s">
        <v>181</v>
      </c>
      <c r="E346" s="10" t="str">
        <f>"766.71"</f>
        <v>766.71</v>
      </c>
      <c r="F346" s="11"/>
      <c r="G346" s="11">
        <v>2017</v>
      </c>
      <c r="H346" s="12" t="str">
        <f>"521.24"</f>
        <v>521.24</v>
      </c>
      <c r="I346" s="12"/>
      <c r="J346" s="12"/>
      <c r="K346" s="12" t="str">
        <f>"801.74"</f>
        <v>801.74</v>
      </c>
      <c r="L346" s="12" t="str">
        <f>"731.68"</f>
        <v>731.68</v>
      </c>
      <c r="M346" s="12"/>
      <c r="N346" s="12"/>
      <c r="O346" s="12"/>
      <c r="P346" s="12"/>
      <c r="Q346" s="12"/>
      <c r="R346" s="12"/>
      <c r="S346" s="12"/>
      <c r="T346" s="12"/>
      <c r="U346" s="12"/>
      <c r="V346" s="12"/>
      <c r="W346" s="12"/>
      <c r="X346" s="12"/>
      <c r="Y346" s="12"/>
      <c r="Z346" s="12"/>
      <c r="AA346" s="12"/>
      <c r="AB346" s="12"/>
      <c r="AC346" s="12"/>
      <c r="AD346" s="12"/>
      <c r="AE346" s="12"/>
      <c r="AF346" s="12"/>
      <c r="AG346" s="12"/>
      <c r="AH346" s="12"/>
    </row>
    <row r="347" spans="1:34">
      <c r="A347" s="9">
        <v>345</v>
      </c>
      <c r="B347" s="9">
        <v>11172</v>
      </c>
      <c r="C347" s="9" t="s">
        <v>478</v>
      </c>
      <c r="D347" s="9" t="s">
        <v>71</v>
      </c>
      <c r="E347" s="10" t="str">
        <f>"810.07"</f>
        <v>810.07</v>
      </c>
      <c r="F347" s="11" t="s">
        <v>37</v>
      </c>
      <c r="G347" s="11">
        <v>2017</v>
      </c>
      <c r="H347" s="12"/>
      <c r="I347" s="12"/>
      <c r="J347" s="12"/>
      <c r="K347" s="12"/>
      <c r="L347" s="12"/>
      <c r="M347" s="12"/>
      <c r="N347" s="12"/>
      <c r="O347" s="12"/>
      <c r="P347" s="12"/>
      <c r="Q347" s="12"/>
      <c r="R347" s="12"/>
      <c r="S347" s="12"/>
      <c r="T347" s="12"/>
      <c r="U347" s="12"/>
      <c r="V347" s="12"/>
      <c r="W347" s="12"/>
      <c r="X347" s="12"/>
      <c r="Y347" s="12"/>
      <c r="Z347" s="12"/>
      <c r="AA347" s="12"/>
      <c r="AB347" s="12"/>
      <c r="AC347" s="12"/>
      <c r="AD347" s="12"/>
      <c r="AE347" s="12"/>
      <c r="AF347" s="12" t="str">
        <f>"770.07"</f>
        <v>770.07</v>
      </c>
      <c r="AG347" s="12"/>
      <c r="AH347" s="12"/>
    </row>
    <row r="348" spans="1:34">
      <c r="A348" s="9">
        <v>346</v>
      </c>
      <c r="B348" s="9">
        <v>11246</v>
      </c>
      <c r="C348" s="9" t="s">
        <v>479</v>
      </c>
      <c r="D348" s="9" t="s">
        <v>39</v>
      </c>
      <c r="E348" s="10" t="str">
        <f>"855.36"</f>
        <v>855.36</v>
      </c>
      <c r="F348" s="11"/>
      <c r="G348" s="11">
        <v>2017</v>
      </c>
      <c r="H348" s="12"/>
      <c r="I348" s="12"/>
      <c r="J348" s="12"/>
      <c r="K348" s="12"/>
      <c r="L348" s="12"/>
      <c r="M348" s="12"/>
      <c r="N348" s="12"/>
      <c r="O348" s="12"/>
      <c r="P348" s="12"/>
      <c r="Q348" s="12"/>
      <c r="R348" s="12"/>
      <c r="S348" s="12"/>
      <c r="T348" s="12"/>
      <c r="U348" s="12"/>
      <c r="V348" s="12"/>
      <c r="W348" s="12"/>
      <c r="X348" s="12"/>
      <c r="Y348" s="12"/>
      <c r="Z348" s="12" t="str">
        <f>"904.79"</f>
        <v>904.79</v>
      </c>
      <c r="AA348" s="12"/>
      <c r="AB348" s="12"/>
      <c r="AC348" s="12"/>
      <c r="AD348" s="12"/>
      <c r="AE348" s="12"/>
      <c r="AF348" s="12"/>
      <c r="AG348" s="12" t="str">
        <f>"805.93"</f>
        <v>805.93</v>
      </c>
      <c r="AH348" s="12"/>
    </row>
    <row r="349" spans="1:34">
      <c r="A349" s="9">
        <v>347</v>
      </c>
      <c r="B349" s="9">
        <v>11323</v>
      </c>
      <c r="C349" s="9" t="s">
        <v>480</v>
      </c>
      <c r="D349" s="9" t="s">
        <v>201</v>
      </c>
      <c r="E349" s="10" t="str">
        <f>"855.70"</f>
        <v>855.70</v>
      </c>
      <c r="F349" s="11" t="s">
        <v>37</v>
      </c>
      <c r="G349" s="11">
        <v>2017</v>
      </c>
      <c r="H349" s="12"/>
      <c r="I349" s="12"/>
      <c r="J349" s="12"/>
      <c r="K349" s="12"/>
      <c r="L349" s="12"/>
      <c r="M349" s="12"/>
      <c r="N349" s="12"/>
      <c r="O349" s="12"/>
      <c r="P349" s="12"/>
      <c r="Q349" s="12"/>
      <c r="R349" s="12"/>
      <c r="S349" s="12" t="str">
        <f>"815.70"</f>
        <v>815.70</v>
      </c>
      <c r="T349" s="12"/>
      <c r="U349" s="12"/>
      <c r="V349" s="12"/>
      <c r="W349" s="12"/>
      <c r="X349" s="12"/>
      <c r="Y349" s="12"/>
      <c r="Z349" s="12"/>
      <c r="AA349" s="12"/>
      <c r="AB349" s="12"/>
      <c r="AC349" s="12"/>
      <c r="AD349" s="12"/>
      <c r="AE349" s="12"/>
      <c r="AF349" s="12"/>
      <c r="AG349" s="12"/>
      <c r="AH349" s="12"/>
    </row>
    <row r="350" spans="1:34">
      <c r="A350" s="9">
        <v>348</v>
      </c>
      <c r="B350" s="9">
        <v>10775</v>
      </c>
      <c r="C350" s="9" t="s">
        <v>481</v>
      </c>
      <c r="D350" s="9" t="s">
        <v>71</v>
      </c>
      <c r="E350" s="10" t="str">
        <f>"875.15"</f>
        <v>875.15</v>
      </c>
      <c r="F350" s="11" t="s">
        <v>37</v>
      </c>
      <c r="G350" s="11">
        <v>2017</v>
      </c>
      <c r="H350" s="12"/>
      <c r="I350" s="12"/>
      <c r="J350" s="12"/>
      <c r="K350" s="12"/>
      <c r="L350" s="12"/>
      <c r="M350" s="12"/>
      <c r="N350" s="12"/>
      <c r="O350" s="12"/>
      <c r="P350" s="12"/>
      <c r="Q350" s="12"/>
      <c r="R350" s="12"/>
      <c r="S350" s="12"/>
      <c r="T350" s="12"/>
      <c r="U350" s="12"/>
      <c r="V350" s="12"/>
      <c r="W350" s="12" t="str">
        <f>"835.15"</f>
        <v>835.15</v>
      </c>
      <c r="X350" s="12"/>
      <c r="Y350" s="12"/>
      <c r="Z350" s="12"/>
      <c r="AA350" s="12"/>
      <c r="AB350" s="12"/>
      <c r="AC350" s="12"/>
      <c r="AD350" s="12"/>
      <c r="AE350" s="12"/>
      <c r="AF350" s="12"/>
      <c r="AG350" s="12"/>
      <c r="AH350" s="12"/>
    </row>
    <row r="351" spans="1:34">
      <c r="A351" s="9">
        <v>349</v>
      </c>
      <c r="B351" s="9">
        <v>10776</v>
      </c>
      <c r="C351" s="9" t="s">
        <v>482</v>
      </c>
      <c r="D351" s="9" t="s">
        <v>71</v>
      </c>
      <c r="E351" s="10" t="str">
        <f>"875.15"</f>
        <v>875.15</v>
      </c>
      <c r="F351" s="11" t="s">
        <v>37</v>
      </c>
      <c r="G351" s="11">
        <v>2017</v>
      </c>
      <c r="H351" s="12" t="str">
        <f>"1128.43"</f>
        <v>1128.43</v>
      </c>
      <c r="I351" s="12"/>
      <c r="J351" s="12"/>
      <c r="K351" s="12"/>
      <c r="L351" s="12"/>
      <c r="M351" s="12"/>
      <c r="N351" s="12"/>
      <c r="O351" s="12"/>
      <c r="P351" s="12"/>
      <c r="Q351" s="12"/>
      <c r="R351" s="12"/>
      <c r="S351" s="12"/>
      <c r="T351" s="12"/>
      <c r="U351" s="12"/>
      <c r="V351" s="12"/>
      <c r="W351" s="12" t="str">
        <f>"835.15"</f>
        <v>835.15</v>
      </c>
      <c r="X351" s="12"/>
      <c r="Y351" s="12"/>
      <c r="Z351" s="12"/>
      <c r="AA351" s="12"/>
      <c r="AB351" s="12"/>
      <c r="AC351" s="12"/>
      <c r="AD351" s="12"/>
      <c r="AE351" s="12"/>
      <c r="AF351" s="12"/>
      <c r="AG351" s="12"/>
      <c r="AH351" s="12"/>
    </row>
    <row r="352" spans="1:34">
      <c r="A352" s="9">
        <v>350</v>
      </c>
      <c r="B352" s="9">
        <v>1217</v>
      </c>
      <c r="C352" s="9" t="s">
        <v>483</v>
      </c>
      <c r="D352" s="9" t="s">
        <v>419</v>
      </c>
      <c r="E352" s="10" t="str">
        <f>"1008.63"</f>
        <v>1008.63</v>
      </c>
      <c r="F352" s="11" t="s">
        <v>37</v>
      </c>
      <c r="G352" s="11">
        <v>2017</v>
      </c>
      <c r="H352" s="12" t="str">
        <f>"840.97"</f>
        <v>840.97</v>
      </c>
      <c r="I352" s="12"/>
      <c r="J352" s="12"/>
      <c r="K352" s="12"/>
      <c r="L352" s="12"/>
      <c r="M352" s="12"/>
      <c r="N352" s="12"/>
      <c r="O352" s="12"/>
      <c r="P352" s="12" t="str">
        <f>"968.63"</f>
        <v>968.63</v>
      </c>
      <c r="Q352" s="12"/>
      <c r="R352" s="12"/>
      <c r="S352" s="12"/>
      <c r="T352" s="12"/>
      <c r="U352" s="12"/>
      <c r="V352" s="12"/>
      <c r="W352" s="12"/>
      <c r="X352" s="12"/>
      <c r="Y352" s="12"/>
      <c r="Z352" s="12"/>
      <c r="AA352" s="12"/>
      <c r="AB352" s="12"/>
      <c r="AC352" s="12"/>
      <c r="AD352" s="12"/>
      <c r="AE352" s="12"/>
      <c r="AF352" s="12"/>
      <c r="AG352" s="12"/>
      <c r="AH352" s="12"/>
    </row>
    <row r="353" spans="1:34">
      <c r="A353" s="9">
        <v>351</v>
      </c>
      <c r="B353" s="9">
        <v>10777</v>
      </c>
      <c r="C353" s="9" t="s">
        <v>484</v>
      </c>
      <c r="D353" s="9" t="s">
        <v>71</v>
      </c>
      <c r="E353" s="10" t="str">
        <f>"1107.92"</f>
        <v>1107.92</v>
      </c>
      <c r="F353" s="11" t="s">
        <v>40</v>
      </c>
      <c r="G353" s="11">
        <v>2017</v>
      </c>
      <c r="H353" s="12" t="str">
        <f>"1067.92"</f>
        <v>1067.92</v>
      </c>
      <c r="I353" s="12"/>
      <c r="J353" s="12"/>
      <c r="K353" s="12"/>
      <c r="L353" s="12"/>
      <c r="M353" s="12"/>
      <c r="N353" s="12"/>
      <c r="O353" s="12"/>
      <c r="P353" s="12"/>
      <c r="Q353" s="12"/>
      <c r="R353" s="12"/>
      <c r="S353" s="12"/>
      <c r="T353" s="12"/>
      <c r="U353" s="12"/>
      <c r="V353" s="12"/>
      <c r="W353" s="12"/>
      <c r="X353" s="12"/>
      <c r="Y353" s="12"/>
      <c r="Z353" s="12"/>
      <c r="AA353" s="12"/>
      <c r="AB353" s="12"/>
      <c r="AC353" s="12"/>
      <c r="AD353" s="12"/>
      <c r="AE353" s="12"/>
      <c r="AF353" s="12"/>
      <c r="AG353" s="12"/>
      <c r="AH353" s="12"/>
    </row>
    <row r="354" spans="1:34">
      <c r="A354" s="9">
        <v>352</v>
      </c>
      <c r="B354" s="9">
        <v>11170</v>
      </c>
      <c r="C354" s="9" t="s">
        <v>485</v>
      </c>
      <c r="D354" s="9" t="s">
        <v>71</v>
      </c>
      <c r="E354" s="10" t="str">
        <f>"1211.10"</f>
        <v>1211.10</v>
      </c>
      <c r="F354" s="11"/>
      <c r="G354" s="11">
        <v>2017</v>
      </c>
      <c r="H354" s="12"/>
      <c r="I354" s="12"/>
      <c r="J354" s="12"/>
      <c r="K354" s="12"/>
      <c r="L354" s="12"/>
      <c r="M354" s="12"/>
      <c r="N354" s="12"/>
      <c r="O354" s="12"/>
      <c r="P354" s="12"/>
      <c r="Q354" s="12"/>
      <c r="R354" s="12"/>
      <c r="S354" s="12"/>
      <c r="T354" s="12"/>
      <c r="U354" s="12"/>
      <c r="V354" s="12"/>
      <c r="W354" s="12" t="str">
        <f>"1255.55"</f>
        <v>1255.55</v>
      </c>
      <c r="X354" s="12"/>
      <c r="Y354" s="12"/>
      <c r="Z354" s="12"/>
      <c r="AA354" s="12"/>
      <c r="AB354" s="12"/>
      <c r="AC354" s="12"/>
      <c r="AD354" s="12"/>
      <c r="AE354" s="12"/>
      <c r="AF354" s="12" t="str">
        <f>"1166.65"</f>
        <v>1166.65</v>
      </c>
      <c r="AG354" s="12"/>
      <c r="AH354" s="12"/>
    </row>
    <row r="355" spans="1:34">
      <c r="A355" s="9">
        <v>353</v>
      </c>
      <c r="B355" s="9">
        <v>11220</v>
      </c>
      <c r="C355" s="9" t="s">
        <v>486</v>
      </c>
      <c r="D355" s="9" t="s">
        <v>71</v>
      </c>
      <c r="E355" s="10" t="str">
        <f>"1425.78"</f>
        <v>1425.78</v>
      </c>
      <c r="F355" s="11" t="s">
        <v>37</v>
      </c>
      <c r="G355" s="11">
        <v>2017</v>
      </c>
      <c r="H355" s="12"/>
      <c r="I355" s="12"/>
      <c r="J355" s="12"/>
      <c r="K355" s="12"/>
      <c r="L355" s="12"/>
      <c r="M355" s="12"/>
      <c r="N355" s="12"/>
      <c r="O355" s="12"/>
      <c r="P355" s="12"/>
      <c r="Q355" s="12"/>
      <c r="R355" s="12"/>
      <c r="S355" s="12"/>
      <c r="T355" s="12"/>
      <c r="U355" s="12"/>
      <c r="V355" s="12"/>
      <c r="W355" s="12" t="str">
        <f>"1385.78"</f>
        <v>1385.78</v>
      </c>
      <c r="X355" s="12"/>
      <c r="Y355" s="12"/>
      <c r="Z355" s="12"/>
      <c r="AA355" s="12"/>
      <c r="AB355" s="12"/>
      <c r="AC355" s="12"/>
      <c r="AD355" s="12"/>
      <c r="AE355" s="12"/>
      <c r="AF355" s="12"/>
      <c r="AG355" s="12"/>
      <c r="AH355" s="12"/>
    </row>
  </sheetData>
  <sheetProtection password="8FA1" sheet="1" objects="1" scenarios="1" sort="0" autoFilter="0"/>
  <autoFilter ref="A2:AH355"/>
  <phoneticPr fontId="18"/>
  <pageMargins left="0.7" right="0.7" top="0.75" bottom="0.75" header="0.3" footer="0.3"/>
  <pageSetup paperSize="8" scale="61" orientation="landscape" horizont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女子ＧＳ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韮澤 新太郎</dc:creator>
  <cp:lastModifiedBy>NewSAT4</cp:lastModifiedBy>
  <cp:lastPrinted>2017-07-20T01:45:50Z</cp:lastPrinted>
  <dcterms:created xsi:type="dcterms:W3CDTF">2017-07-08T00:29:35Z</dcterms:created>
  <dcterms:modified xsi:type="dcterms:W3CDTF">2017-07-20T01:47:04Z</dcterms:modified>
</cp:coreProperties>
</file>