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8500" yWindow="0" windowWidth="25040" windowHeight="17820" tabRatio="500"/>
  </bookViews>
  <sheets>
    <sheet name="女子SL" sheetId="1" r:id="rId1"/>
  </sheets>
  <definedNames>
    <definedName name="_xlnm._FilterDatabase" localSheetId="0" hidden="1">女子SL!$A$2:$AE$322</definedName>
    <definedName name="_xlnm.Print_Titles" localSheetId="0">女子SL!$1:$2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22" i="1" l="1"/>
  <c r="L322" i="1"/>
  <c r="G322" i="1"/>
  <c r="H322" i="1"/>
  <c r="E322" i="1"/>
  <c r="L321" i="1"/>
  <c r="G321" i="1"/>
  <c r="H321" i="1"/>
  <c r="E321" i="1"/>
  <c r="T320" i="1"/>
  <c r="G320" i="1"/>
  <c r="H320" i="1"/>
  <c r="E320" i="1"/>
  <c r="T319" i="1"/>
  <c r="G319" i="1"/>
  <c r="H319" i="1"/>
  <c r="E319" i="1"/>
  <c r="T318" i="1"/>
  <c r="G318" i="1"/>
  <c r="H318" i="1"/>
  <c r="E318" i="1"/>
  <c r="T317" i="1"/>
  <c r="G317" i="1"/>
  <c r="H317" i="1"/>
  <c r="E317" i="1"/>
  <c r="T316" i="1"/>
  <c r="G316" i="1"/>
  <c r="H316" i="1"/>
  <c r="E316" i="1"/>
  <c r="T315" i="1"/>
  <c r="G315" i="1"/>
  <c r="H315" i="1"/>
  <c r="E315" i="1"/>
  <c r="T314" i="1"/>
  <c r="G314" i="1"/>
  <c r="H314" i="1"/>
  <c r="E314" i="1"/>
  <c r="T313" i="1"/>
  <c r="G313" i="1"/>
  <c r="H313" i="1"/>
  <c r="E313" i="1"/>
  <c r="T312" i="1"/>
  <c r="G312" i="1"/>
  <c r="H312" i="1"/>
  <c r="E312" i="1"/>
  <c r="T311" i="1"/>
  <c r="G311" i="1"/>
  <c r="H311" i="1"/>
  <c r="E311" i="1"/>
  <c r="T310" i="1"/>
  <c r="G310" i="1"/>
  <c r="H310" i="1"/>
  <c r="E310" i="1"/>
  <c r="T309" i="1"/>
  <c r="L309" i="1"/>
  <c r="G309" i="1"/>
  <c r="H309" i="1"/>
  <c r="E309" i="1"/>
  <c r="T308" i="1"/>
  <c r="G308" i="1"/>
  <c r="H308" i="1"/>
  <c r="E308" i="1"/>
  <c r="T307" i="1"/>
  <c r="G307" i="1"/>
  <c r="H307" i="1"/>
  <c r="E307" i="1"/>
  <c r="T306" i="1"/>
  <c r="G306" i="1"/>
  <c r="H306" i="1"/>
  <c r="E306" i="1"/>
  <c r="T305" i="1"/>
  <c r="G305" i="1"/>
  <c r="H305" i="1"/>
  <c r="E305" i="1"/>
  <c r="T304" i="1"/>
  <c r="G304" i="1"/>
  <c r="H304" i="1"/>
  <c r="E304" i="1"/>
  <c r="T303" i="1"/>
  <c r="L303" i="1"/>
  <c r="G303" i="1"/>
  <c r="H303" i="1"/>
  <c r="E303" i="1"/>
  <c r="T302" i="1"/>
  <c r="G302" i="1"/>
  <c r="H302" i="1"/>
  <c r="E302" i="1"/>
  <c r="T301" i="1"/>
  <c r="G301" i="1"/>
  <c r="H301" i="1"/>
  <c r="E301" i="1"/>
  <c r="T300" i="1"/>
  <c r="L300" i="1"/>
  <c r="G300" i="1"/>
  <c r="H300" i="1"/>
  <c r="E300" i="1"/>
  <c r="T299" i="1"/>
  <c r="G299" i="1"/>
  <c r="H299" i="1"/>
  <c r="E299" i="1"/>
  <c r="T298" i="1"/>
  <c r="G298" i="1"/>
  <c r="H298" i="1"/>
  <c r="E298" i="1"/>
  <c r="L297" i="1"/>
  <c r="G297" i="1"/>
  <c r="H297" i="1"/>
  <c r="E297" i="1"/>
  <c r="T296" i="1"/>
  <c r="G296" i="1"/>
  <c r="H296" i="1"/>
  <c r="E296" i="1"/>
  <c r="T295" i="1"/>
  <c r="G295" i="1"/>
  <c r="H295" i="1"/>
  <c r="E295" i="1"/>
  <c r="T294" i="1"/>
  <c r="G294" i="1"/>
  <c r="H294" i="1"/>
  <c r="E294" i="1"/>
  <c r="T293" i="1"/>
  <c r="G293" i="1"/>
  <c r="H293" i="1"/>
  <c r="E293" i="1"/>
  <c r="T292" i="1"/>
  <c r="G292" i="1"/>
  <c r="H292" i="1"/>
  <c r="E292" i="1"/>
  <c r="L291" i="1"/>
  <c r="G291" i="1"/>
  <c r="H291" i="1"/>
  <c r="E291" i="1"/>
  <c r="AD290" i="1"/>
  <c r="R290" i="1"/>
  <c r="G290" i="1"/>
  <c r="H290" i="1"/>
  <c r="E290" i="1"/>
  <c r="AB289" i="1"/>
  <c r="T289" i="1"/>
  <c r="G289" i="1"/>
  <c r="H289" i="1"/>
  <c r="E289" i="1"/>
  <c r="T288" i="1"/>
  <c r="P288" i="1"/>
  <c r="G288" i="1"/>
  <c r="H288" i="1"/>
  <c r="E288" i="1"/>
  <c r="T287" i="1"/>
  <c r="L287" i="1"/>
  <c r="G287" i="1"/>
  <c r="H287" i="1"/>
  <c r="E287" i="1"/>
  <c r="T286" i="1"/>
  <c r="G286" i="1"/>
  <c r="H286" i="1"/>
  <c r="E286" i="1"/>
  <c r="L285" i="1"/>
  <c r="G285" i="1"/>
  <c r="H285" i="1"/>
  <c r="E285" i="1"/>
  <c r="T284" i="1"/>
  <c r="L284" i="1"/>
  <c r="G284" i="1"/>
  <c r="H284" i="1"/>
  <c r="E284" i="1"/>
  <c r="L283" i="1"/>
  <c r="G283" i="1"/>
  <c r="H283" i="1"/>
  <c r="E283" i="1"/>
  <c r="R282" i="1"/>
  <c r="L282" i="1"/>
  <c r="G282" i="1"/>
  <c r="H282" i="1"/>
  <c r="E282" i="1"/>
  <c r="R281" i="1"/>
  <c r="L281" i="1"/>
  <c r="G281" i="1"/>
  <c r="H281" i="1"/>
  <c r="E281" i="1"/>
  <c r="AD280" i="1"/>
  <c r="R280" i="1"/>
  <c r="G280" i="1"/>
  <c r="H280" i="1"/>
  <c r="E280" i="1"/>
  <c r="L279" i="1"/>
  <c r="G279" i="1"/>
  <c r="H279" i="1"/>
  <c r="E279" i="1"/>
  <c r="AA278" i="1"/>
  <c r="G278" i="1"/>
  <c r="H278" i="1"/>
  <c r="E278" i="1"/>
  <c r="L277" i="1"/>
  <c r="G277" i="1"/>
  <c r="H277" i="1"/>
  <c r="E277" i="1"/>
  <c r="AA276" i="1"/>
  <c r="G276" i="1"/>
  <c r="H276" i="1"/>
  <c r="E276" i="1"/>
  <c r="AD275" i="1"/>
  <c r="G275" i="1"/>
  <c r="H275" i="1"/>
  <c r="E275" i="1"/>
  <c r="L274" i="1"/>
  <c r="G274" i="1"/>
  <c r="H274" i="1"/>
  <c r="E274" i="1"/>
  <c r="R273" i="1"/>
  <c r="L273" i="1"/>
  <c r="G273" i="1"/>
  <c r="H273" i="1"/>
  <c r="E273" i="1"/>
  <c r="W272" i="1"/>
  <c r="R272" i="1"/>
  <c r="L272" i="1"/>
  <c r="G272" i="1"/>
  <c r="H272" i="1"/>
  <c r="E272" i="1"/>
  <c r="Q271" i="1"/>
  <c r="L271" i="1"/>
  <c r="G271" i="1"/>
  <c r="H271" i="1"/>
  <c r="E271" i="1"/>
  <c r="L270" i="1"/>
  <c r="G270" i="1"/>
  <c r="H270" i="1"/>
  <c r="E270" i="1"/>
  <c r="AD269" i="1"/>
  <c r="W269" i="1"/>
  <c r="R269" i="1"/>
  <c r="G269" i="1"/>
  <c r="H269" i="1"/>
  <c r="E269" i="1"/>
  <c r="AD268" i="1"/>
  <c r="L268" i="1"/>
  <c r="G268" i="1"/>
  <c r="H268" i="1"/>
  <c r="E268" i="1"/>
  <c r="L267" i="1"/>
  <c r="G267" i="1"/>
  <c r="H267" i="1"/>
  <c r="E267" i="1"/>
  <c r="AD266" i="1"/>
  <c r="R266" i="1"/>
  <c r="L266" i="1"/>
  <c r="G266" i="1"/>
  <c r="H266" i="1"/>
  <c r="E266" i="1"/>
  <c r="L265" i="1"/>
  <c r="G265" i="1"/>
  <c r="H265" i="1"/>
  <c r="E265" i="1"/>
  <c r="AB264" i="1"/>
  <c r="AA264" i="1"/>
  <c r="Z264" i="1"/>
  <c r="Q264" i="1"/>
  <c r="L264" i="1"/>
  <c r="G264" i="1"/>
  <c r="H264" i="1"/>
  <c r="E264" i="1"/>
  <c r="R263" i="1"/>
  <c r="L263" i="1"/>
  <c r="G263" i="1"/>
  <c r="H263" i="1"/>
  <c r="E263" i="1"/>
  <c r="M262" i="1"/>
  <c r="L262" i="1"/>
  <c r="G262" i="1"/>
  <c r="H262" i="1"/>
  <c r="E262" i="1"/>
  <c r="L261" i="1"/>
  <c r="G261" i="1"/>
  <c r="H261" i="1"/>
  <c r="E261" i="1"/>
  <c r="AD260" i="1"/>
  <c r="W260" i="1"/>
  <c r="R260" i="1"/>
  <c r="L260" i="1"/>
  <c r="G260" i="1"/>
  <c r="H260" i="1"/>
  <c r="E260" i="1"/>
  <c r="M259" i="1"/>
  <c r="G259" i="1"/>
  <c r="H259" i="1"/>
  <c r="E259" i="1"/>
  <c r="W258" i="1"/>
  <c r="L258" i="1"/>
  <c r="G258" i="1"/>
  <c r="H258" i="1"/>
  <c r="E258" i="1"/>
  <c r="AB257" i="1"/>
  <c r="T257" i="1"/>
  <c r="L257" i="1"/>
  <c r="G257" i="1"/>
  <c r="H257" i="1"/>
  <c r="E257" i="1"/>
  <c r="Y256" i="1"/>
  <c r="U256" i="1"/>
  <c r="Q256" i="1"/>
  <c r="L256" i="1"/>
  <c r="G256" i="1"/>
  <c r="H256" i="1"/>
  <c r="E256" i="1"/>
  <c r="T255" i="1"/>
  <c r="P255" i="1"/>
  <c r="G255" i="1"/>
  <c r="H255" i="1"/>
  <c r="E255" i="1"/>
  <c r="AD254" i="1"/>
  <c r="R254" i="1"/>
  <c r="G254" i="1"/>
  <c r="H254" i="1"/>
  <c r="E254" i="1"/>
  <c r="O253" i="1"/>
  <c r="M253" i="1"/>
  <c r="G253" i="1"/>
  <c r="H253" i="1"/>
  <c r="E253" i="1"/>
  <c r="AD252" i="1"/>
  <c r="W252" i="1"/>
  <c r="R252" i="1"/>
  <c r="G252" i="1"/>
  <c r="H252" i="1"/>
  <c r="E252" i="1"/>
  <c r="M251" i="1"/>
  <c r="G251" i="1"/>
  <c r="H251" i="1"/>
  <c r="E251" i="1"/>
  <c r="AD250" i="1"/>
  <c r="W250" i="1"/>
  <c r="R250" i="1"/>
  <c r="L250" i="1"/>
  <c r="G250" i="1"/>
  <c r="H250" i="1"/>
  <c r="E250" i="1"/>
  <c r="AD249" i="1"/>
  <c r="L249" i="1"/>
  <c r="G249" i="1"/>
  <c r="H249" i="1"/>
  <c r="E249" i="1"/>
  <c r="AD248" i="1"/>
  <c r="L248" i="1"/>
  <c r="G248" i="1"/>
  <c r="H248" i="1"/>
  <c r="E248" i="1"/>
  <c r="M247" i="1"/>
  <c r="L247" i="1"/>
  <c r="G247" i="1"/>
  <c r="H247" i="1"/>
  <c r="E247" i="1"/>
  <c r="T246" i="1"/>
  <c r="P246" i="1"/>
  <c r="L246" i="1"/>
  <c r="G246" i="1"/>
  <c r="H246" i="1"/>
  <c r="E246" i="1"/>
  <c r="L245" i="1"/>
  <c r="G245" i="1"/>
  <c r="H245" i="1"/>
  <c r="E245" i="1"/>
  <c r="M244" i="1"/>
  <c r="G244" i="1"/>
  <c r="H244" i="1"/>
  <c r="E244" i="1"/>
  <c r="L243" i="1"/>
  <c r="G243" i="1"/>
  <c r="H243" i="1"/>
  <c r="E243" i="1"/>
  <c r="L242" i="1"/>
  <c r="G242" i="1"/>
  <c r="H242" i="1"/>
  <c r="E242" i="1"/>
  <c r="M241" i="1"/>
  <c r="G241" i="1"/>
  <c r="H241" i="1"/>
  <c r="E241" i="1"/>
  <c r="AD240" i="1"/>
  <c r="X240" i="1"/>
  <c r="W240" i="1"/>
  <c r="R240" i="1"/>
  <c r="L240" i="1"/>
  <c r="G240" i="1"/>
  <c r="H240" i="1"/>
  <c r="E240" i="1"/>
  <c r="AD239" i="1"/>
  <c r="R239" i="1"/>
  <c r="G239" i="1"/>
  <c r="H239" i="1"/>
  <c r="E239" i="1"/>
  <c r="M238" i="1"/>
  <c r="L238" i="1"/>
  <c r="G238" i="1"/>
  <c r="H238" i="1"/>
  <c r="E238" i="1"/>
  <c r="O237" i="1"/>
  <c r="M237" i="1"/>
  <c r="L237" i="1"/>
  <c r="G237" i="1"/>
  <c r="H237" i="1"/>
  <c r="E237" i="1"/>
  <c r="L236" i="1"/>
  <c r="G236" i="1"/>
  <c r="H236" i="1"/>
  <c r="E236" i="1"/>
  <c r="L235" i="1"/>
  <c r="G235" i="1"/>
  <c r="H235" i="1"/>
  <c r="E235" i="1"/>
  <c r="L234" i="1"/>
  <c r="G234" i="1"/>
  <c r="H234" i="1"/>
  <c r="E234" i="1"/>
  <c r="L233" i="1"/>
  <c r="G233" i="1"/>
  <c r="H233" i="1"/>
  <c r="E233" i="1"/>
  <c r="Q232" i="1"/>
  <c r="L232" i="1"/>
  <c r="G232" i="1"/>
  <c r="H232" i="1"/>
  <c r="E232" i="1"/>
  <c r="U231" i="1"/>
  <c r="L231" i="1"/>
  <c r="G231" i="1"/>
  <c r="H231" i="1"/>
  <c r="E231" i="1"/>
  <c r="L230" i="1"/>
  <c r="G230" i="1"/>
  <c r="H230" i="1"/>
  <c r="E230" i="1"/>
  <c r="L229" i="1"/>
  <c r="G229" i="1"/>
  <c r="H229" i="1"/>
  <c r="E229" i="1"/>
  <c r="AB228" i="1"/>
  <c r="U228" i="1"/>
  <c r="L228" i="1"/>
  <c r="G228" i="1"/>
  <c r="H228" i="1"/>
  <c r="E228" i="1"/>
  <c r="M227" i="1"/>
  <c r="G227" i="1"/>
  <c r="H227" i="1"/>
  <c r="E227" i="1"/>
  <c r="V226" i="1"/>
  <c r="L226" i="1"/>
  <c r="G226" i="1"/>
  <c r="H226" i="1"/>
  <c r="E226" i="1"/>
  <c r="L225" i="1"/>
  <c r="G225" i="1"/>
  <c r="H225" i="1"/>
  <c r="E225" i="1"/>
  <c r="M224" i="1"/>
  <c r="L224" i="1"/>
  <c r="G224" i="1"/>
  <c r="H224" i="1"/>
  <c r="E224" i="1"/>
  <c r="AD223" i="1"/>
  <c r="AC223" i="1"/>
  <c r="G223" i="1"/>
  <c r="H223" i="1"/>
  <c r="E223" i="1"/>
  <c r="L222" i="1"/>
  <c r="G222" i="1"/>
  <c r="H222" i="1"/>
  <c r="E222" i="1"/>
  <c r="AD221" i="1"/>
  <c r="AC221" i="1"/>
  <c r="X221" i="1"/>
  <c r="W221" i="1"/>
  <c r="R221" i="1"/>
  <c r="G221" i="1"/>
  <c r="H221" i="1"/>
  <c r="E221" i="1"/>
  <c r="S220" i="1"/>
  <c r="R220" i="1"/>
  <c r="L220" i="1"/>
  <c r="G220" i="1"/>
  <c r="H220" i="1"/>
  <c r="E220" i="1"/>
  <c r="T219" i="1"/>
  <c r="P219" i="1"/>
  <c r="L219" i="1"/>
  <c r="G219" i="1"/>
  <c r="H219" i="1"/>
  <c r="E219" i="1"/>
  <c r="X218" i="1"/>
  <c r="W218" i="1"/>
  <c r="S218" i="1"/>
  <c r="R218" i="1"/>
  <c r="G218" i="1"/>
  <c r="H218" i="1"/>
  <c r="E218" i="1"/>
  <c r="P217" i="1"/>
  <c r="N217" i="1"/>
  <c r="G217" i="1"/>
  <c r="H217" i="1"/>
  <c r="E217" i="1"/>
  <c r="L216" i="1"/>
  <c r="G216" i="1"/>
  <c r="H216" i="1"/>
  <c r="E216" i="1"/>
  <c r="M215" i="1"/>
  <c r="L215" i="1"/>
  <c r="G215" i="1"/>
  <c r="H215" i="1"/>
  <c r="E215" i="1"/>
  <c r="L214" i="1"/>
  <c r="G214" i="1"/>
  <c r="H214" i="1"/>
  <c r="E214" i="1"/>
  <c r="AB213" i="1"/>
  <c r="Y213" i="1"/>
  <c r="T213" i="1"/>
  <c r="P213" i="1"/>
  <c r="G213" i="1"/>
  <c r="H213" i="1"/>
  <c r="E213" i="1"/>
  <c r="X212" i="1"/>
  <c r="W212" i="1"/>
  <c r="S212" i="1"/>
  <c r="R212" i="1"/>
  <c r="L212" i="1"/>
  <c r="G212" i="1"/>
  <c r="H212" i="1"/>
  <c r="E212" i="1"/>
  <c r="P211" i="1"/>
  <c r="L211" i="1"/>
  <c r="G211" i="1"/>
  <c r="H211" i="1"/>
  <c r="E211" i="1"/>
  <c r="M210" i="1"/>
  <c r="L210" i="1"/>
  <c r="G210" i="1"/>
  <c r="H210" i="1"/>
  <c r="E210" i="1"/>
  <c r="AD209" i="1"/>
  <c r="AC209" i="1"/>
  <c r="S209" i="1"/>
  <c r="R209" i="1"/>
  <c r="G209" i="1"/>
  <c r="H209" i="1"/>
  <c r="E209" i="1"/>
  <c r="V208" i="1"/>
  <c r="L208" i="1"/>
  <c r="G208" i="1"/>
  <c r="H208" i="1"/>
  <c r="E208" i="1"/>
  <c r="X207" i="1"/>
  <c r="S207" i="1"/>
  <c r="L207" i="1"/>
  <c r="G207" i="1"/>
  <c r="H207" i="1"/>
  <c r="E207" i="1"/>
  <c r="L206" i="1"/>
  <c r="G206" i="1"/>
  <c r="H206" i="1"/>
  <c r="E206" i="1"/>
  <c r="AA205" i="1"/>
  <c r="Z205" i="1"/>
  <c r="G205" i="1"/>
  <c r="H205" i="1"/>
  <c r="E205" i="1"/>
  <c r="AA204" i="1"/>
  <c r="Z204" i="1"/>
  <c r="L204" i="1"/>
  <c r="G204" i="1"/>
  <c r="H204" i="1"/>
  <c r="E204" i="1"/>
  <c r="Q203" i="1"/>
  <c r="L203" i="1"/>
  <c r="G203" i="1"/>
  <c r="H203" i="1"/>
  <c r="E203" i="1"/>
  <c r="L202" i="1"/>
  <c r="G202" i="1"/>
  <c r="H202" i="1"/>
  <c r="E202" i="1"/>
  <c r="Y201" i="1"/>
  <c r="T201" i="1"/>
  <c r="P201" i="1"/>
  <c r="G201" i="1"/>
  <c r="H201" i="1"/>
  <c r="E201" i="1"/>
  <c r="AA200" i="1"/>
  <c r="Z200" i="1"/>
  <c r="Y200" i="1"/>
  <c r="U200" i="1"/>
  <c r="L200" i="1"/>
  <c r="G200" i="1"/>
  <c r="H200" i="1"/>
  <c r="E200" i="1"/>
  <c r="U199" i="1"/>
  <c r="Q199" i="1"/>
  <c r="L199" i="1"/>
  <c r="G199" i="1"/>
  <c r="H199" i="1"/>
  <c r="E199" i="1"/>
  <c r="L198" i="1"/>
  <c r="G198" i="1"/>
  <c r="H198" i="1"/>
  <c r="E198" i="1"/>
  <c r="O197" i="1"/>
  <c r="L197" i="1"/>
  <c r="G197" i="1"/>
  <c r="H197" i="1"/>
  <c r="E197" i="1"/>
  <c r="AD196" i="1"/>
  <c r="AC196" i="1"/>
  <c r="S196" i="1"/>
  <c r="R196" i="1"/>
  <c r="G196" i="1"/>
  <c r="H196" i="1"/>
  <c r="E196" i="1"/>
  <c r="L195" i="1"/>
  <c r="G195" i="1"/>
  <c r="H195" i="1"/>
  <c r="E195" i="1"/>
  <c r="L194" i="1"/>
  <c r="G194" i="1"/>
  <c r="H194" i="1"/>
  <c r="E194" i="1"/>
  <c r="L193" i="1"/>
  <c r="G193" i="1"/>
  <c r="H193" i="1"/>
  <c r="E193" i="1"/>
  <c r="AD192" i="1"/>
  <c r="AC192" i="1"/>
  <c r="S192" i="1"/>
  <c r="R192" i="1"/>
  <c r="L192" i="1"/>
  <c r="G192" i="1"/>
  <c r="H192" i="1"/>
  <c r="E192" i="1"/>
  <c r="T191" i="1"/>
  <c r="P191" i="1"/>
  <c r="N191" i="1"/>
  <c r="L191" i="1"/>
  <c r="G191" i="1"/>
  <c r="H191" i="1"/>
  <c r="E191" i="1"/>
  <c r="AA190" i="1"/>
  <c r="L190" i="1"/>
  <c r="G190" i="1"/>
  <c r="H190" i="1"/>
  <c r="E190" i="1"/>
  <c r="AD189" i="1"/>
  <c r="S189" i="1"/>
  <c r="R189" i="1"/>
  <c r="L189" i="1"/>
  <c r="G189" i="1"/>
  <c r="H189" i="1"/>
  <c r="E189" i="1"/>
  <c r="O188" i="1"/>
  <c r="L188" i="1"/>
  <c r="G188" i="1"/>
  <c r="H188" i="1"/>
  <c r="E188" i="1"/>
  <c r="U187" i="1"/>
  <c r="L187" i="1"/>
  <c r="G187" i="1"/>
  <c r="H187" i="1"/>
  <c r="E187" i="1"/>
  <c r="L186" i="1"/>
  <c r="G186" i="1"/>
  <c r="H186" i="1"/>
  <c r="E186" i="1"/>
  <c r="AD185" i="1"/>
  <c r="AC185" i="1"/>
  <c r="X185" i="1"/>
  <c r="W185" i="1"/>
  <c r="R185" i="1"/>
  <c r="L185" i="1"/>
  <c r="G185" i="1"/>
  <c r="H185" i="1"/>
  <c r="E185" i="1"/>
  <c r="L184" i="1"/>
  <c r="G184" i="1"/>
  <c r="H184" i="1"/>
  <c r="E184" i="1"/>
  <c r="L183" i="1"/>
  <c r="G183" i="1"/>
  <c r="H183" i="1"/>
  <c r="E183" i="1"/>
  <c r="U182" i="1"/>
  <c r="L182" i="1"/>
  <c r="G182" i="1"/>
  <c r="H182" i="1"/>
  <c r="E182" i="1"/>
  <c r="X181" i="1"/>
  <c r="W181" i="1"/>
  <c r="R181" i="1"/>
  <c r="L181" i="1"/>
  <c r="G181" i="1"/>
  <c r="H181" i="1"/>
  <c r="E181" i="1"/>
  <c r="AE180" i="1"/>
  <c r="AD180" i="1"/>
  <c r="AC180" i="1"/>
  <c r="T180" i="1"/>
  <c r="G180" i="1"/>
  <c r="H180" i="1"/>
  <c r="E180" i="1"/>
  <c r="U179" i="1"/>
  <c r="L179" i="1"/>
  <c r="G179" i="1"/>
  <c r="H179" i="1"/>
  <c r="E179" i="1"/>
  <c r="AD178" i="1"/>
  <c r="AC178" i="1"/>
  <c r="X178" i="1"/>
  <c r="W178" i="1"/>
  <c r="R178" i="1"/>
  <c r="L178" i="1"/>
  <c r="G178" i="1"/>
  <c r="H178" i="1"/>
  <c r="E178" i="1"/>
  <c r="M177" i="1"/>
  <c r="L177" i="1"/>
  <c r="G177" i="1"/>
  <c r="H177" i="1"/>
  <c r="E177" i="1"/>
  <c r="X176" i="1"/>
  <c r="W176" i="1"/>
  <c r="S176" i="1"/>
  <c r="R176" i="1"/>
  <c r="L176" i="1"/>
  <c r="G176" i="1"/>
  <c r="H176" i="1"/>
  <c r="E176" i="1"/>
  <c r="X175" i="1"/>
  <c r="S175" i="1"/>
  <c r="L175" i="1"/>
  <c r="G175" i="1"/>
  <c r="H175" i="1"/>
  <c r="E175" i="1"/>
  <c r="L174" i="1"/>
  <c r="G174" i="1"/>
  <c r="H174" i="1"/>
  <c r="E174" i="1"/>
  <c r="W173" i="1"/>
  <c r="S173" i="1"/>
  <c r="R173" i="1"/>
  <c r="L173" i="1"/>
  <c r="G173" i="1"/>
  <c r="H173" i="1"/>
  <c r="E173" i="1"/>
  <c r="M172" i="1"/>
  <c r="G172" i="1"/>
  <c r="H172" i="1"/>
  <c r="E172" i="1"/>
  <c r="T171" i="1"/>
  <c r="P171" i="1"/>
  <c r="L171" i="1"/>
  <c r="G171" i="1"/>
  <c r="H171" i="1"/>
  <c r="E171" i="1"/>
  <c r="M170" i="1"/>
  <c r="G170" i="1"/>
  <c r="H170" i="1"/>
  <c r="E170" i="1"/>
  <c r="L169" i="1"/>
  <c r="G169" i="1"/>
  <c r="H169" i="1"/>
  <c r="E169" i="1"/>
  <c r="L168" i="1"/>
  <c r="G168" i="1"/>
  <c r="H168" i="1"/>
  <c r="E168" i="1"/>
  <c r="O167" i="1"/>
  <c r="L167" i="1"/>
  <c r="G167" i="1"/>
  <c r="H167" i="1"/>
  <c r="E167" i="1"/>
  <c r="U166" i="1"/>
  <c r="L166" i="1"/>
  <c r="G166" i="1"/>
  <c r="H166" i="1"/>
  <c r="E166" i="1"/>
  <c r="AA165" i="1"/>
  <c r="Z165" i="1"/>
  <c r="Q165" i="1"/>
  <c r="G165" i="1"/>
  <c r="H165" i="1"/>
  <c r="E165" i="1"/>
  <c r="L164" i="1"/>
  <c r="G164" i="1"/>
  <c r="H164" i="1"/>
  <c r="E164" i="1"/>
  <c r="L163" i="1"/>
  <c r="G163" i="1"/>
  <c r="H163" i="1"/>
  <c r="E163" i="1"/>
  <c r="Y162" i="1"/>
  <c r="S162" i="1"/>
  <c r="R162" i="1"/>
  <c r="L162" i="1"/>
  <c r="G162" i="1"/>
  <c r="H162" i="1"/>
  <c r="E162" i="1"/>
  <c r="X161" i="1"/>
  <c r="W161" i="1"/>
  <c r="S161" i="1"/>
  <c r="R161" i="1"/>
  <c r="L161" i="1"/>
  <c r="G161" i="1"/>
  <c r="H161" i="1"/>
  <c r="E161" i="1"/>
  <c r="L160" i="1"/>
  <c r="G160" i="1"/>
  <c r="H160" i="1"/>
  <c r="E160" i="1"/>
  <c r="Z159" i="1"/>
  <c r="L159" i="1"/>
  <c r="G159" i="1"/>
  <c r="H159" i="1"/>
  <c r="E159" i="1"/>
  <c r="X158" i="1"/>
  <c r="S158" i="1"/>
  <c r="L158" i="1"/>
  <c r="G158" i="1"/>
  <c r="H158" i="1"/>
  <c r="E158" i="1"/>
  <c r="T157" i="1"/>
  <c r="P157" i="1"/>
  <c r="N157" i="1"/>
  <c r="G157" i="1"/>
  <c r="H157" i="1"/>
  <c r="E157" i="1"/>
  <c r="AB156" i="1"/>
  <c r="L156" i="1"/>
  <c r="G156" i="1"/>
  <c r="H156" i="1"/>
  <c r="E156" i="1"/>
  <c r="V155" i="1"/>
  <c r="Q155" i="1"/>
  <c r="L155" i="1"/>
  <c r="G155" i="1"/>
  <c r="H155" i="1"/>
  <c r="E155" i="1"/>
  <c r="U154" i="1"/>
  <c r="L154" i="1"/>
  <c r="G154" i="1"/>
  <c r="H154" i="1"/>
  <c r="E154" i="1"/>
  <c r="AA153" i="1"/>
  <c r="Z153" i="1"/>
  <c r="G153" i="1"/>
  <c r="H153" i="1"/>
  <c r="E153" i="1"/>
  <c r="T152" i="1"/>
  <c r="L152" i="1"/>
  <c r="G152" i="1"/>
  <c r="H152" i="1"/>
  <c r="E152" i="1"/>
  <c r="X151" i="1"/>
  <c r="S151" i="1"/>
  <c r="L151" i="1"/>
  <c r="G151" i="1"/>
  <c r="H151" i="1"/>
  <c r="E151" i="1"/>
  <c r="AB150" i="1"/>
  <c r="Y150" i="1"/>
  <c r="Q150" i="1"/>
  <c r="G150" i="1"/>
  <c r="H150" i="1"/>
  <c r="E150" i="1"/>
  <c r="L149" i="1"/>
  <c r="G149" i="1"/>
  <c r="H149" i="1"/>
  <c r="E149" i="1"/>
  <c r="AB148" i="1"/>
  <c r="Y148" i="1"/>
  <c r="T148" i="1"/>
  <c r="G148" i="1"/>
  <c r="H148" i="1"/>
  <c r="E148" i="1"/>
  <c r="AE147" i="1"/>
  <c r="AD147" i="1"/>
  <c r="AC147" i="1"/>
  <c r="W147" i="1"/>
  <c r="S147" i="1"/>
  <c r="R147" i="1"/>
  <c r="G147" i="1"/>
  <c r="H147" i="1"/>
  <c r="E147" i="1"/>
  <c r="O146" i="1"/>
  <c r="M146" i="1"/>
  <c r="G146" i="1"/>
  <c r="H146" i="1"/>
  <c r="E146" i="1"/>
  <c r="M145" i="1"/>
  <c r="G145" i="1"/>
  <c r="H145" i="1"/>
  <c r="E145" i="1"/>
  <c r="L144" i="1"/>
  <c r="G144" i="1"/>
  <c r="H144" i="1"/>
  <c r="E144" i="1"/>
  <c r="M143" i="1"/>
  <c r="G143" i="1"/>
  <c r="H143" i="1"/>
  <c r="E143" i="1"/>
  <c r="L142" i="1"/>
  <c r="G142" i="1"/>
  <c r="H142" i="1"/>
  <c r="E142" i="1"/>
  <c r="L141" i="1"/>
  <c r="G141" i="1"/>
  <c r="H141" i="1"/>
  <c r="E141" i="1"/>
  <c r="L140" i="1"/>
  <c r="G140" i="1"/>
  <c r="H140" i="1"/>
  <c r="E140" i="1"/>
  <c r="L139" i="1"/>
  <c r="G139" i="1"/>
  <c r="H139" i="1"/>
  <c r="E139" i="1"/>
  <c r="T138" i="1"/>
  <c r="N138" i="1"/>
  <c r="L138" i="1"/>
  <c r="G138" i="1"/>
  <c r="H138" i="1"/>
  <c r="E138" i="1"/>
  <c r="U137" i="1"/>
  <c r="Q137" i="1"/>
  <c r="L137" i="1"/>
  <c r="G137" i="1"/>
  <c r="H137" i="1"/>
  <c r="E137" i="1"/>
  <c r="M136" i="1"/>
  <c r="L136" i="1"/>
  <c r="G136" i="1"/>
  <c r="H136" i="1"/>
  <c r="E136" i="1"/>
  <c r="L135" i="1"/>
  <c r="G135" i="1"/>
  <c r="H135" i="1"/>
  <c r="E135" i="1"/>
  <c r="O134" i="1"/>
  <c r="M134" i="1"/>
  <c r="L134" i="1"/>
  <c r="G134" i="1"/>
  <c r="H134" i="1"/>
  <c r="E134" i="1"/>
  <c r="S133" i="1"/>
  <c r="L133" i="1"/>
  <c r="G133" i="1"/>
  <c r="H133" i="1"/>
  <c r="E133" i="1"/>
  <c r="U132" i="1"/>
  <c r="Q132" i="1"/>
  <c r="G132" i="1"/>
  <c r="H132" i="1"/>
  <c r="E132" i="1"/>
  <c r="Y131" i="1"/>
  <c r="L131" i="1"/>
  <c r="G131" i="1"/>
  <c r="H131" i="1"/>
  <c r="E131" i="1"/>
  <c r="L130" i="1"/>
  <c r="G130" i="1"/>
  <c r="H130" i="1"/>
  <c r="E130" i="1"/>
  <c r="M129" i="1"/>
  <c r="G129" i="1"/>
  <c r="H129" i="1"/>
  <c r="E129" i="1"/>
  <c r="Q128" i="1"/>
  <c r="L128" i="1"/>
  <c r="G128" i="1"/>
  <c r="H128" i="1"/>
  <c r="E128" i="1"/>
  <c r="V127" i="1"/>
  <c r="L127" i="1"/>
  <c r="G127" i="1"/>
  <c r="H127" i="1"/>
  <c r="E127" i="1"/>
  <c r="U126" i="1"/>
  <c r="Q126" i="1"/>
  <c r="L126" i="1"/>
  <c r="G126" i="1"/>
  <c r="H126" i="1"/>
  <c r="E126" i="1"/>
  <c r="Y125" i="1"/>
  <c r="G125" i="1"/>
  <c r="H125" i="1"/>
  <c r="E125" i="1"/>
  <c r="AD124" i="1"/>
  <c r="AC124" i="1"/>
  <c r="X124" i="1"/>
  <c r="W124" i="1"/>
  <c r="S124" i="1"/>
  <c r="R124" i="1"/>
  <c r="L124" i="1"/>
  <c r="G124" i="1"/>
  <c r="H124" i="1"/>
  <c r="E124" i="1"/>
  <c r="Y123" i="1"/>
  <c r="G123" i="1"/>
  <c r="H123" i="1"/>
  <c r="E123" i="1"/>
  <c r="L122" i="1"/>
  <c r="G122" i="1"/>
  <c r="H122" i="1"/>
  <c r="E122" i="1"/>
  <c r="W121" i="1"/>
  <c r="S121" i="1"/>
  <c r="R121" i="1"/>
  <c r="L121" i="1"/>
  <c r="G121" i="1"/>
  <c r="H121" i="1"/>
  <c r="E121" i="1"/>
  <c r="L120" i="1"/>
  <c r="G120" i="1"/>
  <c r="H120" i="1"/>
  <c r="E120" i="1"/>
  <c r="AB119" i="1"/>
  <c r="AA119" i="1"/>
  <c r="Z119" i="1"/>
  <c r="U119" i="1"/>
  <c r="L119" i="1"/>
  <c r="G119" i="1"/>
  <c r="H119" i="1"/>
  <c r="E119" i="1"/>
  <c r="AB118" i="1"/>
  <c r="AA118" i="1"/>
  <c r="Y118" i="1"/>
  <c r="U118" i="1"/>
  <c r="Q118" i="1"/>
  <c r="L118" i="1"/>
  <c r="G118" i="1"/>
  <c r="H118" i="1"/>
  <c r="E118" i="1"/>
  <c r="L117" i="1"/>
  <c r="G117" i="1"/>
  <c r="H117" i="1"/>
  <c r="E117" i="1"/>
  <c r="AE116" i="1"/>
  <c r="AC116" i="1"/>
  <c r="S116" i="1"/>
  <c r="L116" i="1"/>
  <c r="G116" i="1"/>
  <c r="H116" i="1"/>
  <c r="E116" i="1"/>
  <c r="M115" i="1"/>
  <c r="L115" i="1"/>
  <c r="G115" i="1"/>
  <c r="H115" i="1"/>
  <c r="E115" i="1"/>
  <c r="Y114" i="1"/>
  <c r="Q114" i="1"/>
  <c r="L114" i="1"/>
  <c r="G114" i="1"/>
  <c r="H114" i="1"/>
  <c r="E114" i="1"/>
  <c r="U113" i="1"/>
  <c r="L113" i="1"/>
  <c r="G113" i="1"/>
  <c r="H113" i="1"/>
  <c r="E113" i="1"/>
  <c r="L112" i="1"/>
  <c r="G112" i="1"/>
  <c r="H112" i="1"/>
  <c r="E112" i="1"/>
  <c r="L111" i="1"/>
  <c r="G111" i="1"/>
  <c r="H111" i="1"/>
  <c r="E111" i="1"/>
  <c r="AB110" i="1"/>
  <c r="Q110" i="1"/>
  <c r="L110" i="1"/>
  <c r="G110" i="1"/>
  <c r="H110" i="1"/>
  <c r="E110" i="1"/>
  <c r="L109" i="1"/>
  <c r="G109" i="1"/>
  <c r="H109" i="1"/>
  <c r="E109" i="1"/>
  <c r="T108" i="1"/>
  <c r="P108" i="1"/>
  <c r="N108" i="1"/>
  <c r="L108" i="1"/>
  <c r="G108" i="1"/>
  <c r="H108" i="1"/>
  <c r="E108" i="1"/>
  <c r="U107" i="1"/>
  <c r="Q107" i="1"/>
  <c r="L107" i="1"/>
  <c r="G107" i="1"/>
  <c r="H107" i="1"/>
  <c r="E107" i="1"/>
  <c r="AE106" i="1"/>
  <c r="AD106" i="1"/>
  <c r="AC106" i="1"/>
  <c r="AB106" i="1"/>
  <c r="T106" i="1"/>
  <c r="L106" i="1"/>
  <c r="G106" i="1"/>
  <c r="H106" i="1"/>
  <c r="E106" i="1"/>
  <c r="AE105" i="1"/>
  <c r="AD105" i="1"/>
  <c r="AC105" i="1"/>
  <c r="AB105" i="1"/>
  <c r="AA105" i="1"/>
  <c r="X105" i="1"/>
  <c r="W105" i="1"/>
  <c r="S105" i="1"/>
  <c r="R105" i="1"/>
  <c r="L105" i="1"/>
  <c r="G105" i="1"/>
  <c r="H105" i="1"/>
  <c r="E105" i="1"/>
  <c r="AA104" i="1"/>
  <c r="Z104" i="1"/>
  <c r="G104" i="1"/>
  <c r="H104" i="1"/>
  <c r="E104" i="1"/>
  <c r="U103" i="1"/>
  <c r="L103" i="1"/>
  <c r="G103" i="1"/>
  <c r="H103" i="1"/>
  <c r="E103" i="1"/>
  <c r="V102" i="1"/>
  <c r="L102" i="1"/>
  <c r="G102" i="1"/>
  <c r="H102" i="1"/>
  <c r="E102" i="1"/>
  <c r="AE101" i="1"/>
  <c r="AD101" i="1"/>
  <c r="AC101" i="1"/>
  <c r="AB101" i="1"/>
  <c r="W101" i="1"/>
  <c r="L101" i="1"/>
  <c r="G101" i="1"/>
  <c r="H101" i="1"/>
  <c r="E101" i="1"/>
  <c r="Y100" i="1"/>
  <c r="S100" i="1"/>
  <c r="L100" i="1"/>
  <c r="G100" i="1"/>
  <c r="H100" i="1"/>
  <c r="E100" i="1"/>
  <c r="U99" i="1"/>
  <c r="P99" i="1"/>
  <c r="L99" i="1"/>
  <c r="G99" i="1"/>
  <c r="H99" i="1"/>
  <c r="E99" i="1"/>
  <c r="L98" i="1"/>
  <c r="G98" i="1"/>
  <c r="H98" i="1"/>
  <c r="E98" i="1"/>
  <c r="L97" i="1"/>
  <c r="G97" i="1"/>
  <c r="H97" i="1"/>
  <c r="E97" i="1"/>
  <c r="O96" i="1"/>
  <c r="M96" i="1"/>
  <c r="L96" i="1"/>
  <c r="G96" i="1"/>
  <c r="H96" i="1"/>
  <c r="E96" i="1"/>
  <c r="AE95" i="1"/>
  <c r="AC95" i="1"/>
  <c r="X95" i="1"/>
  <c r="S95" i="1"/>
  <c r="L95" i="1"/>
  <c r="G95" i="1"/>
  <c r="H95" i="1"/>
  <c r="E95" i="1"/>
  <c r="S94" i="1"/>
  <c r="L94" i="1"/>
  <c r="G94" i="1"/>
  <c r="H94" i="1"/>
  <c r="E94" i="1"/>
  <c r="U93" i="1"/>
  <c r="T93" i="1"/>
  <c r="P93" i="1"/>
  <c r="N93" i="1"/>
  <c r="L93" i="1"/>
  <c r="G93" i="1"/>
  <c r="H93" i="1"/>
  <c r="E93" i="1"/>
  <c r="S92" i="1"/>
  <c r="L92" i="1"/>
  <c r="G92" i="1"/>
  <c r="H92" i="1"/>
  <c r="E92" i="1"/>
  <c r="L91" i="1"/>
  <c r="G91" i="1"/>
  <c r="H91" i="1"/>
  <c r="E91" i="1"/>
  <c r="AA90" i="1"/>
  <c r="U90" i="1"/>
  <c r="Q90" i="1"/>
  <c r="L90" i="1"/>
  <c r="G90" i="1"/>
  <c r="H90" i="1"/>
  <c r="E90" i="1"/>
  <c r="L89" i="1"/>
  <c r="G89" i="1"/>
  <c r="H89" i="1"/>
  <c r="E89" i="1"/>
  <c r="AE88" i="1"/>
  <c r="AD88" i="1"/>
  <c r="AC88" i="1"/>
  <c r="G88" i="1"/>
  <c r="H88" i="1"/>
  <c r="E88" i="1"/>
  <c r="AE87" i="1"/>
  <c r="AC87" i="1"/>
  <c r="AA87" i="1"/>
  <c r="Z87" i="1"/>
  <c r="L87" i="1"/>
  <c r="G87" i="1"/>
  <c r="H87" i="1"/>
  <c r="E87" i="1"/>
  <c r="U86" i="1"/>
  <c r="L86" i="1"/>
  <c r="G86" i="1"/>
  <c r="H86" i="1"/>
  <c r="E86" i="1"/>
  <c r="Y85" i="1"/>
  <c r="L85" i="1"/>
  <c r="G85" i="1"/>
  <c r="H85" i="1"/>
  <c r="E85" i="1"/>
  <c r="AB84" i="1"/>
  <c r="Q84" i="1"/>
  <c r="L84" i="1"/>
  <c r="G84" i="1"/>
  <c r="H84" i="1"/>
  <c r="E84" i="1"/>
  <c r="O83" i="1"/>
  <c r="M83" i="1"/>
  <c r="L83" i="1"/>
  <c r="G83" i="1"/>
  <c r="H83" i="1"/>
  <c r="E83" i="1"/>
  <c r="Y82" i="1"/>
  <c r="L82" i="1"/>
  <c r="G82" i="1"/>
  <c r="H82" i="1"/>
  <c r="E82" i="1"/>
  <c r="Y81" i="1"/>
  <c r="Q81" i="1"/>
  <c r="L81" i="1"/>
  <c r="G81" i="1"/>
  <c r="H81" i="1"/>
  <c r="E81" i="1"/>
  <c r="L80" i="1"/>
  <c r="G80" i="1"/>
  <c r="H80" i="1"/>
  <c r="E80" i="1"/>
  <c r="L79" i="1"/>
  <c r="G79" i="1"/>
  <c r="H79" i="1"/>
  <c r="E79" i="1"/>
  <c r="U78" i="1"/>
  <c r="T78" i="1"/>
  <c r="N78" i="1"/>
  <c r="L78" i="1"/>
  <c r="G78" i="1"/>
  <c r="H78" i="1"/>
  <c r="E78" i="1"/>
  <c r="T77" i="1"/>
  <c r="N77" i="1"/>
  <c r="L77" i="1"/>
  <c r="G77" i="1"/>
  <c r="H77" i="1"/>
  <c r="E77" i="1"/>
  <c r="AC76" i="1"/>
  <c r="X76" i="1"/>
  <c r="W76" i="1"/>
  <c r="S76" i="1"/>
  <c r="R76" i="1"/>
  <c r="L76" i="1"/>
  <c r="G76" i="1"/>
  <c r="H76" i="1"/>
  <c r="E76" i="1"/>
  <c r="Y75" i="1"/>
  <c r="L75" i="1"/>
  <c r="G75" i="1"/>
  <c r="H75" i="1"/>
  <c r="E75" i="1"/>
  <c r="L74" i="1"/>
  <c r="G74" i="1"/>
  <c r="H74" i="1"/>
  <c r="E74" i="1"/>
  <c r="L73" i="1"/>
  <c r="G73" i="1"/>
  <c r="H73" i="1"/>
  <c r="E73" i="1"/>
  <c r="L72" i="1"/>
  <c r="G72" i="1"/>
  <c r="H72" i="1"/>
  <c r="E72" i="1"/>
  <c r="U71" i="1"/>
  <c r="L71" i="1"/>
  <c r="G71" i="1"/>
  <c r="H71" i="1"/>
  <c r="E71" i="1"/>
  <c r="AE70" i="1"/>
  <c r="X70" i="1"/>
  <c r="S70" i="1"/>
  <c r="L70" i="1"/>
  <c r="G70" i="1"/>
  <c r="H70" i="1"/>
  <c r="E70" i="1"/>
  <c r="Q69" i="1"/>
  <c r="L69" i="1"/>
  <c r="G69" i="1"/>
  <c r="H69" i="1"/>
  <c r="E69" i="1"/>
  <c r="L68" i="1"/>
  <c r="G68" i="1"/>
  <c r="H68" i="1"/>
  <c r="E68" i="1"/>
  <c r="AE67" i="1"/>
  <c r="AC67" i="1"/>
  <c r="U67" i="1"/>
  <c r="T67" i="1"/>
  <c r="L67" i="1"/>
  <c r="G67" i="1"/>
  <c r="H67" i="1"/>
  <c r="E67" i="1"/>
  <c r="U66" i="1"/>
  <c r="L66" i="1"/>
  <c r="G66" i="1"/>
  <c r="H66" i="1"/>
  <c r="E66" i="1"/>
  <c r="AB65" i="1"/>
  <c r="Y65" i="1"/>
  <c r="Q65" i="1"/>
  <c r="L65" i="1"/>
  <c r="G65" i="1"/>
  <c r="H65" i="1"/>
  <c r="E65" i="1"/>
  <c r="L64" i="1"/>
  <c r="G64" i="1"/>
  <c r="H64" i="1"/>
  <c r="E64" i="1"/>
  <c r="L63" i="1"/>
  <c r="H63" i="1"/>
  <c r="E63" i="1"/>
  <c r="Y62" i="1"/>
  <c r="L62" i="1"/>
  <c r="G62" i="1"/>
  <c r="H62" i="1"/>
  <c r="E62" i="1"/>
  <c r="X61" i="1"/>
  <c r="S61" i="1"/>
  <c r="L61" i="1"/>
  <c r="G61" i="1"/>
  <c r="H61" i="1"/>
  <c r="E61" i="1"/>
  <c r="Y60" i="1"/>
  <c r="Q60" i="1"/>
  <c r="L60" i="1"/>
  <c r="G60" i="1"/>
  <c r="H60" i="1"/>
  <c r="E60" i="1"/>
  <c r="Y59" i="1"/>
  <c r="U59" i="1"/>
  <c r="L59" i="1"/>
  <c r="G59" i="1"/>
  <c r="H59" i="1"/>
  <c r="E59" i="1"/>
  <c r="AB58" i="1"/>
  <c r="AA58" i="1"/>
  <c r="Z58" i="1"/>
  <c r="Y58" i="1"/>
  <c r="L58" i="1"/>
  <c r="G58" i="1"/>
  <c r="H58" i="1"/>
  <c r="E58" i="1"/>
  <c r="AE57" i="1"/>
  <c r="AC57" i="1"/>
  <c r="X57" i="1"/>
  <c r="S57" i="1"/>
  <c r="L57" i="1"/>
  <c r="G57" i="1"/>
  <c r="H57" i="1"/>
  <c r="E57" i="1"/>
  <c r="V56" i="1"/>
  <c r="L56" i="1"/>
  <c r="G56" i="1"/>
  <c r="H56" i="1"/>
  <c r="E56" i="1"/>
  <c r="L55" i="1"/>
  <c r="G55" i="1"/>
  <c r="H55" i="1"/>
  <c r="E55" i="1"/>
  <c r="L54" i="1"/>
  <c r="G54" i="1"/>
  <c r="H54" i="1"/>
  <c r="E54" i="1"/>
  <c r="AE53" i="1"/>
  <c r="AD53" i="1"/>
  <c r="AC53" i="1"/>
  <c r="W53" i="1"/>
  <c r="S53" i="1"/>
  <c r="R53" i="1"/>
  <c r="G53" i="1"/>
  <c r="H53" i="1"/>
  <c r="E53" i="1"/>
  <c r="L52" i="1"/>
  <c r="G52" i="1"/>
  <c r="H52" i="1"/>
  <c r="E52" i="1"/>
  <c r="U51" i="1"/>
  <c r="L51" i="1"/>
  <c r="G51" i="1"/>
  <c r="H51" i="1"/>
  <c r="E51" i="1"/>
  <c r="AA50" i="1"/>
  <c r="Z50" i="1"/>
  <c r="Y50" i="1"/>
  <c r="L50" i="1"/>
  <c r="G50" i="1"/>
  <c r="H50" i="1"/>
  <c r="E50" i="1"/>
  <c r="AE49" i="1"/>
  <c r="AC49" i="1"/>
  <c r="Y49" i="1"/>
  <c r="T49" i="1"/>
  <c r="P49" i="1"/>
  <c r="N49" i="1"/>
  <c r="L49" i="1"/>
  <c r="G49" i="1"/>
  <c r="H49" i="1"/>
  <c r="E49" i="1"/>
  <c r="L48" i="1"/>
  <c r="G48" i="1"/>
  <c r="H48" i="1"/>
  <c r="E48" i="1"/>
  <c r="AB47" i="1"/>
  <c r="L47" i="1"/>
  <c r="G47" i="1"/>
  <c r="H47" i="1"/>
  <c r="E47" i="1"/>
  <c r="U46" i="1"/>
  <c r="Q46" i="1"/>
  <c r="L46" i="1"/>
  <c r="G46" i="1"/>
  <c r="H46" i="1"/>
  <c r="E46" i="1"/>
  <c r="AE45" i="1"/>
  <c r="AC45" i="1"/>
  <c r="Y45" i="1"/>
  <c r="L45" i="1"/>
  <c r="G45" i="1"/>
  <c r="H45" i="1"/>
  <c r="E45" i="1"/>
  <c r="T44" i="1"/>
  <c r="L44" i="1"/>
  <c r="G44" i="1"/>
  <c r="H44" i="1"/>
  <c r="E44" i="1"/>
  <c r="AA43" i="1"/>
  <c r="S43" i="1"/>
  <c r="L43" i="1"/>
  <c r="G43" i="1"/>
  <c r="H43" i="1"/>
  <c r="E43" i="1"/>
  <c r="T42" i="1"/>
  <c r="P42" i="1"/>
  <c r="N42" i="1"/>
  <c r="L42" i="1"/>
  <c r="G42" i="1"/>
  <c r="H42" i="1"/>
  <c r="E42" i="1"/>
  <c r="L41" i="1"/>
  <c r="G41" i="1"/>
  <c r="H41" i="1"/>
  <c r="E41" i="1"/>
  <c r="Y40" i="1"/>
  <c r="V40" i="1"/>
  <c r="Q40" i="1"/>
  <c r="L40" i="1"/>
  <c r="G40" i="1"/>
  <c r="H40" i="1"/>
  <c r="E40" i="1"/>
  <c r="AE39" i="1"/>
  <c r="AC39" i="1"/>
  <c r="AA39" i="1"/>
  <c r="Z39" i="1"/>
  <c r="Y39" i="1"/>
  <c r="X39" i="1"/>
  <c r="S39" i="1"/>
  <c r="L39" i="1"/>
  <c r="G39" i="1"/>
  <c r="H39" i="1"/>
  <c r="E39" i="1"/>
  <c r="Y38" i="1"/>
  <c r="X38" i="1"/>
  <c r="S38" i="1"/>
  <c r="L38" i="1"/>
  <c r="G38" i="1"/>
  <c r="H38" i="1"/>
  <c r="E38" i="1"/>
  <c r="L37" i="1"/>
  <c r="G37" i="1"/>
  <c r="H37" i="1"/>
  <c r="E37" i="1"/>
  <c r="Y36" i="1"/>
  <c r="U36" i="1"/>
  <c r="T36" i="1"/>
  <c r="P36" i="1"/>
  <c r="N36" i="1"/>
  <c r="L36" i="1"/>
  <c r="G36" i="1"/>
  <c r="H36" i="1"/>
  <c r="E36" i="1"/>
  <c r="AE35" i="1"/>
  <c r="AC35" i="1"/>
  <c r="U35" i="1"/>
  <c r="T35" i="1"/>
  <c r="P35" i="1"/>
  <c r="L35" i="1"/>
  <c r="G35" i="1"/>
  <c r="H35" i="1"/>
  <c r="E35" i="1"/>
  <c r="L34" i="1"/>
  <c r="G34" i="1"/>
  <c r="H34" i="1"/>
  <c r="E34" i="1"/>
  <c r="O33" i="1"/>
  <c r="M33" i="1"/>
  <c r="L33" i="1"/>
  <c r="G33" i="1"/>
  <c r="H33" i="1"/>
  <c r="E33" i="1"/>
  <c r="AE32" i="1"/>
  <c r="AC32" i="1"/>
  <c r="Y32" i="1"/>
  <c r="U32" i="1"/>
  <c r="T32" i="1"/>
  <c r="N32" i="1"/>
  <c r="L32" i="1"/>
  <c r="G32" i="1"/>
  <c r="H32" i="1"/>
  <c r="E32" i="1"/>
  <c r="AE31" i="1"/>
  <c r="AC31" i="1"/>
  <c r="X31" i="1"/>
  <c r="S31" i="1"/>
  <c r="L31" i="1"/>
  <c r="G31" i="1"/>
  <c r="H31" i="1"/>
  <c r="E31" i="1"/>
  <c r="X30" i="1"/>
  <c r="S30" i="1"/>
  <c r="L30" i="1"/>
  <c r="G30" i="1"/>
  <c r="H30" i="1"/>
  <c r="E30" i="1"/>
  <c r="L29" i="1"/>
  <c r="G29" i="1"/>
  <c r="H29" i="1"/>
  <c r="E29" i="1"/>
  <c r="U28" i="1"/>
  <c r="L28" i="1"/>
  <c r="G28" i="1"/>
  <c r="H28" i="1"/>
  <c r="E28" i="1"/>
  <c r="AC27" i="1"/>
  <c r="AB27" i="1"/>
  <c r="Y27" i="1"/>
  <c r="X27" i="1"/>
  <c r="S27" i="1"/>
  <c r="L27" i="1"/>
  <c r="G27" i="1"/>
  <c r="H27" i="1"/>
  <c r="E27" i="1"/>
  <c r="T26" i="1"/>
  <c r="P26" i="1"/>
  <c r="N26" i="1"/>
  <c r="L26" i="1"/>
  <c r="G26" i="1"/>
  <c r="H26" i="1"/>
  <c r="E26" i="1"/>
  <c r="T25" i="1"/>
  <c r="P25" i="1"/>
  <c r="N25" i="1"/>
  <c r="L25" i="1"/>
  <c r="G25" i="1"/>
  <c r="H25" i="1"/>
  <c r="E25" i="1"/>
  <c r="AE24" i="1"/>
  <c r="AC24" i="1"/>
  <c r="T24" i="1"/>
  <c r="P24" i="1"/>
  <c r="N24" i="1"/>
  <c r="L24" i="1"/>
  <c r="G24" i="1"/>
  <c r="H24" i="1"/>
  <c r="E24" i="1"/>
  <c r="U23" i="1"/>
  <c r="L23" i="1"/>
  <c r="G23" i="1"/>
  <c r="H23" i="1"/>
  <c r="E23" i="1"/>
  <c r="AB22" i="1"/>
  <c r="Y22" i="1"/>
  <c r="T22" i="1"/>
  <c r="P22" i="1"/>
  <c r="N22" i="1"/>
  <c r="L22" i="1"/>
  <c r="G22" i="1"/>
  <c r="H22" i="1"/>
  <c r="E22" i="1"/>
  <c r="AB21" i="1"/>
  <c r="AA21" i="1"/>
  <c r="Z21" i="1"/>
  <c r="U21" i="1"/>
  <c r="Q21" i="1"/>
  <c r="L21" i="1"/>
  <c r="G21" i="1"/>
  <c r="H21" i="1"/>
  <c r="E21" i="1"/>
  <c r="AE20" i="1"/>
  <c r="AC20" i="1"/>
  <c r="X20" i="1"/>
  <c r="S20" i="1"/>
  <c r="L20" i="1"/>
  <c r="G20" i="1"/>
  <c r="H20" i="1"/>
  <c r="E20" i="1"/>
  <c r="U19" i="1"/>
  <c r="Q19" i="1"/>
  <c r="L19" i="1"/>
  <c r="G19" i="1"/>
  <c r="H19" i="1"/>
  <c r="E19" i="1"/>
  <c r="AC18" i="1"/>
  <c r="W18" i="1"/>
  <c r="S18" i="1"/>
  <c r="L18" i="1"/>
  <c r="G18" i="1"/>
  <c r="H18" i="1"/>
  <c r="E18" i="1"/>
  <c r="AA17" i="1"/>
  <c r="Z17" i="1"/>
  <c r="Y17" i="1"/>
  <c r="U17" i="1"/>
  <c r="L17" i="1"/>
  <c r="G17" i="1"/>
  <c r="H17" i="1"/>
  <c r="E17" i="1"/>
  <c r="AE16" i="1"/>
  <c r="AC16" i="1"/>
  <c r="T16" i="1"/>
  <c r="P16" i="1"/>
  <c r="N16" i="1"/>
  <c r="L16" i="1"/>
  <c r="G16" i="1"/>
  <c r="H16" i="1"/>
  <c r="E16" i="1"/>
  <c r="AE15" i="1"/>
  <c r="AD15" i="1"/>
  <c r="AC15" i="1"/>
  <c r="T15" i="1"/>
  <c r="P15" i="1"/>
  <c r="N15" i="1"/>
  <c r="L15" i="1"/>
  <c r="G15" i="1"/>
  <c r="H15" i="1"/>
  <c r="E15" i="1"/>
  <c r="P14" i="1"/>
  <c r="N14" i="1"/>
  <c r="L14" i="1"/>
  <c r="G14" i="1"/>
  <c r="H14" i="1"/>
  <c r="E14" i="1"/>
  <c r="AE13" i="1"/>
  <c r="AD13" i="1"/>
  <c r="AC13" i="1"/>
  <c r="X13" i="1"/>
  <c r="W13" i="1"/>
  <c r="S13" i="1"/>
  <c r="R13" i="1"/>
  <c r="L13" i="1"/>
  <c r="G13" i="1"/>
  <c r="H13" i="1"/>
  <c r="E13" i="1"/>
  <c r="AE12" i="1"/>
  <c r="AD12" i="1"/>
  <c r="AC12" i="1"/>
  <c r="AA12" i="1"/>
  <c r="Z12" i="1"/>
  <c r="G12" i="1"/>
  <c r="H12" i="1"/>
  <c r="E12" i="1"/>
  <c r="L11" i="1"/>
  <c r="G11" i="1"/>
  <c r="H11" i="1"/>
  <c r="E11" i="1"/>
  <c r="AE10" i="1"/>
  <c r="AD10" i="1"/>
  <c r="AC10" i="1"/>
  <c r="S10" i="1"/>
  <c r="R10" i="1"/>
  <c r="L10" i="1"/>
  <c r="G10" i="1"/>
  <c r="H10" i="1"/>
  <c r="E10" i="1"/>
  <c r="S9" i="1"/>
  <c r="R9" i="1"/>
  <c r="L9" i="1"/>
  <c r="G9" i="1"/>
  <c r="H9" i="1"/>
  <c r="E9" i="1"/>
  <c r="AE8" i="1"/>
  <c r="AD8" i="1"/>
  <c r="AC8" i="1"/>
  <c r="X8" i="1"/>
  <c r="W8" i="1"/>
  <c r="S8" i="1"/>
  <c r="R8" i="1"/>
  <c r="L8" i="1"/>
  <c r="G8" i="1"/>
  <c r="H8" i="1"/>
  <c r="E8" i="1"/>
  <c r="L7" i="1"/>
  <c r="G7" i="1"/>
  <c r="H7" i="1"/>
  <c r="E7" i="1"/>
  <c r="L6" i="1"/>
  <c r="G6" i="1"/>
  <c r="H6" i="1"/>
  <c r="E6" i="1"/>
  <c r="AE5" i="1"/>
  <c r="AC5" i="1"/>
  <c r="X5" i="1"/>
  <c r="W5" i="1"/>
  <c r="S5" i="1"/>
  <c r="R5" i="1"/>
  <c r="L5" i="1"/>
  <c r="G5" i="1"/>
  <c r="H5" i="1"/>
  <c r="E5" i="1"/>
  <c r="U4" i="1"/>
  <c r="L4" i="1"/>
  <c r="G4" i="1"/>
  <c r="H4" i="1"/>
  <c r="E4" i="1"/>
  <c r="L3" i="1"/>
  <c r="G3" i="1"/>
  <c r="H3" i="1"/>
  <c r="E3" i="1"/>
</calcChain>
</file>

<file path=xl/sharedStrings.xml><?xml version="1.0" encoding="utf-8"?>
<sst xmlns="http://schemas.openxmlformats.org/spreadsheetml/2006/main" count="859" uniqueCount="438">
  <si>
    <t>女子(SL)</t>
  </si>
  <si>
    <t>2015-2016</t>
  </si>
  <si>
    <t>大会PP</t>
    <rPh sb="0" eb="2">
      <t>タイカイ</t>
    </rPh>
    <phoneticPr fontId="2"/>
  </si>
  <si>
    <t>順位</t>
  </si>
  <si>
    <t>SAT競技者番号</t>
  </si>
  <si>
    <t>選手氏名</t>
  </si>
  <si>
    <t>団体名</t>
  </si>
  <si>
    <t>期中ポイント</t>
  </si>
  <si>
    <t>期中Fig</t>
  </si>
  <si>
    <t>調整前</t>
    <rPh sb="0" eb="2">
      <t>チョウセイ</t>
    </rPh>
    <rPh sb="2" eb="3">
      <t>マエ</t>
    </rPh>
    <phoneticPr fontId="2"/>
  </si>
  <si>
    <t>期末ポイント</t>
  </si>
  <si>
    <t>期末Fig</t>
  </si>
  <si>
    <t>適用パターン</t>
  </si>
  <si>
    <t>最終登録年度</t>
  </si>
  <si>
    <t>前年度ポイント</t>
  </si>
  <si>
    <t>⑥関東チルドレン２（木島） 女子Ａ・Ｂ・Ｋ１</t>
    <phoneticPr fontId="2"/>
  </si>
  <si>
    <t>⑥関東チルドレン２（木島） 女子Ｋ２</t>
    <phoneticPr fontId="2"/>
  </si>
  <si>
    <t>⑦　関東チルドレン 女子Ｋ１</t>
  </si>
  <si>
    <t>⑦　関東チルドレン 女子Ｋ２</t>
  </si>
  <si>
    <t>⑧関東マスターズ（野沢） 女子</t>
    <phoneticPr fontId="2"/>
  </si>
  <si>
    <t>⑯全国高校予選（選考会） 女子</t>
    <phoneticPr fontId="2"/>
  </si>
  <si>
    <t>⑯全国高校予選（本大会） 女子</t>
    <phoneticPr fontId="2"/>
  </si>
  <si>
    <t>⑰　全中予選 女子</t>
  </si>
  <si>
    <t>⑱　ＷＳＣ選手権 女子</t>
  </si>
  <si>
    <t>⑱　ＷＳＣ選手権 女子Ｍ</t>
  </si>
  <si>
    <t>⑲　都高校（選考会） 女子</t>
  </si>
  <si>
    <t>⑲　都高校（本大会） 女子</t>
  </si>
  <si>
    <t>⑳　野辺山 女子</t>
  </si>
  <si>
    <t>㉑フソウＣｕｐ（第一戦） 女子</t>
    <phoneticPr fontId="2"/>
  </si>
  <si>
    <t>㉑フソウＣｕｐ（第ニ戦） 女子</t>
    <phoneticPr fontId="2"/>
  </si>
  <si>
    <t>㉒アルペン複合 女子</t>
    <phoneticPr fontId="2"/>
  </si>
  <si>
    <t>㉓春季高校（競技会） 女子</t>
    <rPh sb="1" eb="3">
      <t>シュンキ</t>
    </rPh>
    <phoneticPr fontId="2"/>
  </si>
  <si>
    <t>㉓春季高校（選考会） 女子</t>
    <rPh sb="1" eb="3">
      <t>シュンキ</t>
    </rPh>
    <phoneticPr fontId="2"/>
  </si>
  <si>
    <t>㉓春季高校（本大会） 女子</t>
    <rPh sb="1" eb="3">
      <t>シュンキ</t>
    </rPh>
    <phoneticPr fontId="2"/>
  </si>
  <si>
    <t>小俣 優香</t>
  </si>
  <si>
    <t>ラッチ（RACH)</t>
  </si>
  <si>
    <t>*</t>
  </si>
  <si>
    <t>齋藤 夏実</t>
  </si>
  <si>
    <t>①</t>
  </si>
  <si>
    <t>石渡 実香</t>
  </si>
  <si>
    <t>東京都高等学校体育連盟スキー部</t>
  </si>
  <si>
    <t>山口 ゆい</t>
  </si>
  <si>
    <t>栗山 夏美</t>
  </si>
  <si>
    <t>八王子スキー連盟</t>
  </si>
  <si>
    <t>鈴木 奈渚</t>
  </si>
  <si>
    <t>中渡 智香</t>
  </si>
  <si>
    <t>鈴木 さくら</t>
  </si>
  <si>
    <t>渡辺 真夕</t>
  </si>
  <si>
    <t>立石 佳帆</t>
  </si>
  <si>
    <t>鎌田 優衣</t>
  </si>
  <si>
    <t>ジューディッチ マリアキアラ</t>
  </si>
  <si>
    <t>カンダハートライブ レーシング</t>
  </si>
  <si>
    <t>市川 紗理奈</t>
  </si>
  <si>
    <t>東京都中学校体育連盟スキー部</t>
  </si>
  <si>
    <t>平野 沙織</t>
  </si>
  <si>
    <t>立野 里佳</t>
  </si>
  <si>
    <t>ディップス スキークラブ</t>
  </si>
  <si>
    <t>岩崎 愛</t>
  </si>
  <si>
    <t>萩野 真由子</t>
  </si>
  <si>
    <t>サンダーグスキークラブ</t>
  </si>
  <si>
    <t>佐藤 舞祐</t>
  </si>
  <si>
    <t>吉澤 恭子</t>
  </si>
  <si>
    <t>エーデル・スキー・クラブ</t>
  </si>
  <si>
    <t>齊藤 瑚子</t>
  </si>
  <si>
    <t>福山 駒千</t>
  </si>
  <si>
    <t>東京カモシカスキークラブ</t>
  </si>
  <si>
    <t>佐々木 茜</t>
  </si>
  <si>
    <t>渡邊 倭</t>
  </si>
  <si>
    <t>大川 瑚夏</t>
  </si>
  <si>
    <t>齊藤 友風</t>
  </si>
  <si>
    <t>森川 順子</t>
  </si>
  <si>
    <t>武蔵野市スキー連盟</t>
  </si>
  <si>
    <t>金綱 志保</t>
  </si>
  <si>
    <t>ＩＣＩ石井スポーツスキークラブ</t>
  </si>
  <si>
    <t>鈴木 美冬</t>
  </si>
  <si>
    <t>藤田 稀美</t>
  </si>
  <si>
    <t>寺﨑 涼香</t>
  </si>
  <si>
    <t>楠本 夏花</t>
  </si>
  <si>
    <t>日高 絵梨香</t>
  </si>
  <si>
    <t>練馬区スキー協会</t>
  </si>
  <si>
    <t>荻野 咲子</t>
  </si>
  <si>
    <t>西沢 菜央</t>
  </si>
  <si>
    <t>加藤 めぐみ</t>
  </si>
  <si>
    <t>ティンバーライン</t>
  </si>
  <si>
    <t>山下 真衣亜</t>
  </si>
  <si>
    <t>中川 碧恵</t>
  </si>
  <si>
    <t>坂井 真由美</t>
  </si>
  <si>
    <t>野辺山スキークラブ</t>
  </si>
  <si>
    <t>室田 陽子</t>
  </si>
  <si>
    <t>ＵＮＯスキークラブ</t>
  </si>
  <si>
    <t>梅園 紗也夏</t>
  </si>
  <si>
    <t>小林 由</t>
  </si>
  <si>
    <t>高原 里歩</t>
  </si>
  <si>
    <t>山下 栄海由</t>
  </si>
  <si>
    <t>中谷 順子</t>
  </si>
  <si>
    <t>スノースケープ</t>
  </si>
  <si>
    <t>南久松 奈々</t>
  </si>
  <si>
    <t>エスプーマスキーチーム</t>
  </si>
  <si>
    <t>村岡 美紀</t>
  </si>
  <si>
    <t>渋谷区スキー連盟</t>
  </si>
  <si>
    <t>鈴木 眞乃</t>
  </si>
  <si>
    <t>中田 萌</t>
  </si>
  <si>
    <t>山口 彩希</t>
  </si>
  <si>
    <t>杉並区スキー連盟</t>
  </si>
  <si>
    <t>藤田 捺稀</t>
  </si>
  <si>
    <t>日本アルペンスキークラブ</t>
  </si>
  <si>
    <t>寶田 奈緒</t>
  </si>
  <si>
    <t>鈴木 彩香</t>
  </si>
  <si>
    <t>ジャスク</t>
  </si>
  <si>
    <t>中村 晶子</t>
  </si>
  <si>
    <t>ＮＥＣ府中スキー部</t>
  </si>
  <si>
    <t>杉浦 智恵</t>
  </si>
  <si>
    <t>スラロームスキークラブ</t>
  </si>
  <si>
    <t>船田 美咲</t>
  </si>
  <si>
    <t>穴井 まきこ</t>
  </si>
  <si>
    <t>ゲインレーシングチーム</t>
  </si>
  <si>
    <t>深沢 かおり</t>
  </si>
  <si>
    <t>ホリディスキークラブ</t>
  </si>
  <si>
    <t>大髙 千絵</t>
  </si>
  <si>
    <t>栗原 睦美</t>
  </si>
  <si>
    <t>井田 詩織</t>
  </si>
  <si>
    <t>三鷹市スキー連盟</t>
  </si>
  <si>
    <t>中島 聖生</t>
  </si>
  <si>
    <t>〇</t>
    <phoneticPr fontId="2"/>
  </si>
  <si>
    <t>鈴木 優里</t>
  </si>
  <si>
    <t>東京アマチュア・スキー・クラブ</t>
  </si>
  <si>
    <t>伊藤 康代</t>
  </si>
  <si>
    <t>ＭＡＸＩＭＵＭスキーチーム</t>
  </si>
  <si>
    <t>市川 美枝子</t>
  </si>
  <si>
    <t>若葉スキークラブ</t>
  </si>
  <si>
    <t>小倉 悠穂</t>
  </si>
  <si>
    <t>狩野 ゆりえ</t>
  </si>
  <si>
    <t>成城スキークラブ</t>
  </si>
  <si>
    <t>川上 真佐子</t>
  </si>
  <si>
    <t>荒川区スキー連盟</t>
  </si>
  <si>
    <t>西沢 優佳里</t>
  </si>
  <si>
    <t>大金 昭子</t>
  </si>
  <si>
    <t>北区スキー連盟</t>
  </si>
  <si>
    <t>阿部 莉沙子</t>
  </si>
  <si>
    <t>グランバン・レーシング</t>
  </si>
  <si>
    <t>宮嶋 有紀子</t>
  </si>
  <si>
    <t>二十日石アルペンスキークラブ</t>
  </si>
  <si>
    <t>制野 千賀子</t>
  </si>
  <si>
    <t>渕脇 達代</t>
  </si>
  <si>
    <t>アロースキークラブ</t>
  </si>
  <si>
    <t>谷合 海南</t>
  </si>
  <si>
    <t>福岡 真子</t>
  </si>
  <si>
    <t>小野崎 萌</t>
  </si>
  <si>
    <t>工藤 莉里</t>
  </si>
  <si>
    <t>吉村 菜々子</t>
  </si>
  <si>
    <t>宮本 香苗</t>
  </si>
  <si>
    <t>増田 真実子</t>
  </si>
  <si>
    <t>東京スキー研究会</t>
  </si>
  <si>
    <t>保坂 花</t>
  </si>
  <si>
    <t>アスペンスキークラブ</t>
  </si>
  <si>
    <t>福原 眞澄</t>
  </si>
  <si>
    <t>世田谷区スキー協会</t>
  </si>
  <si>
    <t>吉田 絢音</t>
  </si>
  <si>
    <t>東京デフスキークラブ</t>
  </si>
  <si>
    <t>渡辺 紗矢</t>
  </si>
  <si>
    <t>アールビー　トウキョウ</t>
  </si>
  <si>
    <t>峯岸 茜</t>
  </si>
  <si>
    <t>樋田 葵</t>
  </si>
  <si>
    <t>岩本 のぞみ</t>
  </si>
  <si>
    <t>笠間 敏江</t>
  </si>
  <si>
    <t>新宿スキークラブ</t>
  </si>
  <si>
    <t>石原 南</t>
  </si>
  <si>
    <t>柳 志恵</t>
  </si>
  <si>
    <t>荻野 奈々子</t>
  </si>
  <si>
    <t>野上 結季乃</t>
  </si>
  <si>
    <t>杉山 未彩</t>
  </si>
  <si>
    <t>小林 香乃子</t>
  </si>
  <si>
    <t>武蔵村山スキー協会</t>
  </si>
  <si>
    <t>西川 桜子</t>
  </si>
  <si>
    <t>染谷 雪恵</t>
  </si>
  <si>
    <t>エスプリレーシング</t>
  </si>
  <si>
    <t>堤 愛理</t>
  </si>
  <si>
    <t>松山 暁</t>
  </si>
  <si>
    <t>稲垣 由奈</t>
  </si>
  <si>
    <t>松本 キヨ子</t>
  </si>
  <si>
    <t>谷 紀子</t>
  </si>
  <si>
    <t>日立製作所本社スキー部</t>
  </si>
  <si>
    <t>岡村 彩加</t>
  </si>
  <si>
    <t>室橋 美早紀</t>
  </si>
  <si>
    <t>宇田川 藍</t>
  </si>
  <si>
    <t>大屋 佳子</t>
  </si>
  <si>
    <t>特別区職員文化体育会スキー部</t>
  </si>
  <si>
    <t>齋藤 きらり</t>
  </si>
  <si>
    <t>栗本 ゆう子</t>
  </si>
  <si>
    <t>ヌプリスキー同人</t>
  </si>
  <si>
    <t>蟹澤 初美</t>
  </si>
  <si>
    <t>藤原 明香</t>
  </si>
  <si>
    <t>東京ベーレンスキークラブ</t>
  </si>
  <si>
    <t>大橋 史華</t>
  </si>
  <si>
    <t>清瀬スキー倶楽部</t>
  </si>
  <si>
    <t>松本 亜希子</t>
  </si>
  <si>
    <t>浅貝スキークラブ</t>
  </si>
  <si>
    <t>武井 久子</t>
  </si>
  <si>
    <t>チーム・ビートゥー・ゼット</t>
  </si>
  <si>
    <t>塩原 鈴明</t>
  </si>
  <si>
    <t>松田 瑞稀</t>
  </si>
  <si>
    <t>鎌田 理緒</t>
  </si>
  <si>
    <t>酒井 あすか</t>
  </si>
  <si>
    <t>チロルスキークラブ</t>
  </si>
  <si>
    <t>城田 千晶</t>
  </si>
  <si>
    <t>上村 貴代子</t>
  </si>
  <si>
    <t>佃 瞳子</t>
  </si>
  <si>
    <t>坂内 恭子</t>
  </si>
  <si>
    <t>木下 奈々</t>
  </si>
  <si>
    <t>チーム　ラッシュ</t>
  </si>
  <si>
    <t>高橋 佑佳</t>
  </si>
  <si>
    <t>藤田 美怜</t>
  </si>
  <si>
    <t>干場 智子</t>
  </si>
  <si>
    <t>深澤 睦子</t>
  </si>
  <si>
    <t>トルベ・コムラード</t>
  </si>
  <si>
    <t>三橋 恵</t>
  </si>
  <si>
    <t>難波 さくら</t>
  </si>
  <si>
    <t>太田 ゆかり</t>
  </si>
  <si>
    <t>東京燕スキー倶楽部</t>
  </si>
  <si>
    <t>遠藤 美紗希</t>
  </si>
  <si>
    <t>才野木 緑</t>
  </si>
  <si>
    <t>田島 南海</t>
  </si>
  <si>
    <t>中島 翠生</t>
  </si>
  <si>
    <t>野尻 幸子</t>
  </si>
  <si>
    <t>中冨 結衣</t>
  </si>
  <si>
    <t>篠塚 しのぶ</t>
  </si>
  <si>
    <t>スキーチームアスリート</t>
  </si>
  <si>
    <t>大門 由真</t>
  </si>
  <si>
    <t>岩朝 恵美</t>
  </si>
  <si>
    <t>ユーエスエムアール</t>
  </si>
  <si>
    <t>井上 樹</t>
  </si>
  <si>
    <t>中村 ちむり</t>
  </si>
  <si>
    <t>芦垣 綾菜</t>
  </si>
  <si>
    <t>原田 朱莉</t>
  </si>
  <si>
    <t>金原 珠恵</t>
  </si>
  <si>
    <t>トラームスキークラブ</t>
  </si>
  <si>
    <t>青木 愛</t>
  </si>
  <si>
    <t>島田 ティナ</t>
  </si>
  <si>
    <t>後藤 優里</t>
  </si>
  <si>
    <t>宮澤 莉子</t>
  </si>
  <si>
    <t>児玉 千尋</t>
  </si>
  <si>
    <t>小沼 有見佳</t>
  </si>
  <si>
    <t>松尾 有紗</t>
  </si>
  <si>
    <t>米勢 マイノ</t>
  </si>
  <si>
    <t>稲田 京香</t>
  </si>
  <si>
    <t>小松 晴美</t>
  </si>
  <si>
    <t>メティースキークラブ</t>
  </si>
  <si>
    <t>谷 寿子</t>
  </si>
  <si>
    <t>三田ディモンズクラブ</t>
  </si>
  <si>
    <t>高橋 里絵子</t>
  </si>
  <si>
    <t>德重 舞</t>
  </si>
  <si>
    <t>八代 桃香</t>
  </si>
  <si>
    <t>斉藤 絵美子</t>
  </si>
  <si>
    <t>大田区役所スキー部</t>
  </si>
  <si>
    <t>平野 まみ</t>
  </si>
  <si>
    <t>伊藤 美紅</t>
  </si>
  <si>
    <t>設樂 英里子</t>
  </si>
  <si>
    <t>小山 かやの</t>
  </si>
  <si>
    <t>雪桜会</t>
  </si>
  <si>
    <t>亀井 心葉</t>
  </si>
  <si>
    <t>アカデミースキークラブ</t>
  </si>
  <si>
    <t>山田 道子</t>
  </si>
  <si>
    <t>竹内 尚美</t>
  </si>
  <si>
    <t>渋谷 咲綺</t>
  </si>
  <si>
    <t>國生 暢子</t>
  </si>
  <si>
    <t>板橋区スキー協会</t>
  </si>
  <si>
    <t>鈴木 木美</t>
  </si>
  <si>
    <t>眞鍋 栞梨</t>
  </si>
  <si>
    <t>渡辺 ひかる</t>
  </si>
  <si>
    <t>坂 沙希子</t>
  </si>
  <si>
    <t>小原 万理恵</t>
  </si>
  <si>
    <t>太田 美子</t>
  </si>
  <si>
    <t>村上 小雪</t>
  </si>
  <si>
    <t>安間 万智</t>
  </si>
  <si>
    <t>村上 明日香</t>
  </si>
  <si>
    <t>バディスポーツクラブ</t>
  </si>
  <si>
    <t>天野 美奈</t>
  </si>
  <si>
    <t>澤田 陽子</t>
  </si>
  <si>
    <t>ブランシェリースキー クローブ</t>
  </si>
  <si>
    <t>奥田 淑乃</t>
  </si>
  <si>
    <t>米本 彩乃</t>
  </si>
  <si>
    <t>柳島 理佐子</t>
  </si>
  <si>
    <t>天川 有美</t>
  </si>
  <si>
    <t>三井 睦貴</t>
  </si>
  <si>
    <t>井上 彩衣</t>
  </si>
  <si>
    <t>後藤 美裕</t>
  </si>
  <si>
    <t>シュアスキークラブ</t>
  </si>
  <si>
    <t>上平 梢</t>
  </si>
  <si>
    <t>磯﨑 貴奈</t>
  </si>
  <si>
    <t>朝里 梨世</t>
  </si>
  <si>
    <t>楫野 美穂</t>
  </si>
  <si>
    <t>白馬スキークラブ</t>
  </si>
  <si>
    <t>永瀬 姫菜</t>
  </si>
  <si>
    <t>石山 美花</t>
  </si>
  <si>
    <t>星田 慶子</t>
  </si>
  <si>
    <t>鹿島 幸枝</t>
  </si>
  <si>
    <t>石井 裕子</t>
  </si>
  <si>
    <t>フロイデ・シー・グルッペ</t>
  </si>
  <si>
    <t>石井 雅萌</t>
  </si>
  <si>
    <t>峯岸 舞</t>
  </si>
  <si>
    <t>金子 奈央</t>
  </si>
  <si>
    <t>吉岡 ゆかり</t>
  </si>
  <si>
    <t>落合 麻理子</t>
  </si>
  <si>
    <t>ヴァイス・ホルン</t>
  </si>
  <si>
    <t>森岡 真希奈</t>
  </si>
  <si>
    <t>松山 麻理</t>
  </si>
  <si>
    <t>石野 ちはる</t>
  </si>
  <si>
    <t>花岡 嘉奈子</t>
  </si>
  <si>
    <t>花岡 由依子</t>
  </si>
  <si>
    <t>稲葉 みずき</t>
  </si>
  <si>
    <t>小野山 耶子</t>
  </si>
  <si>
    <t>辻 あき江</t>
  </si>
  <si>
    <t>大越 春佳</t>
  </si>
  <si>
    <t>野上 千尋</t>
  </si>
  <si>
    <t>武富 零央</t>
  </si>
  <si>
    <t>ツィールトウキョウ（Ｚieｌ Tokyo)</t>
  </si>
  <si>
    <t>佐々木 青葉</t>
  </si>
  <si>
    <t>髙橋 麻佑</t>
  </si>
  <si>
    <t>小林 由紀子</t>
  </si>
  <si>
    <t>東京スポーツマンクラブ</t>
  </si>
  <si>
    <t>髙井 奏乃</t>
  </si>
  <si>
    <t>細田 光希</t>
  </si>
  <si>
    <t>チームディーエルベーハースキークラブ</t>
  </si>
  <si>
    <t>五十嵐 理紗</t>
  </si>
  <si>
    <t>猪野 愛梨亜</t>
  </si>
  <si>
    <t>佃 柊子</t>
  </si>
  <si>
    <t>池田 麻衣</t>
  </si>
  <si>
    <t>城ヶ崎 小都</t>
  </si>
  <si>
    <t>山田 千陽</t>
  </si>
  <si>
    <t>ホワイト・ベア・クラブ</t>
  </si>
  <si>
    <t>中桐 悠夏</t>
  </si>
  <si>
    <t>土志田 理佐</t>
  </si>
  <si>
    <t>渡部 小乃葉</t>
  </si>
  <si>
    <t>モンタナスキークラブ</t>
  </si>
  <si>
    <t>長谷川 敬子</t>
  </si>
  <si>
    <t>ＫＤＤＩスキークラブ</t>
  </si>
  <si>
    <t>辻口 由奈</t>
  </si>
  <si>
    <t>岡田 加苗</t>
  </si>
  <si>
    <t>大矢 優樹</t>
  </si>
  <si>
    <t>やまなみスキークラブ</t>
  </si>
  <si>
    <t>小川 愛</t>
  </si>
  <si>
    <t>前田 千広</t>
  </si>
  <si>
    <t>桜井 圭子</t>
  </si>
  <si>
    <t>村田 祐子</t>
  </si>
  <si>
    <t>高石 優子</t>
  </si>
  <si>
    <t>姉崎 洋子</t>
  </si>
  <si>
    <t>仲山スキークラブ</t>
  </si>
  <si>
    <t>大泉 智香子</t>
  </si>
  <si>
    <t>田中 葵</t>
  </si>
  <si>
    <t>桂 唯夏</t>
  </si>
  <si>
    <t>鈴木 陽菜子</t>
  </si>
  <si>
    <t>髙口 晴香</t>
  </si>
  <si>
    <t>島田 リリア</t>
  </si>
  <si>
    <t>本田 睦子</t>
  </si>
  <si>
    <t>磯崎 小菜美</t>
  </si>
  <si>
    <t>森井 華</t>
  </si>
  <si>
    <t>山口 史子</t>
  </si>
  <si>
    <t>嶋崎 愛文</t>
  </si>
  <si>
    <t>清田 華</t>
  </si>
  <si>
    <t>菊池 菜七子</t>
  </si>
  <si>
    <t>木村 浩子</t>
  </si>
  <si>
    <t>友田 果歩</t>
  </si>
  <si>
    <t>行田 ゆう</t>
  </si>
  <si>
    <t>齋藤 恭子</t>
  </si>
  <si>
    <t>細谷 くるみ</t>
  </si>
  <si>
    <t>木村 美玖</t>
  </si>
  <si>
    <t>中俣 美咲</t>
  </si>
  <si>
    <t>酒井 ますみ</t>
  </si>
  <si>
    <t>加藤 遥</t>
  </si>
  <si>
    <t>広瀬 真菜</t>
  </si>
  <si>
    <t>原 怜音</t>
  </si>
  <si>
    <t>大野 舞</t>
  </si>
  <si>
    <t>高木 敦子</t>
  </si>
  <si>
    <t>長野 蒼生</t>
  </si>
  <si>
    <t>宗 春奈</t>
  </si>
  <si>
    <t>鈴木 早苗</t>
  </si>
  <si>
    <t>ベラーク</t>
  </si>
  <si>
    <t>鎌形 麻里</t>
  </si>
  <si>
    <t>アートスポーツスキークラブ</t>
  </si>
  <si>
    <t>上野 南奈子</t>
  </si>
  <si>
    <t>三浦 和子</t>
  </si>
  <si>
    <t>小山 寧々</t>
  </si>
  <si>
    <t>西本 有希</t>
  </si>
  <si>
    <t>東 伊織</t>
  </si>
  <si>
    <t>原 露子</t>
  </si>
  <si>
    <t>Ｓ．Ｃ．コロポックル</t>
  </si>
  <si>
    <t>佐草 真耶</t>
  </si>
  <si>
    <t>芦界 渚砂</t>
  </si>
  <si>
    <t>山野井 瑞姫</t>
  </si>
  <si>
    <t>羽月 詩織</t>
  </si>
  <si>
    <t>河内 香織</t>
  </si>
  <si>
    <t>喜地 真鈴</t>
  </si>
  <si>
    <t>花岡 奈那子</t>
  </si>
  <si>
    <t>石崎 清子</t>
  </si>
  <si>
    <t>クラシックスキークラブ</t>
  </si>
  <si>
    <t>栗本 朝香</t>
  </si>
  <si>
    <t>永田 紗希</t>
  </si>
  <si>
    <t>野邊 あかり</t>
  </si>
  <si>
    <t>阿部 昌子</t>
  </si>
  <si>
    <t>鈴木 茉南</t>
  </si>
  <si>
    <t>本間 かほる</t>
  </si>
  <si>
    <t>鳴島 沙紀</t>
  </si>
  <si>
    <t>小田桐 茉柚</t>
  </si>
  <si>
    <t>森谷 瑠花</t>
  </si>
  <si>
    <t>小川 慶都</t>
  </si>
  <si>
    <t>岩本 彩起子</t>
  </si>
  <si>
    <t>樋口 紗英</t>
  </si>
  <si>
    <t>早河 心夢</t>
  </si>
  <si>
    <t>藤本 紗希</t>
  </si>
  <si>
    <t>矢頭 千夏</t>
  </si>
  <si>
    <t>高木 陽香</t>
  </si>
  <si>
    <t>本間 日奈子</t>
  </si>
  <si>
    <t>佐藤 瑠菜</t>
  </si>
  <si>
    <t>竹内 花音</t>
  </si>
  <si>
    <t>濱田 悠嘉</t>
  </si>
  <si>
    <t>笹口 果乃</t>
  </si>
  <si>
    <t>宮山 奈々子</t>
  </si>
  <si>
    <t>松原 由依</t>
  </si>
  <si>
    <t>月岡 麻衣子</t>
  </si>
  <si>
    <t>柴田 小斗</t>
  </si>
  <si>
    <t>新出 彩夏</t>
  </si>
  <si>
    <t>緑川 慶子</t>
  </si>
  <si>
    <t>伊東 佑奈</t>
  </si>
  <si>
    <t>佐藤 優真</t>
  </si>
  <si>
    <t>山口 玲奈</t>
  </si>
  <si>
    <t>西村 三咲</t>
  </si>
  <si>
    <t>大平 春花</t>
  </si>
  <si>
    <t>足立 莉菜</t>
  </si>
  <si>
    <t>秋葉 晴香</t>
  </si>
  <si>
    <t>來田 百合香</t>
  </si>
  <si>
    <t>足立 紗菜</t>
  </si>
  <si>
    <t>尾崎 榛名</t>
  </si>
  <si>
    <t>徳楽 香奈子</t>
  </si>
  <si>
    <t>仮屋崎 楓</t>
  </si>
  <si>
    <t>岡山 風花</t>
  </si>
  <si>
    <t>狩集 未来</t>
  </si>
  <si>
    <t>河口 千春</t>
  </si>
  <si>
    <t>山本 彩奈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</si>
</sst>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 applyFill="1" applyAlignment="1">
      <alignment vertical="center" shrinkToFit="1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22"/>
  <sheetViews>
    <sheetView tabSelected="1" workbookViewId="0">
      <selection activeCell="Q5" sqref="Q5"/>
    </sheetView>
  </sheetViews>
  <sheetFormatPr baseColWidth="12" defaultColWidth="11.5" defaultRowHeight="17" x14ac:dyDescent="0"/>
  <cols>
    <col min="1" max="2" width="12.83203125" style="21" customWidth="1"/>
    <col min="3" max="3" width="24" style="21" customWidth="1"/>
    <col min="4" max="4" width="40.5" style="21" customWidth="1"/>
    <col min="5" max="5" width="12" style="20" hidden="1" customWidth="1"/>
    <col min="6" max="6" width="0" style="20" hidden="1" customWidth="1"/>
    <col min="7" max="7" width="0.1640625" style="22" hidden="1" customWidth="1"/>
    <col min="8" max="8" width="12.83203125" style="4" customWidth="1"/>
    <col min="9" max="9" width="10.6640625" style="23" customWidth="1"/>
    <col min="10" max="11" width="10.83203125" style="24" hidden="1" customWidth="1"/>
    <col min="12" max="31" width="12.83203125" style="24" customWidth="1"/>
    <col min="32" max="50" width="12.83203125" style="20" customWidth="1"/>
    <col min="51" max="16384" width="11.5" style="20"/>
  </cols>
  <sheetData>
    <row r="1" spans="1:31" s="2" customFormat="1">
      <c r="A1" s="1" t="s">
        <v>0</v>
      </c>
      <c r="B1" s="1"/>
      <c r="C1" s="1" t="s">
        <v>1</v>
      </c>
      <c r="D1" s="1"/>
      <c r="G1" s="3"/>
      <c r="H1" s="4"/>
      <c r="I1" s="5"/>
      <c r="J1" s="6"/>
      <c r="K1" s="6"/>
      <c r="L1" s="7" t="s">
        <v>2</v>
      </c>
      <c r="M1" s="7">
        <v>117.35</v>
      </c>
      <c r="N1" s="7">
        <v>72.209999999999994</v>
      </c>
      <c r="O1" s="7">
        <v>101.31</v>
      </c>
      <c r="P1" s="7">
        <v>62.03</v>
      </c>
      <c r="Q1" s="7">
        <v>69.069999999999993</v>
      </c>
      <c r="R1" s="7">
        <v>15.25</v>
      </c>
      <c r="S1" s="7">
        <v>16.63</v>
      </c>
      <c r="T1" s="7">
        <v>82.8</v>
      </c>
      <c r="U1" s="7">
        <v>0</v>
      </c>
      <c r="V1" s="7">
        <v>107.67</v>
      </c>
      <c r="W1" s="7">
        <v>28.36</v>
      </c>
      <c r="X1" s="7">
        <v>22.04</v>
      </c>
      <c r="Y1" s="7">
        <v>70.36</v>
      </c>
      <c r="Z1" s="7">
        <v>81.99</v>
      </c>
      <c r="AA1" s="7">
        <v>64.87</v>
      </c>
      <c r="AB1" s="7">
        <v>88.12</v>
      </c>
      <c r="AC1" s="7">
        <v>43</v>
      </c>
      <c r="AD1" s="7">
        <v>43</v>
      </c>
      <c r="AE1" s="7">
        <v>43</v>
      </c>
    </row>
    <row r="2" spans="1:31" s="13" customFormat="1" ht="41">
      <c r="A2" s="8" t="s">
        <v>3</v>
      </c>
      <c r="B2" s="9" t="s">
        <v>4</v>
      </c>
      <c r="C2" s="9" t="s">
        <v>5</v>
      </c>
      <c r="D2" s="9" t="s">
        <v>6</v>
      </c>
      <c r="E2" s="10" t="s">
        <v>7</v>
      </c>
      <c r="F2" s="10" t="s">
        <v>8</v>
      </c>
      <c r="G2" s="10" t="s">
        <v>9</v>
      </c>
      <c r="H2" s="11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2" t="s">
        <v>15</v>
      </c>
      <c r="N2" s="12" t="s">
        <v>16</v>
      </c>
      <c r="O2" s="12" t="s">
        <v>17</v>
      </c>
      <c r="P2" s="12" t="s">
        <v>18</v>
      </c>
      <c r="Q2" s="12" t="s">
        <v>19</v>
      </c>
      <c r="R2" s="12" t="s">
        <v>20</v>
      </c>
      <c r="S2" s="12" t="s">
        <v>21</v>
      </c>
      <c r="T2" s="12" t="s">
        <v>22</v>
      </c>
      <c r="U2" s="12" t="s">
        <v>23</v>
      </c>
      <c r="V2" s="12" t="s">
        <v>24</v>
      </c>
      <c r="W2" s="12" t="s">
        <v>25</v>
      </c>
      <c r="X2" s="12" t="s">
        <v>26</v>
      </c>
      <c r="Y2" s="12" t="s">
        <v>27</v>
      </c>
      <c r="Z2" s="12" t="s">
        <v>28</v>
      </c>
      <c r="AA2" s="12" t="s">
        <v>29</v>
      </c>
      <c r="AB2" s="12" t="s">
        <v>30</v>
      </c>
      <c r="AC2" s="12" t="s">
        <v>31</v>
      </c>
      <c r="AD2" s="12" t="s">
        <v>32</v>
      </c>
      <c r="AE2" s="12" t="s">
        <v>33</v>
      </c>
    </row>
    <row r="3" spans="1:31">
      <c r="A3" s="14">
        <v>1</v>
      </c>
      <c r="B3" s="14">
        <v>3431</v>
      </c>
      <c r="C3" s="14" t="s">
        <v>34</v>
      </c>
      <c r="D3" s="14" t="s">
        <v>35</v>
      </c>
      <c r="E3" s="15" t="str">
        <f>"0.00"</f>
        <v>0.00</v>
      </c>
      <c r="F3" s="15"/>
      <c r="G3" s="16" t="str">
        <f>"8.00"</f>
        <v>8.00</v>
      </c>
      <c r="H3" s="17">
        <f t="shared" ref="H3:H66" si="0">G3-8</f>
        <v>0</v>
      </c>
      <c r="I3" s="18" t="s">
        <v>36</v>
      </c>
      <c r="J3" s="19">
        <v>1</v>
      </c>
      <c r="K3" s="19">
        <v>2016</v>
      </c>
      <c r="L3" s="19" t="str">
        <f>"0.00"</f>
        <v>0.00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>
      <c r="A4" s="14">
        <v>1</v>
      </c>
      <c r="B4" s="14">
        <v>3081</v>
      </c>
      <c r="C4" s="14" t="s">
        <v>37</v>
      </c>
      <c r="D4" s="14" t="s">
        <v>35</v>
      </c>
      <c r="E4" s="15" t="str">
        <f>"11.48"</f>
        <v>11.48</v>
      </c>
      <c r="F4" s="15"/>
      <c r="G4" s="16" t="str">
        <f>"8.00"</f>
        <v>8.00</v>
      </c>
      <c r="H4" s="17">
        <f t="shared" si="0"/>
        <v>0</v>
      </c>
      <c r="I4" s="18" t="s">
        <v>38</v>
      </c>
      <c r="J4" s="19">
        <v>2</v>
      </c>
      <c r="K4" s="19">
        <v>2016</v>
      </c>
      <c r="L4" s="19" t="str">
        <f>"22.96"</f>
        <v>22.96</v>
      </c>
      <c r="M4" s="19"/>
      <c r="N4" s="19"/>
      <c r="O4" s="19"/>
      <c r="P4" s="19"/>
      <c r="Q4" s="19"/>
      <c r="R4" s="19"/>
      <c r="S4" s="19"/>
      <c r="T4" s="19"/>
      <c r="U4" s="19" t="str">
        <f>"0.00"</f>
        <v>0.00</v>
      </c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>
      <c r="A5" s="14">
        <v>3</v>
      </c>
      <c r="B5" s="14">
        <v>5230</v>
      </c>
      <c r="C5" s="14" t="s">
        <v>39</v>
      </c>
      <c r="D5" s="14" t="s">
        <v>40</v>
      </c>
      <c r="E5" s="15" t="str">
        <f>"15.94"</f>
        <v>15.94</v>
      </c>
      <c r="F5" s="15"/>
      <c r="G5" s="16" t="str">
        <f>"15.94"</f>
        <v>15.94</v>
      </c>
      <c r="H5" s="17">
        <f t="shared" si="0"/>
        <v>7.9399999999999995</v>
      </c>
      <c r="I5" s="18"/>
      <c r="J5" s="19">
        <v>3</v>
      </c>
      <c r="K5" s="19">
        <v>2016</v>
      </c>
      <c r="L5" s="19" t="str">
        <f>"27.95"</f>
        <v>27.95</v>
      </c>
      <c r="M5" s="19"/>
      <c r="N5" s="19"/>
      <c r="O5" s="19"/>
      <c r="P5" s="19"/>
      <c r="Q5" s="19"/>
      <c r="R5" s="19" t="str">
        <f>"15.25"</f>
        <v>15.25</v>
      </c>
      <c r="S5" s="19" t="str">
        <f>"16.63"</f>
        <v>16.63</v>
      </c>
      <c r="T5" s="19"/>
      <c r="U5" s="19"/>
      <c r="V5" s="19"/>
      <c r="W5" s="19" t="str">
        <f>"28.36"</f>
        <v>28.36</v>
      </c>
      <c r="X5" s="19" t="str">
        <f>"22.04"</f>
        <v>22.04</v>
      </c>
      <c r="Y5" s="19"/>
      <c r="Z5" s="19"/>
      <c r="AA5" s="19"/>
      <c r="AB5" s="19"/>
      <c r="AC5" s="19" t="str">
        <f>"43.00"</f>
        <v>43.00</v>
      </c>
      <c r="AD5" s="19"/>
      <c r="AE5" s="19" t="str">
        <f>"43.72"</f>
        <v>43.72</v>
      </c>
    </row>
    <row r="6" spans="1:31">
      <c r="A6" s="14">
        <v>4</v>
      </c>
      <c r="B6" s="14">
        <v>5175</v>
      </c>
      <c r="C6" s="14" t="s">
        <v>41</v>
      </c>
      <c r="D6" s="14" t="s">
        <v>40</v>
      </c>
      <c r="E6" s="15" t="str">
        <f>"11.81"</f>
        <v>11.81</v>
      </c>
      <c r="F6" s="15"/>
      <c r="G6" s="16" t="str">
        <f>"17.01"</f>
        <v>17.01</v>
      </c>
      <c r="H6" s="17">
        <f t="shared" si="0"/>
        <v>9.0100000000000016</v>
      </c>
      <c r="I6" s="18" t="s">
        <v>36</v>
      </c>
      <c r="J6" s="19">
        <v>1</v>
      </c>
      <c r="K6" s="19">
        <v>2016</v>
      </c>
      <c r="L6" s="19" t="str">
        <f>"11.81"</f>
        <v>11.81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>
      <c r="A7" s="14">
        <v>5</v>
      </c>
      <c r="B7" s="14">
        <v>2634</v>
      </c>
      <c r="C7" s="14" t="s">
        <v>42</v>
      </c>
      <c r="D7" s="14" t="s">
        <v>43</v>
      </c>
      <c r="E7" s="15" t="str">
        <f>"26.29"</f>
        <v>26.29</v>
      </c>
      <c r="F7" s="15"/>
      <c r="G7" s="16" t="str">
        <f>"37.86"</f>
        <v>37.86</v>
      </c>
      <c r="H7" s="17">
        <f t="shared" si="0"/>
        <v>29.86</v>
      </c>
      <c r="I7" s="18" t="s">
        <v>36</v>
      </c>
      <c r="J7" s="19">
        <v>1</v>
      </c>
      <c r="K7" s="19">
        <v>2016</v>
      </c>
      <c r="L7" s="19" t="str">
        <f>"26.29"</f>
        <v>26.29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>
      <c r="A8" s="14">
        <v>6</v>
      </c>
      <c r="B8" s="14">
        <v>10326</v>
      </c>
      <c r="C8" s="14" t="s">
        <v>44</v>
      </c>
      <c r="D8" s="14" t="s">
        <v>40</v>
      </c>
      <c r="E8" s="15" t="str">
        <f>"28.79"</f>
        <v>28.79</v>
      </c>
      <c r="F8" s="15"/>
      <c r="G8" s="16" t="str">
        <f>"38.21"</f>
        <v>38.21</v>
      </c>
      <c r="H8" s="17">
        <f t="shared" si="0"/>
        <v>30.21</v>
      </c>
      <c r="I8" s="18"/>
      <c r="J8" s="19">
        <v>3</v>
      </c>
      <c r="K8" s="19">
        <v>2016</v>
      </c>
      <c r="L8" s="19" t="str">
        <f>"28.79"</f>
        <v>28.79</v>
      </c>
      <c r="M8" s="19"/>
      <c r="N8" s="19"/>
      <c r="O8" s="19"/>
      <c r="P8" s="19"/>
      <c r="Q8" s="19"/>
      <c r="R8" s="19" t="str">
        <f>"46.20"</f>
        <v>46.20</v>
      </c>
      <c r="S8" s="19" t="str">
        <f>"49.15"</f>
        <v>49.15</v>
      </c>
      <c r="T8" s="19"/>
      <c r="U8" s="19"/>
      <c r="V8" s="19"/>
      <c r="W8" s="19" t="str">
        <f>"49.48"</f>
        <v>49.48</v>
      </c>
      <c r="X8" s="19" t="str">
        <f>"33.41"</f>
        <v>33.41</v>
      </c>
      <c r="Y8" s="19"/>
      <c r="Z8" s="19"/>
      <c r="AA8" s="19"/>
      <c r="AB8" s="19"/>
      <c r="AC8" s="19" t="str">
        <f>"44.71"</f>
        <v>44.71</v>
      </c>
      <c r="AD8" s="19" t="str">
        <f>"50.87"</f>
        <v>50.87</v>
      </c>
      <c r="AE8" s="19" t="str">
        <f>"43.00"</f>
        <v>43.00</v>
      </c>
    </row>
    <row r="9" spans="1:31">
      <c r="A9" s="14">
        <v>7</v>
      </c>
      <c r="B9" s="14">
        <v>3957</v>
      </c>
      <c r="C9" s="14" t="s">
        <v>45</v>
      </c>
      <c r="D9" s="14" t="s">
        <v>40</v>
      </c>
      <c r="E9" s="15" t="str">
        <f>"40.43"</f>
        <v>40.43</v>
      </c>
      <c r="F9" s="15"/>
      <c r="G9" s="16" t="str">
        <f>"45.48"</f>
        <v>45.48</v>
      </c>
      <c r="H9" s="17">
        <f t="shared" si="0"/>
        <v>37.479999999999997</v>
      </c>
      <c r="I9" s="18"/>
      <c r="J9" s="19">
        <v>3</v>
      </c>
      <c r="K9" s="19">
        <v>2016</v>
      </c>
      <c r="L9" s="19" t="str">
        <f>"42.04"</f>
        <v>42.04</v>
      </c>
      <c r="M9" s="19"/>
      <c r="N9" s="19"/>
      <c r="O9" s="19"/>
      <c r="P9" s="19"/>
      <c r="Q9" s="19"/>
      <c r="R9" s="19" t="str">
        <f>"52.13"</f>
        <v>52.13</v>
      </c>
      <c r="S9" s="19" t="str">
        <f>"38.82"</f>
        <v>38.82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>
      <c r="A10" s="14">
        <v>8</v>
      </c>
      <c r="B10" s="14">
        <v>4165</v>
      </c>
      <c r="C10" s="14" t="s">
        <v>46</v>
      </c>
      <c r="D10" s="14" t="s">
        <v>40</v>
      </c>
      <c r="E10" s="15" t="str">
        <f>"34.71"</f>
        <v>34.71</v>
      </c>
      <c r="F10" s="15"/>
      <c r="G10" s="16" t="str">
        <f>"51.72"</f>
        <v>51.72</v>
      </c>
      <c r="H10" s="17">
        <f t="shared" si="0"/>
        <v>43.72</v>
      </c>
      <c r="I10" s="18"/>
      <c r="J10" s="19">
        <v>3</v>
      </c>
      <c r="K10" s="19">
        <v>2016</v>
      </c>
      <c r="L10" s="19" t="str">
        <f>"34.71"</f>
        <v>34.71</v>
      </c>
      <c r="M10" s="19"/>
      <c r="N10" s="19"/>
      <c r="O10" s="19"/>
      <c r="P10" s="19"/>
      <c r="Q10" s="19"/>
      <c r="R10" s="19" t="str">
        <f>"60.44"</f>
        <v>60.44</v>
      </c>
      <c r="S10" s="19" t="str">
        <f>"61.22"</f>
        <v>61.22</v>
      </c>
      <c r="T10" s="19"/>
      <c r="U10" s="19"/>
      <c r="V10" s="19"/>
      <c r="W10" s="19"/>
      <c r="X10" s="19"/>
      <c r="Y10" s="19"/>
      <c r="Z10" s="19"/>
      <c r="AA10" s="19"/>
      <c r="AB10" s="19"/>
      <c r="AC10" s="19" t="str">
        <f>"61.39"</f>
        <v>61.39</v>
      </c>
      <c r="AD10" s="19" t="str">
        <f>"43.00"</f>
        <v>43.00</v>
      </c>
      <c r="AE10" s="19" t="str">
        <f>"61.54"</f>
        <v>61.54</v>
      </c>
    </row>
    <row r="11" spans="1:31">
      <c r="A11" s="14">
        <v>9</v>
      </c>
      <c r="B11" s="14">
        <v>10347</v>
      </c>
      <c r="C11" s="14" t="s">
        <v>47</v>
      </c>
      <c r="D11" s="14" t="s">
        <v>40</v>
      </c>
      <c r="E11" s="15" t="str">
        <f>"38.53"</f>
        <v>38.53</v>
      </c>
      <c r="F11" s="15"/>
      <c r="G11" s="16" t="str">
        <f>"55.48"</f>
        <v>55.48</v>
      </c>
      <c r="H11" s="17">
        <f t="shared" si="0"/>
        <v>47.48</v>
      </c>
      <c r="I11" s="18" t="s">
        <v>36</v>
      </c>
      <c r="J11" s="19">
        <v>1</v>
      </c>
      <c r="K11" s="19">
        <v>2016</v>
      </c>
      <c r="L11" s="19" t="str">
        <f>"38.53"</f>
        <v>38.53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>
      <c r="A12" s="14">
        <v>10</v>
      </c>
      <c r="B12" s="14">
        <v>8338</v>
      </c>
      <c r="C12" s="14" t="s">
        <v>48</v>
      </c>
      <c r="D12" s="14" t="s">
        <v>40</v>
      </c>
      <c r="E12" s="15" t="str">
        <f>"57.27"</f>
        <v>57.27</v>
      </c>
      <c r="F12" s="15"/>
      <c r="G12" s="16" t="str">
        <f>"57.27"</f>
        <v>57.27</v>
      </c>
      <c r="H12" s="17">
        <f t="shared" si="0"/>
        <v>49.27</v>
      </c>
      <c r="I12" s="18"/>
      <c r="J12" s="19">
        <v>5</v>
      </c>
      <c r="K12" s="19">
        <v>2016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 t="str">
        <f>"81.99"</f>
        <v>81.99</v>
      </c>
      <c r="AA12" s="19" t="str">
        <f>"64.87"</f>
        <v>64.87</v>
      </c>
      <c r="AB12" s="19"/>
      <c r="AC12" s="19" t="str">
        <f>"67.16"</f>
        <v>67.16</v>
      </c>
      <c r="AD12" s="19" t="str">
        <f>"75.22"</f>
        <v>75.22</v>
      </c>
      <c r="AE12" s="19" t="str">
        <f>"49.66"</f>
        <v>49.66</v>
      </c>
    </row>
    <row r="13" spans="1:31">
      <c r="A13" s="14">
        <v>11</v>
      </c>
      <c r="B13" s="14">
        <v>5185</v>
      </c>
      <c r="C13" s="14" t="s">
        <v>49</v>
      </c>
      <c r="D13" s="14" t="s">
        <v>40</v>
      </c>
      <c r="E13" s="15" t="str">
        <f>"20.77"</f>
        <v>20.77</v>
      </c>
      <c r="F13" s="15"/>
      <c r="G13" s="16" t="str">
        <f>"58.91"</f>
        <v>58.91</v>
      </c>
      <c r="H13" s="17">
        <f t="shared" si="0"/>
        <v>50.91</v>
      </c>
      <c r="I13" s="18"/>
      <c r="J13" s="19">
        <v>3</v>
      </c>
      <c r="K13" s="19">
        <v>2016</v>
      </c>
      <c r="L13" s="19" t="str">
        <f>"20.77"</f>
        <v>20.77</v>
      </c>
      <c r="M13" s="19"/>
      <c r="N13" s="19"/>
      <c r="O13" s="19"/>
      <c r="P13" s="19"/>
      <c r="Q13" s="19"/>
      <c r="R13" s="19" t="str">
        <f>"58.28"</f>
        <v>58.28</v>
      </c>
      <c r="S13" s="19" t="str">
        <f>"59.54"</f>
        <v>59.54</v>
      </c>
      <c r="T13" s="19"/>
      <c r="U13" s="19"/>
      <c r="V13" s="19"/>
      <c r="W13" s="19" t="str">
        <f>"70.80"</f>
        <v>70.80</v>
      </c>
      <c r="X13" s="19" t="str">
        <f>"66.33"</f>
        <v>66.33</v>
      </c>
      <c r="Y13" s="19"/>
      <c r="Z13" s="19"/>
      <c r="AA13" s="19"/>
      <c r="AB13" s="19"/>
      <c r="AC13" s="19" t="str">
        <f>"74.01"</f>
        <v>74.01</v>
      </c>
      <c r="AD13" s="19" t="str">
        <f>"76.13"</f>
        <v>76.13</v>
      </c>
      <c r="AE13" s="19" t="str">
        <f>"73.28"</f>
        <v>73.28</v>
      </c>
    </row>
    <row r="14" spans="1:31">
      <c r="A14" s="14">
        <v>12</v>
      </c>
      <c r="B14" s="14">
        <v>10333</v>
      </c>
      <c r="C14" s="14" t="s">
        <v>50</v>
      </c>
      <c r="D14" s="14" t="s">
        <v>51</v>
      </c>
      <c r="E14" s="15" t="str">
        <f>"63.36"</f>
        <v>63.36</v>
      </c>
      <c r="F14" s="15"/>
      <c r="G14" s="16" t="str">
        <f>"68.83"</f>
        <v>68.83</v>
      </c>
      <c r="H14" s="17">
        <f t="shared" si="0"/>
        <v>60.83</v>
      </c>
      <c r="I14" s="18"/>
      <c r="J14" s="19">
        <v>3</v>
      </c>
      <c r="K14" s="19">
        <v>2016</v>
      </c>
      <c r="L14" s="19" t="str">
        <f>"64.68"</f>
        <v>64.68</v>
      </c>
      <c r="M14" s="19"/>
      <c r="N14" s="19" t="str">
        <f>"75.62"</f>
        <v>75.62</v>
      </c>
      <c r="O14" s="19"/>
      <c r="P14" s="19" t="str">
        <f>"62.03"</f>
        <v>62.03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>
      <c r="A15" s="14">
        <v>13</v>
      </c>
      <c r="B15" s="14">
        <v>3700</v>
      </c>
      <c r="C15" s="14" t="s">
        <v>52</v>
      </c>
      <c r="D15" s="14" t="s">
        <v>53</v>
      </c>
      <c r="E15" s="15" t="str">
        <f>"51.11"</f>
        <v>51.11</v>
      </c>
      <c r="F15" s="15"/>
      <c r="G15" s="16" t="str">
        <f>"69.49"</f>
        <v>69.49</v>
      </c>
      <c r="H15" s="17">
        <f t="shared" si="0"/>
        <v>61.489999999999995</v>
      </c>
      <c r="I15" s="18"/>
      <c r="J15" s="19">
        <v>3</v>
      </c>
      <c r="K15" s="19">
        <v>2016</v>
      </c>
      <c r="L15" s="19" t="str">
        <f>"51.11"</f>
        <v>51.11</v>
      </c>
      <c r="M15" s="19"/>
      <c r="N15" s="19" t="str">
        <f>"72.21"</f>
        <v>72.21</v>
      </c>
      <c r="O15" s="19"/>
      <c r="P15" s="19" t="str">
        <f>"99.35"</f>
        <v>99.35</v>
      </c>
      <c r="Q15" s="19"/>
      <c r="R15" s="19"/>
      <c r="S15" s="19"/>
      <c r="T15" s="19" t="str">
        <f>"126.52"</f>
        <v>126.52</v>
      </c>
      <c r="U15" s="19"/>
      <c r="V15" s="19"/>
      <c r="W15" s="19"/>
      <c r="X15" s="19"/>
      <c r="Y15" s="19"/>
      <c r="Z15" s="19"/>
      <c r="AA15" s="19"/>
      <c r="AB15" s="19"/>
      <c r="AC15" s="19" t="str">
        <f>"78.22"</f>
        <v>78.22</v>
      </c>
      <c r="AD15" s="19" t="str">
        <f>"75.82"</f>
        <v>75.82</v>
      </c>
      <c r="AE15" s="19" t="str">
        <f>"66.76"</f>
        <v>66.76</v>
      </c>
    </row>
    <row r="16" spans="1:31">
      <c r="A16" s="14">
        <v>14</v>
      </c>
      <c r="B16" s="14">
        <v>9962</v>
      </c>
      <c r="C16" s="14" t="s">
        <v>54</v>
      </c>
      <c r="D16" s="14" t="s">
        <v>53</v>
      </c>
      <c r="E16" s="15" t="str">
        <f>"71.17"</f>
        <v>71.17</v>
      </c>
      <c r="F16" s="15"/>
      <c r="G16" s="16" t="str">
        <f>"71.17"</f>
        <v>71.17</v>
      </c>
      <c r="H16" s="17">
        <f t="shared" si="0"/>
        <v>63.17</v>
      </c>
      <c r="I16" s="18"/>
      <c r="J16" s="19">
        <v>3</v>
      </c>
      <c r="K16" s="19">
        <v>2016</v>
      </c>
      <c r="L16" s="19" t="str">
        <f>"118.69"</f>
        <v>118.69</v>
      </c>
      <c r="M16" s="19"/>
      <c r="N16" s="19" t="str">
        <f>"82.67"</f>
        <v>82.67</v>
      </c>
      <c r="O16" s="19"/>
      <c r="P16" s="19" t="str">
        <f>"110.41"</f>
        <v>110.41</v>
      </c>
      <c r="Q16" s="19"/>
      <c r="R16" s="19"/>
      <c r="S16" s="19"/>
      <c r="T16" s="19" t="str">
        <f>"169.28"</f>
        <v>169.28</v>
      </c>
      <c r="U16" s="19"/>
      <c r="V16" s="19"/>
      <c r="W16" s="19"/>
      <c r="X16" s="19"/>
      <c r="Y16" s="19"/>
      <c r="Z16" s="19"/>
      <c r="AA16" s="19"/>
      <c r="AB16" s="19"/>
      <c r="AC16" s="19" t="str">
        <f>"81.81"</f>
        <v>81.81</v>
      </c>
      <c r="AD16" s="19"/>
      <c r="AE16" s="19" t="str">
        <f>"60.53"</f>
        <v>60.53</v>
      </c>
    </row>
    <row r="17" spans="1:31">
      <c r="A17" s="14">
        <v>15</v>
      </c>
      <c r="B17" s="14">
        <v>3043</v>
      </c>
      <c r="C17" s="14" t="s">
        <v>55</v>
      </c>
      <c r="D17" s="14" t="s">
        <v>56</v>
      </c>
      <c r="E17" s="15" t="str">
        <f>"70.24"</f>
        <v>70.24</v>
      </c>
      <c r="F17" s="15"/>
      <c r="G17" s="16" t="str">
        <f>"77.86"</f>
        <v>77.86</v>
      </c>
      <c r="H17" s="17">
        <f t="shared" si="0"/>
        <v>69.86</v>
      </c>
      <c r="I17" s="18"/>
      <c r="J17" s="19">
        <v>3</v>
      </c>
      <c r="K17" s="19">
        <v>2016</v>
      </c>
      <c r="L17" s="19" t="str">
        <f>"70.24"</f>
        <v>70.24</v>
      </c>
      <c r="M17" s="19"/>
      <c r="N17" s="19"/>
      <c r="O17" s="19"/>
      <c r="P17" s="19"/>
      <c r="Q17" s="19"/>
      <c r="R17" s="19"/>
      <c r="S17" s="19"/>
      <c r="T17" s="19"/>
      <c r="U17" s="19" t="str">
        <f>"85.36"</f>
        <v>85.36</v>
      </c>
      <c r="V17" s="19"/>
      <c r="W17" s="19"/>
      <c r="X17" s="19"/>
      <c r="Y17" s="19" t="str">
        <f>"70.36"</f>
        <v>70.36</v>
      </c>
      <c r="Z17" s="19" t="str">
        <f>"105.87"</f>
        <v>105.87</v>
      </c>
      <c r="AA17" s="19" t="str">
        <f>"116.06"</f>
        <v>116.06</v>
      </c>
      <c r="AB17" s="19"/>
      <c r="AC17" s="19"/>
      <c r="AD17" s="19"/>
      <c r="AE17" s="19"/>
    </row>
    <row r="18" spans="1:31">
      <c r="A18" s="14">
        <v>16</v>
      </c>
      <c r="B18" s="14">
        <v>8642</v>
      </c>
      <c r="C18" s="14" t="s">
        <v>57</v>
      </c>
      <c r="D18" s="14" t="s">
        <v>40</v>
      </c>
      <c r="E18" s="15" t="str">
        <f>"76.29"</f>
        <v>76.29</v>
      </c>
      <c r="F18" s="15"/>
      <c r="G18" s="16" t="str">
        <f>"77.97"</f>
        <v>77.97</v>
      </c>
      <c r="H18" s="17">
        <f t="shared" si="0"/>
        <v>69.97</v>
      </c>
      <c r="I18" s="18"/>
      <c r="J18" s="19">
        <v>3</v>
      </c>
      <c r="K18" s="19">
        <v>2016</v>
      </c>
      <c r="L18" s="19" t="str">
        <f>"76.70"</f>
        <v>76.70</v>
      </c>
      <c r="M18" s="19"/>
      <c r="N18" s="19"/>
      <c r="O18" s="19"/>
      <c r="P18" s="19"/>
      <c r="Q18" s="19"/>
      <c r="R18" s="19"/>
      <c r="S18" s="19" t="str">
        <f>"96.88"</f>
        <v>96.88</v>
      </c>
      <c r="T18" s="19"/>
      <c r="U18" s="19"/>
      <c r="V18" s="19"/>
      <c r="W18" s="19" t="str">
        <f>"80.06"</f>
        <v>80.06</v>
      </c>
      <c r="X18" s="19"/>
      <c r="Y18" s="19"/>
      <c r="Z18" s="19"/>
      <c r="AA18" s="19"/>
      <c r="AB18" s="19"/>
      <c r="AC18" s="19" t="str">
        <f>"75.88"</f>
        <v>75.88</v>
      </c>
      <c r="AD18" s="19"/>
      <c r="AE18" s="19"/>
    </row>
    <row r="19" spans="1:31">
      <c r="A19" s="14">
        <v>17</v>
      </c>
      <c r="B19" s="14">
        <v>4322</v>
      </c>
      <c r="C19" s="14" t="s">
        <v>58</v>
      </c>
      <c r="D19" s="14" t="s">
        <v>59</v>
      </c>
      <c r="E19" s="15" t="str">
        <f>"64.31"</f>
        <v>64.31</v>
      </c>
      <c r="F19" s="15"/>
      <c r="G19" s="16" t="str">
        <f>"82.19"</f>
        <v>82.19</v>
      </c>
      <c r="H19" s="17">
        <f t="shared" si="0"/>
        <v>74.19</v>
      </c>
      <c r="I19" s="18"/>
      <c r="J19" s="19">
        <v>3</v>
      </c>
      <c r="K19" s="19">
        <v>2016</v>
      </c>
      <c r="L19" s="19" t="str">
        <f>"64.31"</f>
        <v>64.31</v>
      </c>
      <c r="M19" s="19"/>
      <c r="N19" s="19"/>
      <c r="O19" s="19"/>
      <c r="P19" s="19"/>
      <c r="Q19" s="19" t="str">
        <f>"69.07"</f>
        <v>69.07</v>
      </c>
      <c r="R19" s="19"/>
      <c r="S19" s="19"/>
      <c r="T19" s="19"/>
      <c r="U19" s="19" t="str">
        <f>"95.30"</f>
        <v>95.30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>
      <c r="A20" s="14">
        <v>18</v>
      </c>
      <c r="B20" s="14">
        <v>10215</v>
      </c>
      <c r="C20" s="14" t="s">
        <v>60</v>
      </c>
      <c r="D20" s="14" t="s">
        <v>40</v>
      </c>
      <c r="E20" s="15" t="str">
        <f>"83.27"</f>
        <v>83.27</v>
      </c>
      <c r="F20" s="15"/>
      <c r="G20" s="16" t="str">
        <f>"83.27"</f>
        <v>83.27</v>
      </c>
      <c r="H20" s="17">
        <f t="shared" si="0"/>
        <v>75.27</v>
      </c>
      <c r="I20" s="18"/>
      <c r="J20" s="19">
        <v>3</v>
      </c>
      <c r="K20" s="19">
        <v>2016</v>
      </c>
      <c r="L20" s="19" t="str">
        <f>"122.05"</f>
        <v>122.05</v>
      </c>
      <c r="M20" s="19"/>
      <c r="N20" s="19"/>
      <c r="O20" s="19"/>
      <c r="P20" s="19"/>
      <c r="Q20" s="19"/>
      <c r="R20" s="19"/>
      <c r="S20" s="19" t="str">
        <f>"89.51"</f>
        <v>89.51</v>
      </c>
      <c r="T20" s="19"/>
      <c r="U20" s="19"/>
      <c r="V20" s="19"/>
      <c r="W20" s="19"/>
      <c r="X20" s="19" t="str">
        <f>"85.16"</f>
        <v>85.16</v>
      </c>
      <c r="Y20" s="19"/>
      <c r="Z20" s="19"/>
      <c r="AA20" s="19"/>
      <c r="AB20" s="19"/>
      <c r="AC20" s="19" t="str">
        <f>"81.96"</f>
        <v>81.96</v>
      </c>
      <c r="AD20" s="19"/>
      <c r="AE20" s="19" t="str">
        <f>"84.58"</f>
        <v>84.58</v>
      </c>
    </row>
    <row r="21" spans="1:31">
      <c r="A21" s="14">
        <v>19</v>
      </c>
      <c r="B21" s="14">
        <v>4573</v>
      </c>
      <c r="C21" s="14" t="s">
        <v>61</v>
      </c>
      <c r="D21" s="14" t="s">
        <v>62</v>
      </c>
      <c r="E21" s="15" t="str">
        <f>"79.20"</f>
        <v>79.20</v>
      </c>
      <c r="F21" s="15"/>
      <c r="G21" s="16" t="str">
        <f>"85.70"</f>
        <v>85.70</v>
      </c>
      <c r="H21" s="17">
        <f t="shared" si="0"/>
        <v>77.7</v>
      </c>
      <c r="I21" s="18"/>
      <c r="J21" s="19">
        <v>3</v>
      </c>
      <c r="K21" s="19">
        <v>2016</v>
      </c>
      <c r="L21" s="19" t="str">
        <f>"79.20"</f>
        <v>79.20</v>
      </c>
      <c r="M21" s="19"/>
      <c r="N21" s="19"/>
      <c r="O21" s="19"/>
      <c r="P21" s="19"/>
      <c r="Q21" s="19" t="str">
        <f>"83.27"</f>
        <v>83.27</v>
      </c>
      <c r="R21" s="19"/>
      <c r="S21" s="19"/>
      <c r="T21" s="19"/>
      <c r="U21" s="19" t="str">
        <f>"95.50"</f>
        <v>95.50</v>
      </c>
      <c r="V21" s="19"/>
      <c r="W21" s="19"/>
      <c r="X21" s="19"/>
      <c r="Y21" s="19"/>
      <c r="Z21" s="19" t="str">
        <f>"136.55"</f>
        <v>136.55</v>
      </c>
      <c r="AA21" s="19" t="str">
        <f>"132.39"</f>
        <v>132.39</v>
      </c>
      <c r="AB21" s="19" t="str">
        <f>"88.12"</f>
        <v>88.12</v>
      </c>
      <c r="AC21" s="19"/>
      <c r="AD21" s="19"/>
      <c r="AE21" s="19"/>
    </row>
    <row r="22" spans="1:31">
      <c r="A22" s="14">
        <v>20</v>
      </c>
      <c r="B22" s="14">
        <v>8326</v>
      </c>
      <c r="C22" s="14" t="s">
        <v>63</v>
      </c>
      <c r="D22" s="14" t="s">
        <v>53</v>
      </c>
      <c r="E22" s="15" t="str">
        <f>"95.81"</f>
        <v>95.81</v>
      </c>
      <c r="F22" s="15"/>
      <c r="G22" s="16" t="str">
        <f>"95.81"</f>
        <v>95.81</v>
      </c>
      <c r="H22" s="17">
        <f t="shared" si="0"/>
        <v>87.81</v>
      </c>
      <c r="I22" s="18"/>
      <c r="J22" s="19">
        <v>3</v>
      </c>
      <c r="K22" s="19">
        <v>2016</v>
      </c>
      <c r="L22" s="19" t="str">
        <f>"200.77"</f>
        <v>200.77</v>
      </c>
      <c r="M22" s="19"/>
      <c r="N22" s="19" t="str">
        <f>"173.07"</f>
        <v>173.07</v>
      </c>
      <c r="O22" s="19"/>
      <c r="P22" s="19" t="str">
        <f>"150.36"</f>
        <v>150.36</v>
      </c>
      <c r="Q22" s="19"/>
      <c r="R22" s="19"/>
      <c r="S22" s="19"/>
      <c r="T22" s="19" t="str">
        <f>"238.00"</f>
        <v>238.00</v>
      </c>
      <c r="U22" s="19"/>
      <c r="V22" s="19"/>
      <c r="W22" s="19"/>
      <c r="X22" s="19"/>
      <c r="Y22" s="19" t="str">
        <f>"96.39"</f>
        <v>96.39</v>
      </c>
      <c r="Z22" s="19"/>
      <c r="AA22" s="19"/>
      <c r="AB22" s="19" t="str">
        <f>"95.22"</f>
        <v>95.22</v>
      </c>
      <c r="AC22" s="19"/>
      <c r="AD22" s="19"/>
      <c r="AE22" s="19"/>
    </row>
    <row r="23" spans="1:31">
      <c r="A23" s="14">
        <v>21</v>
      </c>
      <c r="B23" s="14">
        <v>5236</v>
      </c>
      <c r="C23" s="14" t="s">
        <v>64</v>
      </c>
      <c r="D23" s="14" t="s">
        <v>65</v>
      </c>
      <c r="E23" s="15" t="str">
        <f>"65.05"</f>
        <v>65.05</v>
      </c>
      <c r="F23" s="15"/>
      <c r="G23" s="16" t="str">
        <f>"96.56"</f>
        <v>96.56</v>
      </c>
      <c r="H23" s="17">
        <f t="shared" si="0"/>
        <v>88.56</v>
      </c>
      <c r="I23" s="18" t="s">
        <v>38</v>
      </c>
      <c r="J23" s="19">
        <v>2</v>
      </c>
      <c r="K23" s="19">
        <v>2016</v>
      </c>
      <c r="L23" s="19" t="str">
        <f>"65.05"</f>
        <v>65.05</v>
      </c>
      <c r="M23" s="19"/>
      <c r="N23" s="19"/>
      <c r="O23" s="19"/>
      <c r="P23" s="19"/>
      <c r="Q23" s="19"/>
      <c r="R23" s="19"/>
      <c r="S23" s="19"/>
      <c r="T23" s="19"/>
      <c r="U23" s="19" t="str">
        <f>"68.56"</f>
        <v>68.56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>
      <c r="A24" s="14">
        <v>22</v>
      </c>
      <c r="B24" s="14">
        <v>5507</v>
      </c>
      <c r="C24" s="14" t="s">
        <v>66</v>
      </c>
      <c r="D24" s="14" t="s">
        <v>53</v>
      </c>
      <c r="E24" s="15" t="str">
        <f>"101.75"</f>
        <v>101.75</v>
      </c>
      <c r="F24" s="15"/>
      <c r="G24" s="16" t="str">
        <f>"101.75"</f>
        <v>101.75</v>
      </c>
      <c r="H24" s="17">
        <f t="shared" si="0"/>
        <v>93.75</v>
      </c>
      <c r="I24" s="18"/>
      <c r="J24" s="19">
        <v>3</v>
      </c>
      <c r="K24" s="19">
        <v>2016</v>
      </c>
      <c r="L24" s="19" t="str">
        <f>"142.25"</f>
        <v>142.25</v>
      </c>
      <c r="M24" s="19"/>
      <c r="N24" s="19" t="str">
        <f>"146.24"</f>
        <v>146.24</v>
      </c>
      <c r="O24" s="19"/>
      <c r="P24" s="19" t="str">
        <f>"262.00"</f>
        <v>262.00</v>
      </c>
      <c r="Q24" s="19"/>
      <c r="R24" s="19"/>
      <c r="S24" s="19"/>
      <c r="T24" s="19" t="str">
        <f>"227.90"</f>
        <v>227.90</v>
      </c>
      <c r="U24" s="19"/>
      <c r="V24" s="19"/>
      <c r="W24" s="19"/>
      <c r="X24" s="19"/>
      <c r="Y24" s="19"/>
      <c r="Z24" s="19"/>
      <c r="AA24" s="19"/>
      <c r="AB24" s="19"/>
      <c r="AC24" s="19" t="str">
        <f>"108.77"</f>
        <v>108.77</v>
      </c>
      <c r="AD24" s="19"/>
      <c r="AE24" s="19" t="str">
        <f>"94.72"</f>
        <v>94.72</v>
      </c>
    </row>
    <row r="25" spans="1:31">
      <c r="A25" s="14">
        <v>23</v>
      </c>
      <c r="B25" s="14">
        <v>7795</v>
      </c>
      <c r="C25" s="14" t="s">
        <v>67</v>
      </c>
      <c r="D25" s="14" t="s">
        <v>53</v>
      </c>
      <c r="E25" s="15" t="str">
        <f>"103.67"</f>
        <v>103.67</v>
      </c>
      <c r="F25" s="15"/>
      <c r="G25" s="16" t="str">
        <f>"103.67"</f>
        <v>103.67</v>
      </c>
      <c r="H25" s="17">
        <f t="shared" si="0"/>
        <v>95.67</v>
      </c>
      <c r="I25" s="18"/>
      <c r="J25" s="19">
        <v>3</v>
      </c>
      <c r="K25" s="19">
        <v>2016</v>
      </c>
      <c r="L25" s="19" t="str">
        <f>"143.18"</f>
        <v>143.18</v>
      </c>
      <c r="M25" s="19"/>
      <c r="N25" s="19" t="str">
        <f>"173.80"</f>
        <v>173.80</v>
      </c>
      <c r="O25" s="19"/>
      <c r="P25" s="19" t="str">
        <f>"124.54"</f>
        <v>124.54</v>
      </c>
      <c r="Q25" s="19"/>
      <c r="R25" s="19"/>
      <c r="S25" s="19"/>
      <c r="T25" s="19" t="str">
        <f>"82.80"</f>
        <v>82.80</v>
      </c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>
      <c r="A26" s="14">
        <v>24</v>
      </c>
      <c r="B26" s="14">
        <v>8341</v>
      </c>
      <c r="C26" s="14" t="s">
        <v>68</v>
      </c>
      <c r="D26" s="14" t="s">
        <v>53</v>
      </c>
      <c r="E26" s="15" t="str">
        <f>"103.85"</f>
        <v>103.85</v>
      </c>
      <c r="F26" s="15"/>
      <c r="G26" s="16" t="str">
        <f>"103.85"</f>
        <v>103.85</v>
      </c>
      <c r="H26" s="17">
        <f t="shared" si="0"/>
        <v>95.85</v>
      </c>
      <c r="I26" s="18"/>
      <c r="J26" s="19">
        <v>3</v>
      </c>
      <c r="K26" s="19">
        <v>2016</v>
      </c>
      <c r="L26" s="19" t="str">
        <f>"127.64"</f>
        <v>127.64</v>
      </c>
      <c r="M26" s="19"/>
      <c r="N26" s="19" t="str">
        <f>"127.59"</f>
        <v>127.59</v>
      </c>
      <c r="O26" s="19"/>
      <c r="P26" s="19" t="str">
        <f>"114.79"</f>
        <v>114.79</v>
      </c>
      <c r="Q26" s="19"/>
      <c r="R26" s="19"/>
      <c r="S26" s="19"/>
      <c r="T26" s="19" t="str">
        <f>"92.90"</f>
        <v>92.90</v>
      </c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>
      <c r="A27" s="14">
        <v>25</v>
      </c>
      <c r="B27" s="14">
        <v>4319</v>
      </c>
      <c r="C27" s="14" t="s">
        <v>69</v>
      </c>
      <c r="D27" s="14" t="s">
        <v>40</v>
      </c>
      <c r="E27" s="15" t="str">
        <f>"87.64"</f>
        <v>87.64</v>
      </c>
      <c r="F27" s="15"/>
      <c r="G27" s="16" t="str">
        <f>"105.28"</f>
        <v>105.28</v>
      </c>
      <c r="H27" s="17">
        <f t="shared" si="0"/>
        <v>97.28</v>
      </c>
      <c r="I27" s="18"/>
      <c r="J27" s="19">
        <v>3</v>
      </c>
      <c r="K27" s="19">
        <v>2016</v>
      </c>
      <c r="L27" s="19" t="str">
        <f>"90.39"</f>
        <v>90.39</v>
      </c>
      <c r="M27" s="19"/>
      <c r="N27" s="19"/>
      <c r="O27" s="19"/>
      <c r="P27" s="19"/>
      <c r="Q27" s="19"/>
      <c r="R27" s="19"/>
      <c r="S27" s="19" t="str">
        <f>"137.18"</f>
        <v>137.18</v>
      </c>
      <c r="T27" s="19"/>
      <c r="U27" s="19"/>
      <c r="V27" s="19"/>
      <c r="W27" s="19"/>
      <c r="X27" s="19" t="str">
        <f>"170.73"</f>
        <v>170.73</v>
      </c>
      <c r="Y27" s="19" t="str">
        <f>"84.89"</f>
        <v>84.89</v>
      </c>
      <c r="Z27" s="19"/>
      <c r="AA27" s="19"/>
      <c r="AB27" s="19" t="str">
        <f>"125.66"</f>
        <v>125.66</v>
      </c>
      <c r="AC27" s="19" t="str">
        <f>"157.55"</f>
        <v>157.55</v>
      </c>
      <c r="AD27" s="19"/>
      <c r="AE27" s="19"/>
    </row>
    <row r="28" spans="1:31">
      <c r="A28" s="14">
        <v>26</v>
      </c>
      <c r="B28" s="14">
        <v>7994</v>
      </c>
      <c r="C28" s="14" t="s">
        <v>70</v>
      </c>
      <c r="D28" s="14" t="s">
        <v>71</v>
      </c>
      <c r="E28" s="15" t="str">
        <f>"54.56"</f>
        <v>54.56</v>
      </c>
      <c r="F28" s="15"/>
      <c r="G28" s="16" t="str">
        <f>"105.47"</f>
        <v>105.47</v>
      </c>
      <c r="H28" s="17">
        <f t="shared" si="0"/>
        <v>97.47</v>
      </c>
      <c r="I28" s="18" t="s">
        <v>38</v>
      </c>
      <c r="J28" s="19">
        <v>2</v>
      </c>
      <c r="K28" s="19">
        <v>2016</v>
      </c>
      <c r="L28" s="19" t="str">
        <f>"54.56"</f>
        <v>54.56</v>
      </c>
      <c r="M28" s="19"/>
      <c r="N28" s="19"/>
      <c r="O28" s="19"/>
      <c r="P28" s="19"/>
      <c r="Q28" s="19"/>
      <c r="R28" s="19"/>
      <c r="S28" s="19"/>
      <c r="T28" s="19"/>
      <c r="U28" s="19" t="str">
        <f>"77.47"</f>
        <v>77.47</v>
      </c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>
      <c r="A29" s="14">
        <v>27</v>
      </c>
      <c r="B29" s="14">
        <v>5736</v>
      </c>
      <c r="C29" s="14" t="s">
        <v>72</v>
      </c>
      <c r="D29" s="14" t="s">
        <v>73</v>
      </c>
      <c r="E29" s="15" t="str">
        <f>"77.86"</f>
        <v>77.86</v>
      </c>
      <c r="F29" s="15"/>
      <c r="G29" s="16" t="str">
        <f>"105.86"</f>
        <v>105.86</v>
      </c>
      <c r="H29" s="17">
        <f t="shared" si="0"/>
        <v>97.86</v>
      </c>
      <c r="I29" s="18" t="s">
        <v>36</v>
      </c>
      <c r="J29" s="19">
        <v>1</v>
      </c>
      <c r="K29" s="19">
        <v>2016</v>
      </c>
      <c r="L29" s="19" t="str">
        <f>"77.86"</f>
        <v>77.86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>
      <c r="A30" s="14">
        <v>28</v>
      </c>
      <c r="B30" s="14">
        <v>5095</v>
      </c>
      <c r="C30" s="14" t="s">
        <v>74</v>
      </c>
      <c r="D30" s="14" t="s">
        <v>40</v>
      </c>
      <c r="E30" s="15" t="str">
        <f>"99.19"</f>
        <v>99.19</v>
      </c>
      <c r="F30" s="15"/>
      <c r="G30" s="16" t="str">
        <f>"105.93"</f>
        <v>105.93</v>
      </c>
      <c r="H30" s="17">
        <f t="shared" si="0"/>
        <v>97.93</v>
      </c>
      <c r="I30" s="18"/>
      <c r="J30" s="19">
        <v>3</v>
      </c>
      <c r="K30" s="19">
        <v>2016</v>
      </c>
      <c r="L30" s="19" t="str">
        <f>"104.18"</f>
        <v>104.18</v>
      </c>
      <c r="M30" s="19"/>
      <c r="N30" s="19"/>
      <c r="O30" s="19"/>
      <c r="P30" s="19"/>
      <c r="Q30" s="19"/>
      <c r="R30" s="19"/>
      <c r="S30" s="19" t="str">
        <f>"94.20"</f>
        <v>94.20</v>
      </c>
      <c r="T30" s="19"/>
      <c r="U30" s="19"/>
      <c r="V30" s="19"/>
      <c r="W30" s="19"/>
      <c r="X30" s="19" t="str">
        <f>"117.65"</f>
        <v>117.65</v>
      </c>
      <c r="Y30" s="19"/>
      <c r="Z30" s="19"/>
      <c r="AA30" s="19"/>
      <c r="AB30" s="19"/>
      <c r="AC30" s="19"/>
      <c r="AD30" s="19"/>
      <c r="AE30" s="19"/>
    </row>
    <row r="31" spans="1:31">
      <c r="A31" s="14">
        <v>29</v>
      </c>
      <c r="B31" s="14">
        <v>8622</v>
      </c>
      <c r="C31" s="14" t="s">
        <v>75</v>
      </c>
      <c r="D31" s="14" t="s">
        <v>40</v>
      </c>
      <c r="E31" s="15" t="str">
        <f>"106.01"</f>
        <v>106.01</v>
      </c>
      <c r="F31" s="15"/>
      <c r="G31" s="16" t="str">
        <f>"106.01"</f>
        <v>106.01</v>
      </c>
      <c r="H31" s="17">
        <f t="shared" si="0"/>
        <v>98.01</v>
      </c>
      <c r="I31" s="18"/>
      <c r="J31" s="19">
        <v>3</v>
      </c>
      <c r="K31" s="19">
        <v>2016</v>
      </c>
      <c r="L31" s="19" t="str">
        <f>"125.22"</f>
        <v>125.22</v>
      </c>
      <c r="M31" s="19"/>
      <c r="N31" s="19"/>
      <c r="O31" s="19"/>
      <c r="P31" s="19"/>
      <c r="Q31" s="19"/>
      <c r="R31" s="19"/>
      <c r="S31" s="19" t="str">
        <f>"95.68"</f>
        <v>95.68</v>
      </c>
      <c r="T31" s="19"/>
      <c r="U31" s="19"/>
      <c r="V31" s="19"/>
      <c r="W31" s="19"/>
      <c r="X31" s="19" t="str">
        <f>"116.33"</f>
        <v>116.33</v>
      </c>
      <c r="Y31" s="19"/>
      <c r="Z31" s="19"/>
      <c r="AA31" s="19"/>
      <c r="AB31" s="19"/>
      <c r="AC31" s="19" t="str">
        <f>"142.27"</f>
        <v>142.27</v>
      </c>
      <c r="AD31" s="19"/>
      <c r="AE31" s="19" t="str">
        <f>"117.61"</f>
        <v>117.61</v>
      </c>
    </row>
    <row r="32" spans="1:31">
      <c r="A32" s="14">
        <v>30</v>
      </c>
      <c r="B32" s="14">
        <v>9963</v>
      </c>
      <c r="C32" s="14" t="s">
        <v>76</v>
      </c>
      <c r="D32" s="14" t="s">
        <v>53</v>
      </c>
      <c r="E32" s="15" t="str">
        <f>"106.98"</f>
        <v>106.98</v>
      </c>
      <c r="F32" s="15"/>
      <c r="G32" s="16" t="str">
        <f>"106.98"</f>
        <v>106.98</v>
      </c>
      <c r="H32" s="17">
        <f t="shared" si="0"/>
        <v>98.98</v>
      </c>
      <c r="I32" s="18"/>
      <c r="J32" s="19">
        <v>3</v>
      </c>
      <c r="K32" s="19">
        <v>2016</v>
      </c>
      <c r="L32" s="19" t="str">
        <f>"158.17"</f>
        <v>158.17</v>
      </c>
      <c r="M32" s="19"/>
      <c r="N32" s="19" t="str">
        <f>"162.53"</f>
        <v>162.53</v>
      </c>
      <c r="O32" s="19"/>
      <c r="P32" s="19"/>
      <c r="Q32" s="19"/>
      <c r="R32" s="19"/>
      <c r="S32" s="19"/>
      <c r="T32" s="19" t="str">
        <f>"265.38"</f>
        <v>265.38</v>
      </c>
      <c r="U32" s="19" t="str">
        <f>"96.67"</f>
        <v>96.67</v>
      </c>
      <c r="V32" s="19"/>
      <c r="W32" s="19"/>
      <c r="X32" s="19"/>
      <c r="Y32" s="19" t="str">
        <f>"117.29"</f>
        <v>117.29</v>
      </c>
      <c r="Z32" s="19"/>
      <c r="AA32" s="19"/>
      <c r="AB32" s="19"/>
      <c r="AC32" s="19" t="str">
        <f>"136.51"</f>
        <v>136.51</v>
      </c>
      <c r="AD32" s="19"/>
      <c r="AE32" s="19" t="str">
        <f>"123.11"</f>
        <v>123.11</v>
      </c>
    </row>
    <row r="33" spans="1:31">
      <c r="A33" s="14">
        <v>31</v>
      </c>
      <c r="B33" s="14">
        <v>5490</v>
      </c>
      <c r="C33" s="14" t="s">
        <v>77</v>
      </c>
      <c r="D33" s="14" t="s">
        <v>51</v>
      </c>
      <c r="E33" s="15" t="str">
        <f>"109.33"</f>
        <v>109.33</v>
      </c>
      <c r="F33" s="15"/>
      <c r="G33" s="16" t="str">
        <f>"109.33"</f>
        <v>109.33</v>
      </c>
      <c r="H33" s="17">
        <f t="shared" si="0"/>
        <v>101.33</v>
      </c>
      <c r="I33" s="18"/>
      <c r="J33" s="19">
        <v>3</v>
      </c>
      <c r="K33" s="19">
        <v>2016</v>
      </c>
      <c r="L33" s="19" t="str">
        <f>"155.22"</f>
        <v>155.22</v>
      </c>
      <c r="M33" s="19" t="str">
        <f>"117.35"</f>
        <v>117.35</v>
      </c>
      <c r="N33" s="19"/>
      <c r="O33" s="19" t="str">
        <f>"101.31"</f>
        <v>101.31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>
      <c r="A34" s="14">
        <v>32</v>
      </c>
      <c r="B34" s="14">
        <v>3302</v>
      </c>
      <c r="C34" s="14" t="s">
        <v>78</v>
      </c>
      <c r="D34" s="14" t="s">
        <v>79</v>
      </c>
      <c r="E34" s="15" t="str">
        <f>"82.39"</f>
        <v>82.39</v>
      </c>
      <c r="F34" s="15"/>
      <c r="G34" s="16" t="str">
        <f>"110.39"</f>
        <v>110.39</v>
      </c>
      <c r="H34" s="17">
        <f t="shared" si="0"/>
        <v>102.39</v>
      </c>
      <c r="I34" s="18" t="s">
        <v>36</v>
      </c>
      <c r="J34" s="19">
        <v>1</v>
      </c>
      <c r="K34" s="19">
        <v>2016</v>
      </c>
      <c r="L34" s="19" t="str">
        <f>"82.39"</f>
        <v>82.39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>
      <c r="A35" s="14">
        <v>33</v>
      </c>
      <c r="B35" s="14">
        <v>6601</v>
      </c>
      <c r="C35" s="14" t="s">
        <v>80</v>
      </c>
      <c r="D35" s="14" t="s">
        <v>53</v>
      </c>
      <c r="E35" s="15" t="str">
        <f>"110.91"</f>
        <v>110.91</v>
      </c>
      <c r="F35" s="15"/>
      <c r="G35" s="16" t="str">
        <f>"110.91"</f>
        <v>110.91</v>
      </c>
      <c r="H35" s="17">
        <f t="shared" si="0"/>
        <v>102.91</v>
      </c>
      <c r="I35" s="18"/>
      <c r="J35" s="19">
        <v>3</v>
      </c>
      <c r="K35" s="19">
        <v>2016</v>
      </c>
      <c r="L35" s="19" t="str">
        <f>"147.36"</f>
        <v>147.36</v>
      </c>
      <c r="M35" s="19"/>
      <c r="N35" s="19"/>
      <c r="O35" s="19"/>
      <c r="P35" s="19" t="str">
        <f>"192.12"</f>
        <v>192.12</v>
      </c>
      <c r="Q35" s="19"/>
      <c r="R35" s="19"/>
      <c r="S35" s="19"/>
      <c r="T35" s="19" t="str">
        <f>"252.90"</f>
        <v>252.90</v>
      </c>
      <c r="U35" s="19" t="str">
        <f>"87.96"</f>
        <v>87.96</v>
      </c>
      <c r="V35" s="19"/>
      <c r="W35" s="19"/>
      <c r="X35" s="19"/>
      <c r="Y35" s="19"/>
      <c r="Z35" s="19"/>
      <c r="AA35" s="19"/>
      <c r="AB35" s="19"/>
      <c r="AC35" s="19" t="str">
        <f>"133.86"</f>
        <v>133.86</v>
      </c>
      <c r="AD35" s="19"/>
      <c r="AE35" s="19" t="str">
        <f>"143.10"</f>
        <v>143.10</v>
      </c>
    </row>
    <row r="36" spans="1:31">
      <c r="A36" s="14">
        <v>34</v>
      </c>
      <c r="B36" s="14">
        <v>7708</v>
      </c>
      <c r="C36" s="14" t="s">
        <v>81</v>
      </c>
      <c r="D36" s="14" t="s">
        <v>53</v>
      </c>
      <c r="E36" s="15" t="str">
        <f>"112.83"</f>
        <v>112.83</v>
      </c>
      <c r="F36" s="15"/>
      <c r="G36" s="16" t="str">
        <f>"112.83"</f>
        <v>112.83</v>
      </c>
      <c r="H36" s="17">
        <f t="shared" si="0"/>
        <v>104.83</v>
      </c>
      <c r="I36" s="18"/>
      <c r="J36" s="19">
        <v>3</v>
      </c>
      <c r="K36" s="19">
        <v>2016</v>
      </c>
      <c r="L36" s="19" t="str">
        <f>"126.64"</f>
        <v>126.64</v>
      </c>
      <c r="M36" s="19"/>
      <c r="N36" s="19" t="str">
        <f>"207.21"</f>
        <v>207.21</v>
      </c>
      <c r="O36" s="19"/>
      <c r="P36" s="19" t="str">
        <f>"187.36"</f>
        <v>187.36</v>
      </c>
      <c r="Q36" s="19"/>
      <c r="R36" s="19"/>
      <c r="S36" s="19"/>
      <c r="T36" s="19" t="str">
        <f>"245.20"</f>
        <v>245.20</v>
      </c>
      <c r="U36" s="19" t="str">
        <f>"124.02"</f>
        <v>124.02</v>
      </c>
      <c r="V36" s="19"/>
      <c r="W36" s="19"/>
      <c r="X36" s="19"/>
      <c r="Y36" s="19" t="str">
        <f>"101.63"</f>
        <v>101.63</v>
      </c>
      <c r="Z36" s="19"/>
      <c r="AA36" s="19"/>
      <c r="AB36" s="19"/>
      <c r="AC36" s="19"/>
      <c r="AD36" s="19"/>
      <c r="AE36" s="19"/>
    </row>
    <row r="37" spans="1:31">
      <c r="A37" s="14">
        <v>35</v>
      </c>
      <c r="B37" s="14">
        <v>3322</v>
      </c>
      <c r="C37" s="14" t="s">
        <v>82</v>
      </c>
      <c r="D37" s="14" t="s">
        <v>83</v>
      </c>
      <c r="E37" s="15" t="str">
        <f>"86.29"</f>
        <v>86.29</v>
      </c>
      <c r="F37" s="15"/>
      <c r="G37" s="16" t="str">
        <f>"114.29"</f>
        <v>114.29</v>
      </c>
      <c r="H37" s="17">
        <f t="shared" si="0"/>
        <v>106.29</v>
      </c>
      <c r="I37" s="18" t="s">
        <v>36</v>
      </c>
      <c r="J37" s="19">
        <v>1</v>
      </c>
      <c r="K37" s="19">
        <v>2016</v>
      </c>
      <c r="L37" s="19" t="str">
        <f>"86.29"</f>
        <v>86.29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>
      <c r="A38" s="14">
        <v>36</v>
      </c>
      <c r="B38" s="14">
        <v>1957</v>
      </c>
      <c r="C38" s="14" t="s">
        <v>84</v>
      </c>
      <c r="D38" s="14" t="s">
        <v>40</v>
      </c>
      <c r="E38" s="15" t="str">
        <f>"114.35"</f>
        <v>114.35</v>
      </c>
      <c r="F38" s="15"/>
      <c r="G38" s="16" t="str">
        <f>"114.36"</f>
        <v>114.36</v>
      </c>
      <c r="H38" s="17">
        <f t="shared" si="0"/>
        <v>106.36</v>
      </c>
      <c r="I38" s="18"/>
      <c r="J38" s="19">
        <v>3</v>
      </c>
      <c r="K38" s="19">
        <v>2016</v>
      </c>
      <c r="L38" s="19" t="str">
        <f>"128.59"</f>
        <v>128.59</v>
      </c>
      <c r="M38" s="19"/>
      <c r="N38" s="19"/>
      <c r="O38" s="19"/>
      <c r="P38" s="19"/>
      <c r="Q38" s="19"/>
      <c r="R38" s="19"/>
      <c r="S38" s="19" t="str">
        <f>"163.12"</f>
        <v>163.12</v>
      </c>
      <c r="T38" s="19"/>
      <c r="U38" s="19"/>
      <c r="V38" s="19"/>
      <c r="W38" s="19"/>
      <c r="X38" s="19" t="str">
        <f>"128.60"</f>
        <v>128.60</v>
      </c>
      <c r="Y38" s="19" t="str">
        <f>"100.11"</f>
        <v>100.11</v>
      </c>
      <c r="Z38" s="19"/>
      <c r="AA38" s="19"/>
      <c r="AB38" s="19"/>
      <c r="AC38" s="19"/>
      <c r="AD38" s="19"/>
      <c r="AE38" s="19"/>
    </row>
    <row r="39" spans="1:31">
      <c r="A39" s="14">
        <v>37</v>
      </c>
      <c r="B39" s="14">
        <v>5716</v>
      </c>
      <c r="C39" s="14" t="s">
        <v>85</v>
      </c>
      <c r="D39" s="14" t="s">
        <v>40</v>
      </c>
      <c r="E39" s="15" t="str">
        <f>"107.28"</f>
        <v>107.28</v>
      </c>
      <c r="F39" s="15"/>
      <c r="G39" s="16" t="str">
        <f>"115.56"</f>
        <v>115.56</v>
      </c>
      <c r="H39" s="17">
        <f t="shared" si="0"/>
        <v>107.56</v>
      </c>
      <c r="I39" s="18"/>
      <c r="J39" s="19">
        <v>3</v>
      </c>
      <c r="K39" s="19">
        <v>2016</v>
      </c>
      <c r="L39" s="19" t="str">
        <f>"107.28"</f>
        <v>107.28</v>
      </c>
      <c r="M39" s="19"/>
      <c r="N39" s="19"/>
      <c r="O39" s="19"/>
      <c r="P39" s="19"/>
      <c r="Q39" s="19"/>
      <c r="R39" s="19"/>
      <c r="S39" s="19" t="str">
        <f>"135.50"</f>
        <v>135.50</v>
      </c>
      <c r="T39" s="19"/>
      <c r="U39" s="19"/>
      <c r="V39" s="19"/>
      <c r="W39" s="19"/>
      <c r="X39" s="19" t="str">
        <f>"183.21"</f>
        <v>183.21</v>
      </c>
      <c r="Y39" s="19" t="str">
        <f>"156.14"</f>
        <v>156.14</v>
      </c>
      <c r="Z39" s="19" t="str">
        <f>"139.76"</f>
        <v>139.76</v>
      </c>
      <c r="AA39" s="19" t="str">
        <f>"133.91"</f>
        <v>133.91</v>
      </c>
      <c r="AB39" s="19"/>
      <c r="AC39" s="19" t="str">
        <f>"118.58"</f>
        <v>118.58</v>
      </c>
      <c r="AD39" s="19"/>
      <c r="AE39" s="19" t="str">
        <f>"112.54"</f>
        <v>112.54</v>
      </c>
    </row>
    <row r="40" spans="1:31">
      <c r="A40" s="14">
        <v>38</v>
      </c>
      <c r="B40" s="14">
        <v>5448</v>
      </c>
      <c r="C40" s="14" t="s">
        <v>86</v>
      </c>
      <c r="D40" s="14" t="s">
        <v>87</v>
      </c>
      <c r="E40" s="15" t="str">
        <f>"88.68"</f>
        <v>88.68</v>
      </c>
      <c r="F40" s="15"/>
      <c r="G40" s="16" t="str">
        <f>"116.67"</f>
        <v>116.67</v>
      </c>
      <c r="H40" s="17">
        <f t="shared" si="0"/>
        <v>108.67</v>
      </c>
      <c r="I40" s="18"/>
      <c r="J40" s="19">
        <v>3</v>
      </c>
      <c r="K40" s="19">
        <v>2016</v>
      </c>
      <c r="L40" s="19" t="str">
        <f>"88.68"</f>
        <v>88.68</v>
      </c>
      <c r="M40" s="19"/>
      <c r="N40" s="19"/>
      <c r="O40" s="19"/>
      <c r="P40" s="19"/>
      <c r="Q40" s="19" t="str">
        <f>"125.66"</f>
        <v>125.66</v>
      </c>
      <c r="R40" s="19"/>
      <c r="S40" s="19"/>
      <c r="T40" s="19"/>
      <c r="U40" s="19"/>
      <c r="V40" s="19" t="str">
        <f>"107.67"</f>
        <v>107.67</v>
      </c>
      <c r="W40" s="19"/>
      <c r="X40" s="19"/>
      <c r="Y40" s="19" t="str">
        <f>"186.40"</f>
        <v>186.40</v>
      </c>
      <c r="Z40" s="19"/>
      <c r="AA40" s="19"/>
      <c r="AB40" s="19"/>
      <c r="AC40" s="19"/>
      <c r="AD40" s="19"/>
      <c r="AE40" s="19"/>
    </row>
    <row r="41" spans="1:31">
      <c r="A41" s="14">
        <v>39</v>
      </c>
      <c r="B41" s="14">
        <v>3875</v>
      </c>
      <c r="C41" s="14" t="s">
        <v>88</v>
      </c>
      <c r="D41" s="14" t="s">
        <v>89</v>
      </c>
      <c r="E41" s="15" t="str">
        <f>"89.22"</f>
        <v>89.22</v>
      </c>
      <c r="F41" s="15"/>
      <c r="G41" s="16" t="str">
        <f>"117.22"</f>
        <v>117.22</v>
      </c>
      <c r="H41" s="17">
        <f t="shared" si="0"/>
        <v>109.22</v>
      </c>
      <c r="I41" s="18" t="s">
        <v>36</v>
      </c>
      <c r="J41" s="19">
        <v>1</v>
      </c>
      <c r="K41" s="19">
        <v>2016</v>
      </c>
      <c r="L41" s="19" t="str">
        <f>"89.22"</f>
        <v>89.22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>
      <c r="A42" s="14">
        <v>40</v>
      </c>
      <c r="B42" s="14">
        <v>5486</v>
      </c>
      <c r="C42" s="14" t="s">
        <v>90</v>
      </c>
      <c r="D42" s="14" t="s">
        <v>53</v>
      </c>
      <c r="E42" s="15" t="str">
        <f>"108.33"</f>
        <v>108.33</v>
      </c>
      <c r="F42" s="15"/>
      <c r="G42" s="16" t="str">
        <f>"119.89"</f>
        <v>119.89</v>
      </c>
      <c r="H42" s="17">
        <f t="shared" si="0"/>
        <v>111.89</v>
      </c>
      <c r="I42" s="18"/>
      <c r="J42" s="19">
        <v>3</v>
      </c>
      <c r="K42" s="19">
        <v>2016</v>
      </c>
      <c r="L42" s="19" t="str">
        <f>"108.33"</f>
        <v>108.33</v>
      </c>
      <c r="M42" s="19"/>
      <c r="N42" s="19" t="str">
        <f>"115.18"</f>
        <v>115.18</v>
      </c>
      <c r="O42" s="19"/>
      <c r="P42" s="19" t="str">
        <f>"158.73"</f>
        <v>158.73</v>
      </c>
      <c r="Q42" s="19"/>
      <c r="R42" s="19"/>
      <c r="S42" s="19"/>
      <c r="T42" s="19" t="str">
        <f>"124.60"</f>
        <v>124.60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>
      <c r="A43" s="14">
        <v>41</v>
      </c>
      <c r="B43" s="14">
        <v>10561</v>
      </c>
      <c r="C43" s="14" t="s">
        <v>91</v>
      </c>
      <c r="D43" s="14" t="s">
        <v>40</v>
      </c>
      <c r="E43" s="15" t="str">
        <f>"123.48"</f>
        <v>123.48</v>
      </c>
      <c r="F43" s="15"/>
      <c r="G43" s="16" t="str">
        <f>"123.48"</f>
        <v>123.48</v>
      </c>
      <c r="H43" s="17">
        <f t="shared" si="0"/>
        <v>115.48</v>
      </c>
      <c r="I43" s="18"/>
      <c r="J43" s="19">
        <v>3</v>
      </c>
      <c r="K43" s="19">
        <v>2016</v>
      </c>
      <c r="L43" s="19" t="str">
        <f>"155.25"</f>
        <v>155.25</v>
      </c>
      <c r="M43" s="19"/>
      <c r="N43" s="19"/>
      <c r="O43" s="19"/>
      <c r="P43" s="19"/>
      <c r="Q43" s="19"/>
      <c r="R43" s="19"/>
      <c r="S43" s="19" t="str">
        <f>"100.17"</f>
        <v>100.17</v>
      </c>
      <c r="T43" s="19"/>
      <c r="U43" s="19"/>
      <c r="V43" s="19"/>
      <c r="W43" s="19"/>
      <c r="X43" s="19"/>
      <c r="Y43" s="19"/>
      <c r="Z43" s="19"/>
      <c r="AA43" s="19" t="str">
        <f>"146.78"</f>
        <v>146.78</v>
      </c>
      <c r="AB43" s="19"/>
      <c r="AC43" s="19"/>
      <c r="AD43" s="19"/>
      <c r="AE43" s="19"/>
    </row>
    <row r="44" spans="1:31">
      <c r="A44" s="14">
        <v>42</v>
      </c>
      <c r="B44" s="14">
        <v>5415</v>
      </c>
      <c r="C44" s="14" t="s">
        <v>92</v>
      </c>
      <c r="D44" s="14" t="s">
        <v>53</v>
      </c>
      <c r="E44" s="15" t="str">
        <f>"97.72"</f>
        <v>97.72</v>
      </c>
      <c r="F44" s="15"/>
      <c r="G44" s="16" t="str">
        <f>"124.74"</f>
        <v>124.74</v>
      </c>
      <c r="H44" s="17">
        <f t="shared" si="0"/>
        <v>116.74</v>
      </c>
      <c r="I44" s="18" t="s">
        <v>38</v>
      </c>
      <c r="J44" s="19">
        <v>2</v>
      </c>
      <c r="K44" s="19">
        <v>2016</v>
      </c>
      <c r="L44" s="19" t="str">
        <f>"98.69"</f>
        <v>98.69</v>
      </c>
      <c r="M44" s="19"/>
      <c r="N44" s="19"/>
      <c r="O44" s="19"/>
      <c r="P44" s="19"/>
      <c r="Q44" s="19"/>
      <c r="R44" s="19"/>
      <c r="S44" s="19"/>
      <c r="T44" s="19" t="str">
        <f>"96.74"</f>
        <v>96.74</v>
      </c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>
      <c r="A45" s="14">
        <v>43</v>
      </c>
      <c r="B45" s="14">
        <v>5734</v>
      </c>
      <c r="C45" s="14" t="s">
        <v>93</v>
      </c>
      <c r="D45" s="14" t="s">
        <v>53</v>
      </c>
      <c r="E45" s="15" t="str">
        <f>"126.55"</f>
        <v>126.55</v>
      </c>
      <c r="F45" s="15"/>
      <c r="G45" s="16" t="str">
        <f>"126.55"</f>
        <v>126.55</v>
      </c>
      <c r="H45" s="17">
        <f t="shared" si="0"/>
        <v>118.55</v>
      </c>
      <c r="I45" s="18"/>
      <c r="J45" s="19">
        <v>3</v>
      </c>
      <c r="K45" s="19">
        <v>2016</v>
      </c>
      <c r="L45" s="19" t="str">
        <f>"130.32"</f>
        <v>130.32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 t="str">
        <f>"127.09"</f>
        <v>127.09</v>
      </c>
      <c r="Z45" s="19"/>
      <c r="AA45" s="19"/>
      <c r="AB45" s="19"/>
      <c r="AC45" s="19" t="str">
        <f>"149.13"</f>
        <v>149.13</v>
      </c>
      <c r="AD45" s="19"/>
      <c r="AE45" s="19" t="str">
        <f>"126.01"</f>
        <v>126.01</v>
      </c>
    </row>
    <row r="46" spans="1:31">
      <c r="A46" s="14">
        <v>44</v>
      </c>
      <c r="B46" s="14">
        <v>4028</v>
      </c>
      <c r="C46" s="14" t="s">
        <v>94</v>
      </c>
      <c r="D46" s="14" t="s">
        <v>95</v>
      </c>
      <c r="E46" s="15" t="str">
        <f>"128.56"</f>
        <v>128.56</v>
      </c>
      <c r="F46" s="15"/>
      <c r="G46" s="16" t="str">
        <f>"128.56"</f>
        <v>128.56</v>
      </c>
      <c r="H46" s="17">
        <f t="shared" si="0"/>
        <v>120.56</v>
      </c>
      <c r="I46" s="18"/>
      <c r="J46" s="19">
        <v>3</v>
      </c>
      <c r="K46" s="19">
        <v>2016</v>
      </c>
      <c r="L46" s="19" t="str">
        <f>"161.64"</f>
        <v>161.64</v>
      </c>
      <c r="M46" s="19"/>
      <c r="N46" s="19"/>
      <c r="O46" s="19"/>
      <c r="P46" s="19"/>
      <c r="Q46" s="19" t="str">
        <f>"157.70"</f>
        <v>157.70</v>
      </c>
      <c r="R46" s="19"/>
      <c r="S46" s="19"/>
      <c r="T46" s="19"/>
      <c r="U46" s="19" t="str">
        <f>"99.41"</f>
        <v>99.41</v>
      </c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>
      <c r="A47" s="14">
        <v>45</v>
      </c>
      <c r="B47" s="14">
        <v>10310</v>
      </c>
      <c r="C47" s="14" t="s">
        <v>96</v>
      </c>
      <c r="D47" s="14" t="s">
        <v>97</v>
      </c>
      <c r="E47" s="15" t="str">
        <f>"129.36"</f>
        <v>129.36</v>
      </c>
      <c r="F47" s="15"/>
      <c r="G47" s="16" t="str">
        <f>"128.82"</f>
        <v>128.82</v>
      </c>
      <c r="H47" s="17">
        <f t="shared" si="0"/>
        <v>120.82</v>
      </c>
      <c r="I47" s="18" t="s">
        <v>38</v>
      </c>
      <c r="J47" s="19">
        <v>2</v>
      </c>
      <c r="K47" s="19">
        <v>2016</v>
      </c>
      <c r="L47" s="19" t="str">
        <f>"157.89"</f>
        <v>157.89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 t="str">
        <f>"100.82"</f>
        <v>100.82</v>
      </c>
      <c r="AC47" s="19"/>
      <c r="AD47" s="19"/>
      <c r="AE47" s="19"/>
    </row>
    <row r="48" spans="1:31">
      <c r="A48" s="14">
        <v>46</v>
      </c>
      <c r="B48" s="14">
        <v>6769</v>
      </c>
      <c r="C48" s="14" t="s">
        <v>98</v>
      </c>
      <c r="D48" s="14" t="s">
        <v>99</v>
      </c>
      <c r="E48" s="15" t="str">
        <f>"101.53"</f>
        <v>101.53</v>
      </c>
      <c r="F48" s="15"/>
      <c r="G48" s="16" t="str">
        <f>"129.53"</f>
        <v>129.53</v>
      </c>
      <c r="H48" s="17">
        <f t="shared" si="0"/>
        <v>121.53</v>
      </c>
      <c r="I48" s="18" t="s">
        <v>36</v>
      </c>
      <c r="J48" s="19">
        <v>1</v>
      </c>
      <c r="K48" s="19">
        <v>2016</v>
      </c>
      <c r="L48" s="19" t="str">
        <f>"101.53"</f>
        <v>101.53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>
      <c r="A49" s="14">
        <v>47</v>
      </c>
      <c r="B49" s="14">
        <v>7567</v>
      </c>
      <c r="C49" s="14" t="s">
        <v>100</v>
      </c>
      <c r="D49" s="14" t="s">
        <v>53</v>
      </c>
      <c r="E49" s="15" t="str">
        <f>"107.89"</f>
        <v>107.89</v>
      </c>
      <c r="F49" s="15"/>
      <c r="G49" s="16" t="str">
        <f>"130.82"</f>
        <v>130.82</v>
      </c>
      <c r="H49" s="17">
        <f t="shared" si="0"/>
        <v>122.82</v>
      </c>
      <c r="I49" s="18"/>
      <c r="J49" s="19">
        <v>3</v>
      </c>
      <c r="K49" s="19">
        <v>2016</v>
      </c>
      <c r="L49" s="19" t="str">
        <f>"107.89"</f>
        <v>107.89</v>
      </c>
      <c r="M49" s="19"/>
      <c r="N49" s="19" t="str">
        <f>"145.26"</f>
        <v>145.26</v>
      </c>
      <c r="O49" s="19"/>
      <c r="P49" s="19" t="str">
        <f>"160.73"</f>
        <v>160.73</v>
      </c>
      <c r="Q49" s="19"/>
      <c r="R49" s="19"/>
      <c r="S49" s="19"/>
      <c r="T49" s="19" t="str">
        <f>"270.18"</f>
        <v>270.18</v>
      </c>
      <c r="U49" s="19"/>
      <c r="V49" s="19"/>
      <c r="W49" s="19"/>
      <c r="X49" s="19"/>
      <c r="Y49" s="19" t="str">
        <f>"145.59"</f>
        <v>145.59</v>
      </c>
      <c r="Z49" s="19"/>
      <c r="AA49" s="19"/>
      <c r="AB49" s="19"/>
      <c r="AC49" s="19" t="str">
        <f>"124.04"</f>
        <v>124.04</v>
      </c>
      <c r="AD49" s="19"/>
      <c r="AE49" s="19" t="str">
        <f>"137.60"</f>
        <v>137.60</v>
      </c>
    </row>
    <row r="50" spans="1:31">
      <c r="A50" s="14">
        <v>48</v>
      </c>
      <c r="B50" s="14">
        <v>2418</v>
      </c>
      <c r="C50" s="14" t="s">
        <v>101</v>
      </c>
      <c r="D50" s="14" t="s">
        <v>40</v>
      </c>
      <c r="E50" s="15" t="str">
        <f>"130.94"</f>
        <v>130.94</v>
      </c>
      <c r="F50" s="15"/>
      <c r="G50" s="16" t="str">
        <f>"130.94"</f>
        <v>130.94</v>
      </c>
      <c r="H50" s="17">
        <f t="shared" si="0"/>
        <v>122.94</v>
      </c>
      <c r="I50" s="18"/>
      <c r="J50" s="19">
        <v>3</v>
      </c>
      <c r="K50" s="19">
        <v>2016</v>
      </c>
      <c r="L50" s="19" t="str">
        <f>"161.94"</f>
        <v>161.94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 t="str">
        <f>"145.72"</f>
        <v>145.72</v>
      </c>
      <c r="Z50" s="19" t="str">
        <f>"144.16"</f>
        <v>144.16</v>
      </c>
      <c r="AA50" s="19" t="str">
        <f>"117.72"</f>
        <v>117.72</v>
      </c>
      <c r="AB50" s="19"/>
      <c r="AC50" s="19"/>
      <c r="AD50" s="19"/>
      <c r="AE50" s="19"/>
    </row>
    <row r="51" spans="1:31">
      <c r="A51" s="14">
        <v>49</v>
      </c>
      <c r="B51" s="14">
        <v>1490</v>
      </c>
      <c r="C51" s="14" t="s">
        <v>102</v>
      </c>
      <c r="D51" s="14" t="s">
        <v>103</v>
      </c>
      <c r="E51" s="15" t="str">
        <f>"82.48"</f>
        <v>82.48</v>
      </c>
      <c r="F51" s="15"/>
      <c r="G51" s="16" t="str">
        <f>"131.04"</f>
        <v>131.04</v>
      </c>
      <c r="H51" s="17">
        <f t="shared" si="0"/>
        <v>123.03999999999999</v>
      </c>
      <c r="I51" s="18" t="s">
        <v>38</v>
      </c>
      <c r="J51" s="19">
        <v>2</v>
      </c>
      <c r="K51" s="19">
        <v>2016</v>
      </c>
      <c r="L51" s="19" t="str">
        <f>"82.48"</f>
        <v>82.48</v>
      </c>
      <c r="M51" s="19"/>
      <c r="N51" s="19"/>
      <c r="O51" s="19"/>
      <c r="P51" s="19"/>
      <c r="Q51" s="19"/>
      <c r="R51" s="19"/>
      <c r="S51" s="19"/>
      <c r="T51" s="19"/>
      <c r="U51" s="19" t="str">
        <f>"103.04"</f>
        <v>103.04</v>
      </c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>
      <c r="A52" s="14">
        <v>50</v>
      </c>
      <c r="B52" s="14">
        <v>4474</v>
      </c>
      <c r="C52" s="14" t="s">
        <v>104</v>
      </c>
      <c r="D52" s="14" t="s">
        <v>105</v>
      </c>
      <c r="E52" s="15" t="str">
        <f>"104.37"</f>
        <v>104.37</v>
      </c>
      <c r="F52" s="15"/>
      <c r="G52" s="16" t="str">
        <f>"132.37"</f>
        <v>132.37</v>
      </c>
      <c r="H52" s="17">
        <f t="shared" si="0"/>
        <v>124.37</v>
      </c>
      <c r="I52" s="18" t="s">
        <v>36</v>
      </c>
      <c r="J52" s="19">
        <v>1</v>
      </c>
      <c r="K52" s="19">
        <v>2016</v>
      </c>
      <c r="L52" s="19" t="str">
        <f>"104.37"</f>
        <v>104.37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>
      <c r="A53" s="14">
        <v>51</v>
      </c>
      <c r="B53" s="14">
        <v>10852</v>
      </c>
      <c r="C53" s="14" t="s">
        <v>106</v>
      </c>
      <c r="D53" s="14" t="s">
        <v>40</v>
      </c>
      <c r="E53" s="15" t="str">
        <f>"132.76"</f>
        <v>132.76</v>
      </c>
      <c r="F53" s="15"/>
      <c r="G53" s="16" t="str">
        <f>"132.76"</f>
        <v>132.76</v>
      </c>
      <c r="H53" s="17">
        <f t="shared" si="0"/>
        <v>124.75999999999999</v>
      </c>
      <c r="I53" s="18"/>
      <c r="J53" s="19">
        <v>5</v>
      </c>
      <c r="K53" s="19">
        <v>2016</v>
      </c>
      <c r="L53" s="19"/>
      <c r="M53" s="19"/>
      <c r="N53" s="19"/>
      <c r="O53" s="19"/>
      <c r="P53" s="19"/>
      <c r="Q53" s="19"/>
      <c r="R53" s="19" t="str">
        <f>"147.37"</f>
        <v>147.37</v>
      </c>
      <c r="S53" s="19" t="str">
        <f>"135.84"</f>
        <v>135.84</v>
      </c>
      <c r="T53" s="19"/>
      <c r="U53" s="19"/>
      <c r="V53" s="19"/>
      <c r="W53" s="19" t="str">
        <f>"129.67"</f>
        <v>129.67</v>
      </c>
      <c r="X53" s="19"/>
      <c r="Y53" s="19"/>
      <c r="Z53" s="19"/>
      <c r="AA53" s="19"/>
      <c r="AB53" s="19"/>
      <c r="AC53" s="19" t="str">
        <f>"163.31"</f>
        <v>163.31</v>
      </c>
      <c r="AD53" s="19" t="str">
        <f>"143.74"</f>
        <v>143.74</v>
      </c>
      <c r="AE53" s="19" t="str">
        <f>"142.67"</f>
        <v>142.67</v>
      </c>
    </row>
    <row r="54" spans="1:31">
      <c r="A54" s="14">
        <v>52</v>
      </c>
      <c r="B54" s="14">
        <v>3285</v>
      </c>
      <c r="C54" s="14" t="s">
        <v>107</v>
      </c>
      <c r="D54" s="14" t="s">
        <v>108</v>
      </c>
      <c r="E54" s="15" t="str">
        <f>"108.79"</f>
        <v>108.79</v>
      </c>
      <c r="F54" s="15"/>
      <c r="G54" s="16" t="str">
        <f>"136.79"</f>
        <v>136.79</v>
      </c>
      <c r="H54" s="17">
        <f t="shared" si="0"/>
        <v>128.79</v>
      </c>
      <c r="I54" s="18" t="s">
        <v>36</v>
      </c>
      <c r="J54" s="19">
        <v>1</v>
      </c>
      <c r="K54" s="19">
        <v>2016</v>
      </c>
      <c r="L54" s="19" t="str">
        <f>"108.79"</f>
        <v>108.79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>
      <c r="A55" s="14">
        <v>53</v>
      </c>
      <c r="B55" s="14">
        <v>8379</v>
      </c>
      <c r="C55" s="14" t="s">
        <v>109</v>
      </c>
      <c r="D55" s="14" t="s">
        <v>110</v>
      </c>
      <c r="E55" s="15" t="str">
        <f>"109.33"</f>
        <v>109.33</v>
      </c>
      <c r="F55" s="15"/>
      <c r="G55" s="16" t="str">
        <f>"137.33"</f>
        <v>137.33</v>
      </c>
      <c r="H55" s="17">
        <f t="shared" si="0"/>
        <v>129.33000000000001</v>
      </c>
      <c r="I55" s="18" t="s">
        <v>36</v>
      </c>
      <c r="J55" s="19">
        <v>1</v>
      </c>
      <c r="K55" s="19">
        <v>2016</v>
      </c>
      <c r="L55" s="19" t="str">
        <f>"109.33"</f>
        <v>109.33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>
      <c r="A56" s="14">
        <v>54</v>
      </c>
      <c r="B56" s="14">
        <v>5406</v>
      </c>
      <c r="C56" s="14" t="s">
        <v>111</v>
      </c>
      <c r="D56" s="14" t="s">
        <v>112</v>
      </c>
      <c r="E56" s="15" t="str">
        <f>"159.20"</f>
        <v>159.20</v>
      </c>
      <c r="F56" s="15"/>
      <c r="G56" s="16" t="str">
        <f>"138.09"</f>
        <v>138.09</v>
      </c>
      <c r="H56" s="17">
        <f t="shared" si="0"/>
        <v>130.09</v>
      </c>
      <c r="I56" s="18" t="s">
        <v>38</v>
      </c>
      <c r="J56" s="19">
        <v>2</v>
      </c>
      <c r="K56" s="19">
        <v>2016</v>
      </c>
      <c r="L56" s="19" t="str">
        <f>"208.30"</f>
        <v>208.30</v>
      </c>
      <c r="M56" s="19"/>
      <c r="N56" s="19"/>
      <c r="O56" s="19"/>
      <c r="P56" s="19"/>
      <c r="Q56" s="19"/>
      <c r="R56" s="19"/>
      <c r="S56" s="19"/>
      <c r="T56" s="19"/>
      <c r="U56" s="19"/>
      <c r="V56" s="19" t="str">
        <f>"110.09"</f>
        <v>110.09</v>
      </c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>
      <c r="A57" s="14">
        <v>55</v>
      </c>
      <c r="B57" s="14">
        <v>2410</v>
      </c>
      <c r="C57" s="14" t="s">
        <v>113</v>
      </c>
      <c r="D57" s="14" t="s">
        <v>40</v>
      </c>
      <c r="E57" s="15" t="str">
        <f>"104.79"</f>
        <v>104.79</v>
      </c>
      <c r="F57" s="15"/>
      <c r="G57" s="16" t="str">
        <f>"139.05"</f>
        <v>139.05</v>
      </c>
      <c r="H57" s="17">
        <f t="shared" si="0"/>
        <v>131.05000000000001</v>
      </c>
      <c r="I57" s="18"/>
      <c r="J57" s="19">
        <v>3</v>
      </c>
      <c r="K57" s="19">
        <v>2016</v>
      </c>
      <c r="L57" s="19" t="str">
        <f>"104.79"</f>
        <v>104.79</v>
      </c>
      <c r="M57" s="19"/>
      <c r="N57" s="19"/>
      <c r="O57" s="19"/>
      <c r="P57" s="19"/>
      <c r="Q57" s="19"/>
      <c r="R57" s="19"/>
      <c r="S57" s="19" t="str">
        <f>"190.01"</f>
        <v>190.01</v>
      </c>
      <c r="T57" s="19"/>
      <c r="U57" s="19"/>
      <c r="V57" s="19"/>
      <c r="W57" s="19"/>
      <c r="X57" s="19" t="str">
        <f>"137.74"</f>
        <v>137.74</v>
      </c>
      <c r="Y57" s="19"/>
      <c r="Z57" s="19"/>
      <c r="AA57" s="19"/>
      <c r="AB57" s="19"/>
      <c r="AC57" s="19" t="str">
        <f>"146.95"</f>
        <v>146.95</v>
      </c>
      <c r="AD57" s="19"/>
      <c r="AE57" s="19" t="str">
        <f>"140.35"</f>
        <v>140.35</v>
      </c>
    </row>
    <row r="58" spans="1:31">
      <c r="A58" s="14">
        <v>56</v>
      </c>
      <c r="B58" s="14">
        <v>4368</v>
      </c>
      <c r="C58" s="14" t="s">
        <v>114</v>
      </c>
      <c r="D58" s="14" t="s">
        <v>115</v>
      </c>
      <c r="E58" s="15" t="str">
        <f>"141.26"</f>
        <v>141.26</v>
      </c>
      <c r="F58" s="15"/>
      <c r="G58" s="16" t="str">
        <f>"141.26"</f>
        <v>141.26</v>
      </c>
      <c r="H58" s="17">
        <f t="shared" si="0"/>
        <v>133.26</v>
      </c>
      <c r="I58" s="18"/>
      <c r="J58" s="19">
        <v>3</v>
      </c>
      <c r="K58" s="19">
        <v>2016</v>
      </c>
      <c r="L58" s="19" t="str">
        <f>"163.48"</f>
        <v>163.48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 t="str">
        <f>"149.26"</f>
        <v>149.26</v>
      </c>
      <c r="Z58" s="19" t="str">
        <f>"155.10"</f>
        <v>155.10</v>
      </c>
      <c r="AA58" s="19" t="str">
        <f>"165.04"</f>
        <v>165.04</v>
      </c>
      <c r="AB58" s="19" t="str">
        <f>"133.26"</f>
        <v>133.26</v>
      </c>
      <c r="AC58" s="19"/>
      <c r="AD58" s="19"/>
      <c r="AE58" s="19"/>
    </row>
    <row r="59" spans="1:31">
      <c r="A59" s="14">
        <v>57</v>
      </c>
      <c r="B59" s="14">
        <v>8104</v>
      </c>
      <c r="C59" s="14" t="s">
        <v>116</v>
      </c>
      <c r="D59" s="14" t="s">
        <v>117</v>
      </c>
      <c r="E59" s="15" t="str">
        <f>"142.48"</f>
        <v>142.48</v>
      </c>
      <c r="F59" s="15"/>
      <c r="G59" s="16" t="str">
        <f>"143.46"</f>
        <v>143.46</v>
      </c>
      <c r="H59" s="17">
        <f t="shared" si="0"/>
        <v>135.46</v>
      </c>
      <c r="I59" s="18"/>
      <c r="J59" s="19">
        <v>3</v>
      </c>
      <c r="K59" s="19">
        <v>2016</v>
      </c>
      <c r="L59" s="19" t="str">
        <f>"151.62"</f>
        <v>151.62</v>
      </c>
      <c r="M59" s="19"/>
      <c r="N59" s="19"/>
      <c r="O59" s="19"/>
      <c r="P59" s="19"/>
      <c r="Q59" s="19"/>
      <c r="R59" s="19"/>
      <c r="S59" s="19"/>
      <c r="T59" s="19"/>
      <c r="U59" s="19" t="str">
        <f>"153.57"</f>
        <v>153.57</v>
      </c>
      <c r="V59" s="19"/>
      <c r="W59" s="19"/>
      <c r="X59" s="19"/>
      <c r="Y59" s="19" t="str">
        <f>"133.34"</f>
        <v>133.34</v>
      </c>
      <c r="Z59" s="19"/>
      <c r="AA59" s="19"/>
      <c r="AB59" s="19"/>
      <c r="AC59" s="19"/>
      <c r="AD59" s="19"/>
      <c r="AE59" s="19"/>
    </row>
    <row r="60" spans="1:31">
      <c r="A60" s="14">
        <v>58</v>
      </c>
      <c r="B60" s="14">
        <v>3433</v>
      </c>
      <c r="C60" s="14" t="s">
        <v>118</v>
      </c>
      <c r="D60" s="14" t="s">
        <v>35</v>
      </c>
      <c r="E60" s="15" t="str">
        <f>"126.87"</f>
        <v>126.87</v>
      </c>
      <c r="F60" s="15"/>
      <c r="G60" s="16" t="str">
        <f>"143.70"</f>
        <v>143.70</v>
      </c>
      <c r="H60" s="17">
        <f t="shared" si="0"/>
        <v>135.69999999999999</v>
      </c>
      <c r="I60" s="18"/>
      <c r="J60" s="19">
        <v>3</v>
      </c>
      <c r="K60" s="19">
        <v>2016</v>
      </c>
      <c r="L60" s="19" t="str">
        <f>"126.87"</f>
        <v>126.87</v>
      </c>
      <c r="M60" s="19"/>
      <c r="N60" s="19"/>
      <c r="O60" s="19"/>
      <c r="P60" s="19"/>
      <c r="Q60" s="19" t="str">
        <f>"129.24"</f>
        <v>129.24</v>
      </c>
      <c r="R60" s="19"/>
      <c r="S60" s="19"/>
      <c r="T60" s="19"/>
      <c r="U60" s="19"/>
      <c r="V60" s="19"/>
      <c r="W60" s="19"/>
      <c r="X60" s="19"/>
      <c r="Y60" s="19" t="str">
        <f>"158.16"</f>
        <v>158.16</v>
      </c>
      <c r="Z60" s="19"/>
      <c r="AA60" s="19"/>
      <c r="AB60" s="19"/>
      <c r="AC60" s="19"/>
      <c r="AD60" s="19"/>
      <c r="AE60" s="19"/>
    </row>
    <row r="61" spans="1:31">
      <c r="A61" s="14">
        <v>59</v>
      </c>
      <c r="B61" s="14">
        <v>9964</v>
      </c>
      <c r="C61" s="14" t="s">
        <v>119</v>
      </c>
      <c r="D61" s="14" t="s">
        <v>40</v>
      </c>
      <c r="E61" s="15" t="str">
        <f>"144.41"</f>
        <v>144.41</v>
      </c>
      <c r="F61" s="15"/>
      <c r="G61" s="16" t="str">
        <f>"144.41"</f>
        <v>144.41</v>
      </c>
      <c r="H61" s="17">
        <f t="shared" si="0"/>
        <v>136.41</v>
      </c>
      <c r="I61" s="18"/>
      <c r="J61" s="19">
        <v>3</v>
      </c>
      <c r="K61" s="19">
        <v>2016</v>
      </c>
      <c r="L61" s="19" t="str">
        <f>"179.02"</f>
        <v>179.02</v>
      </c>
      <c r="M61" s="19"/>
      <c r="N61" s="19"/>
      <c r="O61" s="19"/>
      <c r="P61" s="19"/>
      <c r="Q61" s="19"/>
      <c r="R61" s="19"/>
      <c r="S61" s="19" t="str">
        <f>"145.36"</f>
        <v>145.36</v>
      </c>
      <c r="T61" s="19"/>
      <c r="U61" s="19"/>
      <c r="V61" s="19"/>
      <c r="W61" s="19"/>
      <c r="X61" s="19" t="str">
        <f>"143.46"</f>
        <v>143.46</v>
      </c>
      <c r="Y61" s="19"/>
      <c r="Z61" s="19"/>
      <c r="AA61" s="19"/>
      <c r="AB61" s="19"/>
      <c r="AC61" s="19"/>
      <c r="AD61" s="19"/>
      <c r="AE61" s="19"/>
    </row>
    <row r="62" spans="1:31">
      <c r="A62" s="14">
        <v>60</v>
      </c>
      <c r="B62" s="14">
        <v>4149</v>
      </c>
      <c r="C62" s="14" t="s">
        <v>120</v>
      </c>
      <c r="D62" s="14" t="s">
        <v>121</v>
      </c>
      <c r="E62" s="15" t="str">
        <f>"98.58"</f>
        <v>98.58</v>
      </c>
      <c r="F62" s="15"/>
      <c r="G62" s="16" t="str">
        <f>"145.99"</f>
        <v>145.99</v>
      </c>
      <c r="H62" s="17">
        <f t="shared" si="0"/>
        <v>137.99</v>
      </c>
      <c r="I62" s="18" t="s">
        <v>38</v>
      </c>
      <c r="J62" s="19">
        <v>2</v>
      </c>
      <c r="K62" s="19">
        <v>2016</v>
      </c>
      <c r="L62" s="19" t="str">
        <f>"98.58"</f>
        <v>98.58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 t="str">
        <f>"117.99"</f>
        <v>117.99</v>
      </c>
      <c r="Z62" s="19"/>
      <c r="AA62" s="19"/>
      <c r="AB62" s="19"/>
      <c r="AC62" s="19"/>
      <c r="AD62" s="19"/>
      <c r="AE62" s="19"/>
    </row>
    <row r="63" spans="1:31">
      <c r="A63" s="14">
        <v>61</v>
      </c>
      <c r="B63" s="14">
        <v>5489</v>
      </c>
      <c r="C63" s="14" t="s">
        <v>122</v>
      </c>
      <c r="D63" s="14" t="s">
        <v>51</v>
      </c>
      <c r="E63" s="15" t="str">
        <f>"132.80"</f>
        <v>132.80</v>
      </c>
      <c r="F63" s="15"/>
      <c r="G63" s="16">
        <v>146.80000000000001</v>
      </c>
      <c r="H63" s="17">
        <f t="shared" si="0"/>
        <v>138.80000000000001</v>
      </c>
      <c r="I63" s="18" t="s">
        <v>123</v>
      </c>
      <c r="J63" s="19">
        <v>1</v>
      </c>
      <c r="K63" s="19">
        <v>2016</v>
      </c>
      <c r="L63" s="19" t="str">
        <f>"132.80"</f>
        <v>132.80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>
      <c r="A64" s="14">
        <v>62</v>
      </c>
      <c r="B64" s="14">
        <v>5747</v>
      </c>
      <c r="C64" s="14" t="s">
        <v>124</v>
      </c>
      <c r="D64" s="14" t="s">
        <v>125</v>
      </c>
      <c r="E64" s="15" t="str">
        <f>"118.92"</f>
        <v>118.92</v>
      </c>
      <c r="F64" s="15"/>
      <c r="G64" s="16" t="str">
        <f>"146.92"</f>
        <v>146.92</v>
      </c>
      <c r="H64" s="17">
        <f t="shared" si="0"/>
        <v>138.91999999999999</v>
      </c>
      <c r="I64" s="18" t="s">
        <v>36</v>
      </c>
      <c r="J64" s="19">
        <v>1</v>
      </c>
      <c r="K64" s="19">
        <v>2016</v>
      </c>
      <c r="L64" s="19" t="str">
        <f>"118.92"</f>
        <v>118.92</v>
      </c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>
      <c r="A65" s="14">
        <v>63</v>
      </c>
      <c r="B65" s="14">
        <v>3308</v>
      </c>
      <c r="C65" s="14" t="s">
        <v>126</v>
      </c>
      <c r="D65" s="14" t="s">
        <v>127</v>
      </c>
      <c r="E65" s="15" t="str">
        <f>"94.20"</f>
        <v>94.20</v>
      </c>
      <c r="F65" s="15"/>
      <c r="G65" s="16" t="str">
        <f>"147.21"</f>
        <v>147.21</v>
      </c>
      <c r="H65" s="17">
        <f t="shared" si="0"/>
        <v>139.21</v>
      </c>
      <c r="I65" s="18"/>
      <c r="J65" s="19">
        <v>3</v>
      </c>
      <c r="K65" s="19">
        <v>2016</v>
      </c>
      <c r="L65" s="19" t="str">
        <f>"94.20"</f>
        <v>94.20</v>
      </c>
      <c r="M65" s="19"/>
      <c r="N65" s="19"/>
      <c r="O65" s="19"/>
      <c r="P65" s="19"/>
      <c r="Q65" s="19" t="str">
        <f>"118.22"</f>
        <v>118.22</v>
      </c>
      <c r="R65" s="19"/>
      <c r="S65" s="19"/>
      <c r="T65" s="19"/>
      <c r="U65" s="19"/>
      <c r="V65" s="19"/>
      <c r="W65" s="19"/>
      <c r="X65" s="19"/>
      <c r="Y65" s="19" t="str">
        <f>"179.07"</f>
        <v>179.07</v>
      </c>
      <c r="Z65" s="19"/>
      <c r="AA65" s="19"/>
      <c r="AB65" s="19" t="str">
        <f>"176.19"</f>
        <v>176.19</v>
      </c>
      <c r="AC65" s="19"/>
      <c r="AD65" s="19"/>
      <c r="AE65" s="19"/>
    </row>
    <row r="66" spans="1:31">
      <c r="A66" s="14">
        <v>64</v>
      </c>
      <c r="B66" s="14">
        <v>8199</v>
      </c>
      <c r="C66" s="14" t="s">
        <v>128</v>
      </c>
      <c r="D66" s="14" t="s">
        <v>129</v>
      </c>
      <c r="E66" s="15" t="str">
        <f>"123.43"</f>
        <v>123.43</v>
      </c>
      <c r="F66" s="15"/>
      <c r="G66" s="16" t="str">
        <f>"147.22"</f>
        <v>147.22</v>
      </c>
      <c r="H66" s="17">
        <f t="shared" si="0"/>
        <v>139.22</v>
      </c>
      <c r="I66" s="18" t="s">
        <v>38</v>
      </c>
      <c r="J66" s="19">
        <v>2</v>
      </c>
      <c r="K66" s="19">
        <v>2016</v>
      </c>
      <c r="L66" s="19" t="str">
        <f>"127.64"</f>
        <v>127.64</v>
      </c>
      <c r="M66" s="19"/>
      <c r="N66" s="19"/>
      <c r="O66" s="19"/>
      <c r="P66" s="19"/>
      <c r="Q66" s="19"/>
      <c r="R66" s="19"/>
      <c r="S66" s="19"/>
      <c r="T66" s="19"/>
      <c r="U66" s="19" t="str">
        <f>"119.22"</f>
        <v>119.22</v>
      </c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>
      <c r="A67" s="14">
        <v>65</v>
      </c>
      <c r="B67" s="14">
        <v>10176</v>
      </c>
      <c r="C67" s="14" t="s">
        <v>130</v>
      </c>
      <c r="D67" s="14" t="s">
        <v>53</v>
      </c>
      <c r="E67" s="15" t="str">
        <f>"147.70"</f>
        <v>147.70</v>
      </c>
      <c r="F67" s="15"/>
      <c r="G67" s="16" t="str">
        <f>"147.70"</f>
        <v>147.70</v>
      </c>
      <c r="H67" s="17">
        <f t="shared" ref="H67:H130" si="1">G67-8</f>
        <v>139.69999999999999</v>
      </c>
      <c r="I67" s="18"/>
      <c r="J67" s="19">
        <v>3</v>
      </c>
      <c r="K67" s="19">
        <v>2016</v>
      </c>
      <c r="L67" s="19" t="str">
        <f>"175.88"</f>
        <v>175.88</v>
      </c>
      <c r="M67" s="19"/>
      <c r="N67" s="19"/>
      <c r="O67" s="19"/>
      <c r="P67" s="19"/>
      <c r="Q67" s="19"/>
      <c r="R67" s="19"/>
      <c r="S67" s="19"/>
      <c r="T67" s="19" t="str">
        <f>"335.54"</f>
        <v>335.54</v>
      </c>
      <c r="U67" s="19" t="str">
        <f>"143.15"</f>
        <v>143.15</v>
      </c>
      <c r="V67" s="19"/>
      <c r="W67" s="19"/>
      <c r="X67" s="19"/>
      <c r="Y67" s="19"/>
      <c r="Z67" s="19"/>
      <c r="AA67" s="19"/>
      <c r="AB67" s="19"/>
      <c r="AC67" s="19" t="str">
        <f>"152.25"</f>
        <v>152.25</v>
      </c>
      <c r="AD67" s="19"/>
      <c r="AE67" s="19" t="str">
        <f>"173.09"</f>
        <v>173.09</v>
      </c>
    </row>
    <row r="68" spans="1:31">
      <c r="A68" s="14">
        <v>66</v>
      </c>
      <c r="B68" s="14">
        <v>1281</v>
      </c>
      <c r="C68" s="14" t="s">
        <v>131</v>
      </c>
      <c r="D68" s="14" t="s">
        <v>132</v>
      </c>
      <c r="E68" s="15" t="str">
        <f>"120.14"</f>
        <v>120.14</v>
      </c>
      <c r="F68" s="15"/>
      <c r="G68" s="16" t="str">
        <f>"148.14"</f>
        <v>148.14</v>
      </c>
      <c r="H68" s="17">
        <f t="shared" si="1"/>
        <v>140.13999999999999</v>
      </c>
      <c r="I68" s="18" t="s">
        <v>36</v>
      </c>
      <c r="J68" s="19">
        <v>1</v>
      </c>
      <c r="K68" s="19">
        <v>2016</v>
      </c>
      <c r="L68" s="19" t="str">
        <f>"120.14"</f>
        <v>120.14</v>
      </c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>
      <c r="A69" s="14">
        <v>67</v>
      </c>
      <c r="B69" s="14">
        <v>3679</v>
      </c>
      <c r="C69" s="14" t="s">
        <v>133</v>
      </c>
      <c r="D69" s="14" t="s">
        <v>134</v>
      </c>
      <c r="E69" s="15" t="str">
        <f>"109.78"</f>
        <v>109.78</v>
      </c>
      <c r="F69" s="15"/>
      <c r="G69" s="16" t="str">
        <f>"151.02"</f>
        <v>151.02</v>
      </c>
      <c r="H69" s="17">
        <f t="shared" si="1"/>
        <v>143.02000000000001</v>
      </c>
      <c r="I69" s="18" t="s">
        <v>38</v>
      </c>
      <c r="J69" s="19">
        <v>2</v>
      </c>
      <c r="K69" s="19">
        <v>2016</v>
      </c>
      <c r="L69" s="19" t="str">
        <f>"109.78"</f>
        <v>109.78</v>
      </c>
      <c r="M69" s="19"/>
      <c r="N69" s="19"/>
      <c r="O69" s="19"/>
      <c r="P69" s="19"/>
      <c r="Q69" s="19" t="str">
        <f>"123.02"</f>
        <v>123.02</v>
      </c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>
      <c r="A70" s="14">
        <v>68</v>
      </c>
      <c r="B70" s="14">
        <v>7707</v>
      </c>
      <c r="C70" s="14" t="s">
        <v>135</v>
      </c>
      <c r="D70" s="14" t="s">
        <v>40</v>
      </c>
      <c r="E70" s="15" t="str">
        <f>"115.71"</f>
        <v>115.71</v>
      </c>
      <c r="F70" s="15"/>
      <c r="G70" s="16" t="str">
        <f>"151.67"</f>
        <v>151.67</v>
      </c>
      <c r="H70" s="17">
        <f t="shared" si="1"/>
        <v>143.66999999999999</v>
      </c>
      <c r="I70" s="18"/>
      <c r="J70" s="19">
        <v>3</v>
      </c>
      <c r="K70" s="19">
        <v>2016</v>
      </c>
      <c r="L70" s="19" t="str">
        <f>"115.71"</f>
        <v>115.71</v>
      </c>
      <c r="M70" s="19"/>
      <c r="N70" s="19"/>
      <c r="O70" s="19"/>
      <c r="P70" s="19"/>
      <c r="Q70" s="19"/>
      <c r="R70" s="19"/>
      <c r="S70" s="19" t="str">
        <f>"141.40"</f>
        <v>141.40</v>
      </c>
      <c r="T70" s="19"/>
      <c r="U70" s="19"/>
      <c r="V70" s="19"/>
      <c r="W70" s="19"/>
      <c r="X70" s="19" t="str">
        <f>"197.86"</f>
        <v>197.86</v>
      </c>
      <c r="Y70" s="19"/>
      <c r="Z70" s="19"/>
      <c r="AA70" s="19"/>
      <c r="AB70" s="19"/>
      <c r="AC70" s="19"/>
      <c r="AD70" s="19"/>
      <c r="AE70" s="19" t="str">
        <f>"161.94"</f>
        <v>161.94</v>
      </c>
    </row>
    <row r="71" spans="1:31">
      <c r="A71" s="14">
        <v>69</v>
      </c>
      <c r="B71" s="14">
        <v>5147</v>
      </c>
      <c r="C71" s="14" t="s">
        <v>136</v>
      </c>
      <c r="D71" s="14" t="s">
        <v>137</v>
      </c>
      <c r="E71" s="15" t="str">
        <f>"80.92"</f>
        <v>80.92</v>
      </c>
      <c r="F71" s="15"/>
      <c r="G71" s="16" t="str">
        <f>"152.36"</f>
        <v>152.36</v>
      </c>
      <c r="H71" s="17">
        <f t="shared" si="1"/>
        <v>144.36000000000001</v>
      </c>
      <c r="I71" s="18" t="s">
        <v>38</v>
      </c>
      <c r="J71" s="19">
        <v>2</v>
      </c>
      <c r="K71" s="19">
        <v>2016</v>
      </c>
      <c r="L71" s="19" t="str">
        <f>"80.92"</f>
        <v>80.92</v>
      </c>
      <c r="M71" s="19"/>
      <c r="N71" s="19"/>
      <c r="O71" s="19"/>
      <c r="P71" s="19"/>
      <c r="Q71" s="19"/>
      <c r="R71" s="19"/>
      <c r="S71" s="19"/>
      <c r="T71" s="19"/>
      <c r="U71" s="19" t="str">
        <f>"124.36"</f>
        <v>124.36</v>
      </c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>
      <c r="A72" s="14">
        <v>70</v>
      </c>
      <c r="B72" s="14">
        <v>7582</v>
      </c>
      <c r="C72" s="14" t="s">
        <v>138</v>
      </c>
      <c r="D72" s="14" t="s">
        <v>139</v>
      </c>
      <c r="E72" s="15" t="str">
        <f>"124.82"</f>
        <v>124.82</v>
      </c>
      <c r="F72" s="15"/>
      <c r="G72" s="16" t="str">
        <f>"152.82"</f>
        <v>152.82</v>
      </c>
      <c r="H72" s="17">
        <f t="shared" si="1"/>
        <v>144.82</v>
      </c>
      <c r="I72" s="18" t="s">
        <v>36</v>
      </c>
      <c r="J72" s="19">
        <v>1</v>
      </c>
      <c r="K72" s="19">
        <v>2016</v>
      </c>
      <c r="L72" s="19" t="str">
        <f>"124.82"</f>
        <v>124.82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>
      <c r="A73" s="14">
        <v>71</v>
      </c>
      <c r="B73" s="14">
        <v>2876</v>
      </c>
      <c r="C73" s="14" t="s">
        <v>140</v>
      </c>
      <c r="D73" s="14" t="s">
        <v>141</v>
      </c>
      <c r="E73" s="15" t="str">
        <f>"124.89"</f>
        <v>124.89</v>
      </c>
      <c r="F73" s="15"/>
      <c r="G73" s="16" t="str">
        <f>"152.89"</f>
        <v>152.89</v>
      </c>
      <c r="H73" s="17">
        <f t="shared" si="1"/>
        <v>144.88999999999999</v>
      </c>
      <c r="I73" s="18" t="s">
        <v>36</v>
      </c>
      <c r="J73" s="19">
        <v>1</v>
      </c>
      <c r="K73" s="19">
        <v>2016</v>
      </c>
      <c r="L73" s="19" t="str">
        <f>"124.89"</f>
        <v>124.89</v>
      </c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>
      <c r="A74" s="14">
        <v>72</v>
      </c>
      <c r="B74" s="14">
        <v>3728</v>
      </c>
      <c r="C74" s="14" t="s">
        <v>142</v>
      </c>
      <c r="D74" s="14" t="s">
        <v>110</v>
      </c>
      <c r="E74" s="15" t="str">
        <f>"127.83"</f>
        <v>127.83</v>
      </c>
      <c r="F74" s="15"/>
      <c r="G74" s="16" t="str">
        <f>"155.83"</f>
        <v>155.83</v>
      </c>
      <c r="H74" s="17">
        <f t="shared" si="1"/>
        <v>147.83000000000001</v>
      </c>
      <c r="I74" s="18" t="s">
        <v>36</v>
      </c>
      <c r="J74" s="19">
        <v>1</v>
      </c>
      <c r="K74" s="19">
        <v>2016</v>
      </c>
      <c r="L74" s="19" t="str">
        <f>"127.83"</f>
        <v>127.83</v>
      </c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>
      <c r="A75" s="14">
        <v>73</v>
      </c>
      <c r="B75" s="14">
        <v>4381</v>
      </c>
      <c r="C75" s="14" t="s">
        <v>143</v>
      </c>
      <c r="D75" s="14" t="s">
        <v>144</v>
      </c>
      <c r="E75" s="15" t="str">
        <f>"63.23"</f>
        <v>63.23</v>
      </c>
      <c r="F75" s="15"/>
      <c r="G75" s="16" t="str">
        <f>"157.17"</f>
        <v>157.17</v>
      </c>
      <c r="H75" s="17">
        <f t="shared" si="1"/>
        <v>149.16999999999999</v>
      </c>
      <c r="I75" s="18" t="s">
        <v>38</v>
      </c>
      <c r="J75" s="19">
        <v>2</v>
      </c>
      <c r="K75" s="19">
        <v>2016</v>
      </c>
      <c r="L75" s="19" t="str">
        <f>"63.23"</f>
        <v>63.23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 t="str">
        <f>"129.17"</f>
        <v>129.17</v>
      </c>
      <c r="Z75" s="19"/>
      <c r="AA75" s="19"/>
      <c r="AB75" s="19"/>
      <c r="AC75" s="19"/>
      <c r="AD75" s="19"/>
      <c r="AE75" s="19"/>
    </row>
    <row r="76" spans="1:31">
      <c r="A76" s="14">
        <v>74</v>
      </c>
      <c r="B76" s="14">
        <v>10216</v>
      </c>
      <c r="C76" s="14" t="s">
        <v>145</v>
      </c>
      <c r="D76" s="14" t="s">
        <v>40</v>
      </c>
      <c r="E76" s="15" t="str">
        <f>"157.37"</f>
        <v>157.37</v>
      </c>
      <c r="F76" s="15"/>
      <c r="G76" s="16" t="str">
        <f>"157.37"</f>
        <v>157.37</v>
      </c>
      <c r="H76" s="17">
        <f t="shared" si="1"/>
        <v>149.37</v>
      </c>
      <c r="I76" s="18"/>
      <c r="J76" s="19">
        <v>3</v>
      </c>
      <c r="K76" s="19">
        <v>2016</v>
      </c>
      <c r="L76" s="19" t="str">
        <f>"309.60"</f>
        <v>309.60</v>
      </c>
      <c r="M76" s="19"/>
      <c r="N76" s="19"/>
      <c r="O76" s="19"/>
      <c r="P76" s="19"/>
      <c r="Q76" s="19"/>
      <c r="R76" s="19" t="str">
        <f>"161.92"</f>
        <v>161.92</v>
      </c>
      <c r="S76" s="19" t="str">
        <f>"155.48"</f>
        <v>155.48</v>
      </c>
      <c r="T76" s="19"/>
      <c r="U76" s="19"/>
      <c r="V76" s="19"/>
      <c r="W76" s="19" t="str">
        <f>"176.06"</f>
        <v>176.06</v>
      </c>
      <c r="X76" s="19" t="str">
        <f>"275.69"</f>
        <v>275.69</v>
      </c>
      <c r="Y76" s="19"/>
      <c r="Z76" s="19"/>
      <c r="AA76" s="19"/>
      <c r="AB76" s="19"/>
      <c r="AC76" s="19" t="str">
        <f>"159.26"</f>
        <v>159.26</v>
      </c>
      <c r="AD76" s="19"/>
      <c r="AE76" s="19"/>
    </row>
    <row r="77" spans="1:31">
      <c r="A77" s="14">
        <v>75</v>
      </c>
      <c r="B77" s="14">
        <v>7572</v>
      </c>
      <c r="C77" s="14" t="s">
        <v>146</v>
      </c>
      <c r="D77" s="14" t="s">
        <v>53</v>
      </c>
      <c r="E77" s="15" t="str">
        <f>"116.08"</f>
        <v>116.08</v>
      </c>
      <c r="F77" s="15"/>
      <c r="G77" s="16" t="str">
        <f>"158.88"</f>
        <v>158.88</v>
      </c>
      <c r="H77" s="17">
        <f t="shared" si="1"/>
        <v>150.88</v>
      </c>
      <c r="I77" s="18"/>
      <c r="J77" s="19">
        <v>3</v>
      </c>
      <c r="K77" s="19">
        <v>2016</v>
      </c>
      <c r="L77" s="19" t="str">
        <f>"116.08"</f>
        <v>116.08</v>
      </c>
      <c r="M77" s="19"/>
      <c r="N77" s="19" t="str">
        <f>"126.86"</f>
        <v>126.86</v>
      </c>
      <c r="O77" s="19"/>
      <c r="P77" s="19"/>
      <c r="Q77" s="19"/>
      <c r="R77" s="19"/>
      <c r="S77" s="19"/>
      <c r="T77" s="19" t="str">
        <f>"190.90"</f>
        <v>190.90</v>
      </c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>
      <c r="A78" s="14">
        <v>76</v>
      </c>
      <c r="B78" s="14">
        <v>7841</v>
      </c>
      <c r="C78" s="14" t="s">
        <v>147</v>
      </c>
      <c r="D78" s="14" t="s">
        <v>53</v>
      </c>
      <c r="E78" s="15" t="str">
        <f>"159.50"</f>
        <v>159.50</v>
      </c>
      <c r="F78" s="15"/>
      <c r="G78" s="16" t="str">
        <f>"159.50"</f>
        <v>159.50</v>
      </c>
      <c r="H78" s="17">
        <f t="shared" si="1"/>
        <v>151.5</v>
      </c>
      <c r="I78" s="18"/>
      <c r="J78" s="19">
        <v>3</v>
      </c>
      <c r="K78" s="19">
        <v>2016</v>
      </c>
      <c r="L78" s="19" t="str">
        <f>"184.21"</f>
        <v>184.21</v>
      </c>
      <c r="M78" s="19"/>
      <c r="N78" s="19" t="str">
        <f>"178.10"</f>
        <v>178.10</v>
      </c>
      <c r="O78" s="19"/>
      <c r="P78" s="19"/>
      <c r="Q78" s="19"/>
      <c r="R78" s="19"/>
      <c r="S78" s="19"/>
      <c r="T78" s="19" t="str">
        <f>"344.66"</f>
        <v>344.66</v>
      </c>
      <c r="U78" s="19" t="str">
        <f>"140.89"</f>
        <v>140.89</v>
      </c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>
      <c r="A79" s="14">
        <v>77</v>
      </c>
      <c r="B79" s="14">
        <v>5751</v>
      </c>
      <c r="C79" s="14" t="s">
        <v>148</v>
      </c>
      <c r="D79" s="14" t="s">
        <v>51</v>
      </c>
      <c r="E79" s="15" t="str">
        <f>"132.54"</f>
        <v>132.54</v>
      </c>
      <c r="F79" s="15"/>
      <c r="G79" s="16" t="str">
        <f>"160.54"</f>
        <v>160.54</v>
      </c>
      <c r="H79" s="17">
        <f t="shared" si="1"/>
        <v>152.54</v>
      </c>
      <c r="I79" s="18" t="s">
        <v>36</v>
      </c>
      <c r="J79" s="19">
        <v>1</v>
      </c>
      <c r="K79" s="19">
        <v>2016</v>
      </c>
      <c r="L79" s="19" t="str">
        <f>"132.54"</f>
        <v>132.54</v>
      </c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>
      <c r="A80" s="14">
        <v>78</v>
      </c>
      <c r="B80" s="14">
        <v>1838</v>
      </c>
      <c r="C80" s="14" t="s">
        <v>149</v>
      </c>
      <c r="D80" s="14" t="s">
        <v>40</v>
      </c>
      <c r="E80" s="15" t="str">
        <f>"134.15"</f>
        <v>134.15</v>
      </c>
      <c r="F80" s="15"/>
      <c r="G80" s="16" t="str">
        <f>"162.15"</f>
        <v>162.15</v>
      </c>
      <c r="H80" s="17">
        <f t="shared" si="1"/>
        <v>154.15</v>
      </c>
      <c r="I80" s="18" t="s">
        <v>36</v>
      </c>
      <c r="J80" s="19">
        <v>1</v>
      </c>
      <c r="K80" s="19">
        <v>2016</v>
      </c>
      <c r="L80" s="19" t="str">
        <f>"134.15"</f>
        <v>134.15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>
      <c r="A81" s="14">
        <v>79</v>
      </c>
      <c r="B81" s="14">
        <v>3870</v>
      </c>
      <c r="C81" s="14" t="s">
        <v>150</v>
      </c>
      <c r="D81" s="14" t="s">
        <v>129</v>
      </c>
      <c r="E81" s="15" t="str">
        <f>"127.84"</f>
        <v>127.84</v>
      </c>
      <c r="F81" s="15"/>
      <c r="G81" s="16" t="str">
        <f>"163.37"</f>
        <v>163.37</v>
      </c>
      <c r="H81" s="17">
        <f t="shared" si="1"/>
        <v>155.37</v>
      </c>
      <c r="I81" s="18"/>
      <c r="J81" s="19">
        <v>3</v>
      </c>
      <c r="K81" s="19">
        <v>2016</v>
      </c>
      <c r="L81" s="19" t="str">
        <f>"127.84"</f>
        <v>127.84</v>
      </c>
      <c r="M81" s="19"/>
      <c r="N81" s="19"/>
      <c r="O81" s="19"/>
      <c r="P81" s="19"/>
      <c r="Q81" s="19" t="str">
        <f>"150.06"</f>
        <v>150.06</v>
      </c>
      <c r="R81" s="19"/>
      <c r="S81" s="19"/>
      <c r="T81" s="19"/>
      <c r="U81" s="19"/>
      <c r="V81" s="19"/>
      <c r="W81" s="19"/>
      <c r="X81" s="19"/>
      <c r="Y81" s="19" t="str">
        <f>"176.67"</f>
        <v>176.67</v>
      </c>
      <c r="Z81" s="19"/>
      <c r="AA81" s="19"/>
      <c r="AB81" s="19"/>
      <c r="AC81" s="19"/>
      <c r="AD81" s="19"/>
      <c r="AE81" s="19"/>
    </row>
    <row r="82" spans="1:31">
      <c r="A82" s="14">
        <v>80</v>
      </c>
      <c r="B82" s="14">
        <v>3668</v>
      </c>
      <c r="C82" s="14" t="s">
        <v>151</v>
      </c>
      <c r="D82" s="14" t="s">
        <v>152</v>
      </c>
      <c r="E82" s="15" t="str">
        <f>"145.87"</f>
        <v>145.87</v>
      </c>
      <c r="F82" s="15"/>
      <c r="G82" s="16" t="str">
        <f>"164.25"</f>
        <v>164.25</v>
      </c>
      <c r="H82" s="17">
        <f t="shared" si="1"/>
        <v>156.25</v>
      </c>
      <c r="I82" s="18" t="s">
        <v>38</v>
      </c>
      <c r="J82" s="19">
        <v>2</v>
      </c>
      <c r="K82" s="19">
        <v>2016</v>
      </c>
      <c r="L82" s="19" t="str">
        <f>"155.49"</f>
        <v>155.49</v>
      </c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 t="str">
        <f>"136.25"</f>
        <v>136.25</v>
      </c>
      <c r="Z82" s="19"/>
      <c r="AA82" s="19"/>
      <c r="AB82" s="19"/>
      <c r="AC82" s="19"/>
      <c r="AD82" s="19"/>
      <c r="AE82" s="19"/>
    </row>
    <row r="83" spans="1:31">
      <c r="A83" s="14">
        <v>81</v>
      </c>
      <c r="B83" s="14">
        <v>10110</v>
      </c>
      <c r="C83" s="14" t="s">
        <v>153</v>
      </c>
      <c r="D83" s="14" t="s">
        <v>154</v>
      </c>
      <c r="E83" s="15" t="str">
        <f>"164.80"</f>
        <v>164.80</v>
      </c>
      <c r="F83" s="15"/>
      <c r="G83" s="16" t="str">
        <f>"164.80"</f>
        <v>164.80</v>
      </c>
      <c r="H83" s="17">
        <f t="shared" si="1"/>
        <v>156.80000000000001</v>
      </c>
      <c r="I83" s="18"/>
      <c r="J83" s="19">
        <v>3</v>
      </c>
      <c r="K83" s="19">
        <v>2016</v>
      </c>
      <c r="L83" s="19" t="str">
        <f>"235.30"</f>
        <v>235.30</v>
      </c>
      <c r="M83" s="19" t="str">
        <f>"179.81"</f>
        <v>179.81</v>
      </c>
      <c r="N83" s="19"/>
      <c r="O83" s="19" t="str">
        <f>"149.78"</f>
        <v>149.78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>
      <c r="A84" s="14">
        <v>82</v>
      </c>
      <c r="B84" s="14">
        <v>2023</v>
      </c>
      <c r="C84" s="14" t="s">
        <v>155</v>
      </c>
      <c r="D84" s="14" t="s">
        <v>156</v>
      </c>
      <c r="E84" s="15" t="str">
        <f>"161.83"</f>
        <v>161.83</v>
      </c>
      <c r="F84" s="15"/>
      <c r="G84" s="16" t="str">
        <f>"166.07"</f>
        <v>166.07</v>
      </c>
      <c r="H84" s="17">
        <f t="shared" si="1"/>
        <v>158.07</v>
      </c>
      <c r="I84" s="18"/>
      <c r="J84" s="19">
        <v>3</v>
      </c>
      <c r="K84" s="19">
        <v>2016</v>
      </c>
      <c r="L84" s="19" t="str">
        <f>"167.50"</f>
        <v>167.50</v>
      </c>
      <c r="M84" s="19"/>
      <c r="N84" s="19"/>
      <c r="O84" s="19"/>
      <c r="P84" s="19"/>
      <c r="Q84" s="19" t="str">
        <f>"156.15"</f>
        <v>156.15</v>
      </c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 t="str">
        <f>"175.98"</f>
        <v>175.98</v>
      </c>
      <c r="AC84" s="19"/>
      <c r="AD84" s="19"/>
      <c r="AE84" s="19"/>
    </row>
    <row r="85" spans="1:31">
      <c r="A85" s="14">
        <v>83</v>
      </c>
      <c r="B85" s="14">
        <v>4295</v>
      </c>
      <c r="C85" s="14" t="s">
        <v>157</v>
      </c>
      <c r="D85" s="14" t="s">
        <v>158</v>
      </c>
      <c r="E85" s="15" t="str">
        <f>"133.07"</f>
        <v>133.07</v>
      </c>
      <c r="F85" s="15"/>
      <c r="G85" s="16" t="str">
        <f>"166.58"</f>
        <v>166.58</v>
      </c>
      <c r="H85" s="17">
        <f t="shared" si="1"/>
        <v>158.58000000000001</v>
      </c>
      <c r="I85" s="18" t="s">
        <v>38</v>
      </c>
      <c r="J85" s="19">
        <v>2</v>
      </c>
      <c r="K85" s="19">
        <v>2016</v>
      </c>
      <c r="L85" s="19" t="str">
        <f>"133.07"</f>
        <v>133.07</v>
      </c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 t="str">
        <f>"138.58"</f>
        <v>138.58</v>
      </c>
      <c r="Z85" s="19"/>
      <c r="AA85" s="19"/>
      <c r="AB85" s="19"/>
      <c r="AC85" s="19"/>
      <c r="AD85" s="19"/>
      <c r="AE85" s="19"/>
    </row>
    <row r="86" spans="1:31">
      <c r="A86" s="14">
        <v>84</v>
      </c>
      <c r="B86" s="14">
        <v>10713</v>
      </c>
      <c r="C86" s="14" t="s">
        <v>159</v>
      </c>
      <c r="D86" s="14" t="s">
        <v>160</v>
      </c>
      <c r="E86" s="15" t="str">
        <f>"126.44"</f>
        <v>126.44</v>
      </c>
      <c r="F86" s="15"/>
      <c r="G86" s="16" t="str">
        <f>"166.63"</f>
        <v>166.63</v>
      </c>
      <c r="H86" s="17">
        <f t="shared" si="1"/>
        <v>158.63</v>
      </c>
      <c r="I86" s="18" t="s">
        <v>38</v>
      </c>
      <c r="J86" s="19">
        <v>2</v>
      </c>
      <c r="K86" s="19">
        <v>2016</v>
      </c>
      <c r="L86" s="19" t="str">
        <f>"126.44"</f>
        <v>126.44</v>
      </c>
      <c r="M86" s="19"/>
      <c r="N86" s="19"/>
      <c r="O86" s="19"/>
      <c r="P86" s="19"/>
      <c r="Q86" s="19"/>
      <c r="R86" s="19"/>
      <c r="S86" s="19"/>
      <c r="T86" s="19"/>
      <c r="U86" s="19" t="str">
        <f>"138.63"</f>
        <v>138.63</v>
      </c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31">
      <c r="A87" s="14">
        <v>85</v>
      </c>
      <c r="B87" s="14">
        <v>7631</v>
      </c>
      <c r="C87" s="14" t="s">
        <v>161</v>
      </c>
      <c r="D87" s="14" t="s">
        <v>53</v>
      </c>
      <c r="E87" s="15" t="str">
        <f>"142.41"</f>
        <v>142.41</v>
      </c>
      <c r="F87" s="15"/>
      <c r="G87" s="16" t="str">
        <f>"167.00"</f>
        <v>167.00</v>
      </c>
      <c r="H87" s="17">
        <f t="shared" si="1"/>
        <v>159</v>
      </c>
      <c r="I87" s="18"/>
      <c r="J87" s="19">
        <v>3</v>
      </c>
      <c r="K87" s="19">
        <v>2016</v>
      </c>
      <c r="L87" s="19" t="str">
        <f>"142.41"</f>
        <v>142.41</v>
      </c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 t="str">
        <f>"165.10"</f>
        <v>165.10</v>
      </c>
      <c r="AA87" s="19" t="str">
        <f>"170.16"</f>
        <v>170.16</v>
      </c>
      <c r="AB87" s="19"/>
      <c r="AC87" s="19" t="str">
        <f>"203.52"</f>
        <v>203.52</v>
      </c>
      <c r="AD87" s="19"/>
      <c r="AE87" s="19" t="str">
        <f>"168.89"</f>
        <v>168.89</v>
      </c>
    </row>
    <row r="88" spans="1:31">
      <c r="A88" s="14">
        <v>86</v>
      </c>
      <c r="B88" s="14">
        <v>6698</v>
      </c>
      <c r="C88" s="14" t="s">
        <v>162</v>
      </c>
      <c r="D88" s="14" t="s">
        <v>40</v>
      </c>
      <c r="E88" s="15" t="str">
        <f>"167.13"</f>
        <v>167.13</v>
      </c>
      <c r="F88" s="15"/>
      <c r="G88" s="16" t="str">
        <f>"167.13"</f>
        <v>167.13</v>
      </c>
      <c r="H88" s="17">
        <f t="shared" si="1"/>
        <v>159.13</v>
      </c>
      <c r="I88" s="18"/>
      <c r="J88" s="19">
        <v>5</v>
      </c>
      <c r="K88" s="19">
        <v>2016</v>
      </c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 t="str">
        <f>"178.12"</f>
        <v>178.12</v>
      </c>
      <c r="AD88" s="19" t="str">
        <f>"189.27"</f>
        <v>189.27</v>
      </c>
      <c r="AE88" s="19" t="str">
        <f>"156.14"</f>
        <v>156.14</v>
      </c>
    </row>
    <row r="89" spans="1:31">
      <c r="A89" s="14">
        <v>87</v>
      </c>
      <c r="B89" s="14">
        <v>8382</v>
      </c>
      <c r="C89" s="14" t="s">
        <v>163</v>
      </c>
      <c r="D89" s="14" t="s">
        <v>156</v>
      </c>
      <c r="E89" s="15" t="str">
        <f>"140.87"</f>
        <v>140.87</v>
      </c>
      <c r="F89" s="15"/>
      <c r="G89" s="16" t="str">
        <f>"168.87"</f>
        <v>168.87</v>
      </c>
      <c r="H89" s="17">
        <f t="shared" si="1"/>
        <v>160.87</v>
      </c>
      <c r="I89" s="18" t="s">
        <v>36</v>
      </c>
      <c r="J89" s="19">
        <v>1</v>
      </c>
      <c r="K89" s="19">
        <v>2016</v>
      </c>
      <c r="L89" s="19" t="str">
        <f>"140.87"</f>
        <v>140.87</v>
      </c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>
      <c r="A90" s="14">
        <v>88</v>
      </c>
      <c r="B90" s="14">
        <v>6972</v>
      </c>
      <c r="C90" s="14" t="s">
        <v>164</v>
      </c>
      <c r="D90" s="14" t="s">
        <v>165</v>
      </c>
      <c r="E90" s="15" t="str">
        <f>"140.84"</f>
        <v>140.84</v>
      </c>
      <c r="F90" s="15"/>
      <c r="G90" s="16" t="str">
        <f>"170.88"</f>
        <v>170.88</v>
      </c>
      <c r="H90" s="17">
        <f t="shared" si="1"/>
        <v>162.88</v>
      </c>
      <c r="I90" s="18"/>
      <c r="J90" s="19">
        <v>3</v>
      </c>
      <c r="K90" s="19">
        <v>2016</v>
      </c>
      <c r="L90" s="19" t="str">
        <f>"141.21"</f>
        <v>141.21</v>
      </c>
      <c r="M90" s="19"/>
      <c r="N90" s="19"/>
      <c r="O90" s="19"/>
      <c r="P90" s="19"/>
      <c r="Q90" s="19" t="str">
        <f>"140.46"</f>
        <v>140.46</v>
      </c>
      <c r="R90" s="19"/>
      <c r="S90" s="19"/>
      <c r="T90" s="19"/>
      <c r="U90" s="19" t="str">
        <f>"232.89"</f>
        <v>232.89</v>
      </c>
      <c r="V90" s="19"/>
      <c r="W90" s="19"/>
      <c r="X90" s="19"/>
      <c r="Y90" s="19"/>
      <c r="Z90" s="19"/>
      <c r="AA90" s="19" t="str">
        <f>"201.29"</f>
        <v>201.29</v>
      </c>
      <c r="AB90" s="19"/>
      <c r="AC90" s="19"/>
      <c r="AD90" s="19"/>
      <c r="AE90" s="19"/>
    </row>
    <row r="91" spans="1:31">
      <c r="A91" s="14">
        <v>89</v>
      </c>
      <c r="B91" s="14">
        <v>1794</v>
      </c>
      <c r="C91" s="14" t="s">
        <v>166</v>
      </c>
      <c r="D91" s="14" t="s">
        <v>40</v>
      </c>
      <c r="E91" s="15" t="str">
        <f>"143.30"</f>
        <v>143.30</v>
      </c>
      <c r="F91" s="15"/>
      <c r="G91" s="16" t="str">
        <f>"171.30"</f>
        <v>171.30</v>
      </c>
      <c r="H91" s="17">
        <f t="shared" si="1"/>
        <v>163.30000000000001</v>
      </c>
      <c r="I91" s="18" t="s">
        <v>36</v>
      </c>
      <c r="J91" s="19">
        <v>1</v>
      </c>
      <c r="K91" s="19">
        <v>2016</v>
      </c>
      <c r="L91" s="19" t="str">
        <f>"143.30"</f>
        <v>143.30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>
      <c r="A92" s="14">
        <v>90</v>
      </c>
      <c r="B92" s="14">
        <v>8640</v>
      </c>
      <c r="C92" s="14" t="s">
        <v>167</v>
      </c>
      <c r="D92" s="14" t="s">
        <v>40</v>
      </c>
      <c r="E92" s="15" t="str">
        <f>"149.46"</f>
        <v>149.46</v>
      </c>
      <c r="F92" s="15"/>
      <c r="G92" s="16" t="str">
        <f>"171.35"</f>
        <v>171.35</v>
      </c>
      <c r="H92" s="17">
        <f t="shared" si="1"/>
        <v>163.35</v>
      </c>
      <c r="I92" s="18" t="s">
        <v>38</v>
      </c>
      <c r="J92" s="19">
        <v>2</v>
      </c>
      <c r="K92" s="19">
        <v>2016</v>
      </c>
      <c r="L92" s="19" t="str">
        <f>"155.56"</f>
        <v>155.56</v>
      </c>
      <c r="M92" s="19"/>
      <c r="N92" s="19"/>
      <c r="O92" s="19"/>
      <c r="P92" s="19"/>
      <c r="Q92" s="19"/>
      <c r="R92" s="19"/>
      <c r="S92" s="19" t="str">
        <f>"143.35"</f>
        <v>143.35</v>
      </c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>
      <c r="A93" s="14">
        <v>91</v>
      </c>
      <c r="B93" s="14">
        <v>9953</v>
      </c>
      <c r="C93" s="14" t="s">
        <v>168</v>
      </c>
      <c r="D93" s="14" t="s">
        <v>53</v>
      </c>
      <c r="E93" s="15" t="str">
        <f>"172.09"</f>
        <v>172.09</v>
      </c>
      <c r="F93" s="15"/>
      <c r="G93" s="16" t="str">
        <f>"172.09"</f>
        <v>172.09</v>
      </c>
      <c r="H93" s="17">
        <f t="shared" si="1"/>
        <v>164.09</v>
      </c>
      <c r="I93" s="18"/>
      <c r="J93" s="19">
        <v>3</v>
      </c>
      <c r="K93" s="19">
        <v>2016</v>
      </c>
      <c r="L93" s="19" t="str">
        <f>"203.30"</f>
        <v>203.30</v>
      </c>
      <c r="M93" s="19"/>
      <c r="N93" s="19" t="str">
        <f>"192.05"</f>
        <v>192.05</v>
      </c>
      <c r="O93" s="19"/>
      <c r="P93" s="19" t="str">
        <f>"220.18"</f>
        <v>220.18</v>
      </c>
      <c r="Q93" s="19"/>
      <c r="R93" s="19"/>
      <c r="S93" s="19"/>
      <c r="T93" s="19" t="str">
        <f>"306.70"</f>
        <v>306.70</v>
      </c>
      <c r="U93" s="19" t="str">
        <f>"152.13"</f>
        <v>152.13</v>
      </c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>
      <c r="A94" s="14">
        <v>92</v>
      </c>
      <c r="B94" s="14">
        <v>8636</v>
      </c>
      <c r="C94" s="14" t="s">
        <v>169</v>
      </c>
      <c r="D94" s="14" t="s">
        <v>40</v>
      </c>
      <c r="E94" s="15" t="str">
        <f>"160.54"</f>
        <v>160.54</v>
      </c>
      <c r="F94" s="15"/>
      <c r="G94" s="16" t="str">
        <f>"175.03"</f>
        <v>175.03</v>
      </c>
      <c r="H94" s="17">
        <f t="shared" si="1"/>
        <v>167.03</v>
      </c>
      <c r="I94" s="18" t="s">
        <v>38</v>
      </c>
      <c r="J94" s="19">
        <v>2</v>
      </c>
      <c r="K94" s="19">
        <v>2016</v>
      </c>
      <c r="L94" s="19" t="str">
        <f>"174.05"</f>
        <v>174.05</v>
      </c>
      <c r="M94" s="19"/>
      <c r="N94" s="19"/>
      <c r="O94" s="19"/>
      <c r="P94" s="19"/>
      <c r="Q94" s="19"/>
      <c r="R94" s="19"/>
      <c r="S94" s="19" t="str">
        <f>"147.03"</f>
        <v>147.03</v>
      </c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>
      <c r="A95" s="14">
        <v>93</v>
      </c>
      <c r="B95" s="14">
        <v>2241</v>
      </c>
      <c r="C95" s="14" t="s">
        <v>170</v>
      </c>
      <c r="D95" s="14" t="s">
        <v>40</v>
      </c>
      <c r="E95" s="15" t="str">
        <f>"175.13"</f>
        <v>175.13</v>
      </c>
      <c r="F95" s="15"/>
      <c r="G95" s="16" t="str">
        <f>"175.13"</f>
        <v>175.13</v>
      </c>
      <c r="H95" s="17">
        <f t="shared" si="1"/>
        <v>167.13</v>
      </c>
      <c r="I95" s="18"/>
      <c r="J95" s="19">
        <v>3</v>
      </c>
      <c r="K95" s="19">
        <v>2016</v>
      </c>
      <c r="L95" s="19" t="str">
        <f>"229.54"</f>
        <v>229.54</v>
      </c>
      <c r="M95" s="19"/>
      <c r="N95" s="19"/>
      <c r="O95" s="19"/>
      <c r="P95" s="19"/>
      <c r="Q95" s="19"/>
      <c r="R95" s="19"/>
      <c r="S95" s="19" t="str">
        <f>"186.86"</f>
        <v>186.86</v>
      </c>
      <c r="T95" s="19"/>
      <c r="U95" s="19"/>
      <c r="V95" s="19"/>
      <c r="W95" s="19"/>
      <c r="X95" s="19" t="str">
        <f>"262.09"</f>
        <v>262.09</v>
      </c>
      <c r="Y95" s="19"/>
      <c r="Z95" s="19"/>
      <c r="AA95" s="19"/>
      <c r="AB95" s="19"/>
      <c r="AC95" s="19" t="str">
        <f>"190.74"</f>
        <v>190.74</v>
      </c>
      <c r="AD95" s="19"/>
      <c r="AE95" s="19" t="str">
        <f>"163.39"</f>
        <v>163.39</v>
      </c>
    </row>
    <row r="96" spans="1:31">
      <c r="A96" s="14">
        <v>94</v>
      </c>
      <c r="B96" s="14">
        <v>5501</v>
      </c>
      <c r="C96" s="14" t="s">
        <v>171</v>
      </c>
      <c r="D96" s="14" t="s">
        <v>172</v>
      </c>
      <c r="E96" s="15" t="str">
        <f>"176.72"</f>
        <v>176.72</v>
      </c>
      <c r="F96" s="15"/>
      <c r="G96" s="16" t="str">
        <f>"176.72"</f>
        <v>176.72</v>
      </c>
      <c r="H96" s="17">
        <f t="shared" si="1"/>
        <v>168.72</v>
      </c>
      <c r="I96" s="18"/>
      <c r="J96" s="19">
        <v>3</v>
      </c>
      <c r="K96" s="19">
        <v>2016</v>
      </c>
      <c r="L96" s="19" t="str">
        <f>"336.56"</f>
        <v>336.56</v>
      </c>
      <c r="M96" s="19" t="str">
        <f>"204.21"</f>
        <v>204.21</v>
      </c>
      <c r="N96" s="19"/>
      <c r="O96" s="19" t="str">
        <f>"149.23"</f>
        <v>149.23</v>
      </c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31">
      <c r="A97" s="14">
        <v>95</v>
      </c>
      <c r="B97" s="14">
        <v>2186</v>
      </c>
      <c r="C97" s="14" t="s">
        <v>173</v>
      </c>
      <c r="D97" s="14" t="s">
        <v>73</v>
      </c>
      <c r="E97" s="15" t="str">
        <f>"148.94"</f>
        <v>148.94</v>
      </c>
      <c r="F97" s="15"/>
      <c r="G97" s="16" t="str">
        <f>"176.94"</f>
        <v>176.94</v>
      </c>
      <c r="H97" s="17">
        <f t="shared" si="1"/>
        <v>168.94</v>
      </c>
      <c r="I97" s="18" t="s">
        <v>36</v>
      </c>
      <c r="J97" s="19">
        <v>1</v>
      </c>
      <c r="K97" s="19">
        <v>2016</v>
      </c>
      <c r="L97" s="19" t="str">
        <f>"148.94"</f>
        <v>148.94</v>
      </c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31">
      <c r="A98" s="14">
        <v>96</v>
      </c>
      <c r="B98" s="14">
        <v>1164</v>
      </c>
      <c r="C98" s="14" t="s">
        <v>174</v>
      </c>
      <c r="D98" s="14" t="s">
        <v>175</v>
      </c>
      <c r="E98" s="15" t="str">
        <f>"149.45"</f>
        <v>149.45</v>
      </c>
      <c r="F98" s="15"/>
      <c r="G98" s="16" t="str">
        <f>"177.45"</f>
        <v>177.45</v>
      </c>
      <c r="H98" s="17">
        <f t="shared" si="1"/>
        <v>169.45</v>
      </c>
      <c r="I98" s="18" t="s">
        <v>36</v>
      </c>
      <c r="J98" s="19">
        <v>1</v>
      </c>
      <c r="K98" s="19">
        <v>2016</v>
      </c>
      <c r="L98" s="19" t="str">
        <f>"149.45"</f>
        <v>149.45</v>
      </c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>
      <c r="A99" s="14">
        <v>97</v>
      </c>
      <c r="B99" s="14">
        <v>5731</v>
      </c>
      <c r="C99" s="14" t="s">
        <v>176</v>
      </c>
      <c r="D99" s="14" t="s">
        <v>73</v>
      </c>
      <c r="E99" s="15" t="str">
        <f>"117.08"</f>
        <v>117.08</v>
      </c>
      <c r="F99" s="15"/>
      <c r="G99" s="16" t="str">
        <f>"178.14"</f>
        <v>178.14</v>
      </c>
      <c r="H99" s="17">
        <f t="shared" si="1"/>
        <v>170.14</v>
      </c>
      <c r="I99" s="18"/>
      <c r="J99" s="19">
        <v>3</v>
      </c>
      <c r="K99" s="19">
        <v>2016</v>
      </c>
      <c r="L99" s="19" t="str">
        <f>"146.94"</f>
        <v>146.94</v>
      </c>
      <c r="M99" s="19"/>
      <c r="N99" s="19"/>
      <c r="O99" s="19"/>
      <c r="P99" s="19" t="str">
        <f>"269.07"</f>
        <v>269.07</v>
      </c>
      <c r="Q99" s="19"/>
      <c r="R99" s="19"/>
      <c r="S99" s="19"/>
      <c r="T99" s="19"/>
      <c r="U99" s="19" t="str">
        <f>"87.21"</f>
        <v>87.21</v>
      </c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pans="1:31">
      <c r="A100" s="14">
        <v>98</v>
      </c>
      <c r="B100" s="14">
        <v>1835</v>
      </c>
      <c r="C100" s="14" t="s">
        <v>177</v>
      </c>
      <c r="D100" s="14" t="s">
        <v>40</v>
      </c>
      <c r="E100" s="15" t="str">
        <f>"96.77"</f>
        <v>96.77</v>
      </c>
      <c r="F100" s="15"/>
      <c r="G100" s="16" t="str">
        <f>"179.19"</f>
        <v>179.19</v>
      </c>
      <c r="H100" s="17">
        <f t="shared" si="1"/>
        <v>171.19</v>
      </c>
      <c r="I100" s="18"/>
      <c r="J100" s="19">
        <v>3</v>
      </c>
      <c r="K100" s="19">
        <v>2016</v>
      </c>
      <c r="L100" s="19" t="str">
        <f>"99.20"</f>
        <v>99.20</v>
      </c>
      <c r="M100" s="19"/>
      <c r="N100" s="19"/>
      <c r="O100" s="19"/>
      <c r="P100" s="19"/>
      <c r="Q100" s="19"/>
      <c r="R100" s="19"/>
      <c r="S100" s="19" t="str">
        <f>"94.34"</f>
        <v>94.34</v>
      </c>
      <c r="T100" s="19"/>
      <c r="U100" s="19"/>
      <c r="V100" s="19"/>
      <c r="W100" s="19"/>
      <c r="X100" s="19"/>
      <c r="Y100" s="19" t="str">
        <f>"264.04"</f>
        <v>264.04</v>
      </c>
      <c r="Z100" s="19"/>
      <c r="AA100" s="19"/>
      <c r="AB100" s="19"/>
      <c r="AC100" s="19"/>
      <c r="AD100" s="19"/>
      <c r="AE100" s="19"/>
    </row>
    <row r="101" spans="1:31">
      <c r="A101" s="14">
        <v>99</v>
      </c>
      <c r="B101" s="14">
        <v>10605</v>
      </c>
      <c r="C101" s="14" t="s">
        <v>178</v>
      </c>
      <c r="D101" s="14" t="s">
        <v>40</v>
      </c>
      <c r="E101" s="15" t="str">
        <f>"179.47"</f>
        <v>179.47</v>
      </c>
      <c r="F101" s="15"/>
      <c r="G101" s="16" t="str">
        <f>"179.47"</f>
        <v>179.47</v>
      </c>
      <c r="H101" s="17">
        <f t="shared" si="1"/>
        <v>171.47</v>
      </c>
      <c r="I101" s="18"/>
      <c r="J101" s="19">
        <v>3</v>
      </c>
      <c r="K101" s="19">
        <v>2016</v>
      </c>
      <c r="L101" s="19" t="str">
        <f>"256.92"</f>
        <v>256.92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 t="str">
        <f>"231.19"</f>
        <v>231.19</v>
      </c>
      <c r="X101" s="19"/>
      <c r="Y101" s="19"/>
      <c r="Z101" s="19"/>
      <c r="AA101" s="19"/>
      <c r="AB101" s="19" t="str">
        <f>"197.06"</f>
        <v>197.06</v>
      </c>
      <c r="AC101" s="19" t="str">
        <f>"176.87"</f>
        <v>176.87</v>
      </c>
      <c r="AD101" s="19" t="str">
        <f>"228.75"</f>
        <v>228.75</v>
      </c>
      <c r="AE101" s="19" t="str">
        <f>"182.07"</f>
        <v>182.07</v>
      </c>
    </row>
    <row r="102" spans="1:31">
      <c r="A102" s="14">
        <v>100</v>
      </c>
      <c r="B102" s="14">
        <v>4569</v>
      </c>
      <c r="C102" s="14" t="s">
        <v>179</v>
      </c>
      <c r="D102" s="14" t="s">
        <v>156</v>
      </c>
      <c r="E102" s="15" t="str">
        <f>"177.98"</f>
        <v>177.98</v>
      </c>
      <c r="F102" s="15"/>
      <c r="G102" s="16" t="str">
        <f>"180.19"</f>
        <v>180.19</v>
      </c>
      <c r="H102" s="17">
        <f t="shared" si="1"/>
        <v>172.19</v>
      </c>
      <c r="I102" s="18" t="s">
        <v>38</v>
      </c>
      <c r="J102" s="19">
        <v>2</v>
      </c>
      <c r="K102" s="19">
        <v>2016</v>
      </c>
      <c r="L102" s="19" t="str">
        <f>"203.77"</f>
        <v>203.77</v>
      </c>
      <c r="M102" s="19"/>
      <c r="N102" s="19"/>
      <c r="O102" s="19"/>
      <c r="P102" s="19"/>
      <c r="Q102" s="19"/>
      <c r="R102" s="19"/>
      <c r="S102" s="19"/>
      <c r="T102" s="19"/>
      <c r="U102" s="19"/>
      <c r="V102" s="19" t="str">
        <f>"152.19"</f>
        <v>152.19</v>
      </c>
      <c r="W102" s="19"/>
      <c r="X102" s="19"/>
      <c r="Y102" s="19"/>
      <c r="Z102" s="19"/>
      <c r="AA102" s="19"/>
      <c r="AB102" s="19"/>
      <c r="AC102" s="19"/>
      <c r="AD102" s="19"/>
      <c r="AE102" s="19"/>
    </row>
    <row r="103" spans="1:31">
      <c r="A103" s="14">
        <v>101</v>
      </c>
      <c r="B103" s="14">
        <v>4331</v>
      </c>
      <c r="C103" s="14" t="s">
        <v>180</v>
      </c>
      <c r="D103" s="14" t="s">
        <v>181</v>
      </c>
      <c r="E103" s="15" t="str">
        <f>"138.89"</f>
        <v>138.89</v>
      </c>
      <c r="F103" s="15"/>
      <c r="G103" s="16" t="str">
        <f>"180.20"</f>
        <v>180.20</v>
      </c>
      <c r="H103" s="17">
        <f t="shared" si="1"/>
        <v>172.2</v>
      </c>
      <c r="I103" s="18" t="s">
        <v>38</v>
      </c>
      <c r="J103" s="19">
        <v>2</v>
      </c>
      <c r="K103" s="19">
        <v>2016</v>
      </c>
      <c r="L103" s="19" t="str">
        <f>"138.89"</f>
        <v>138.89</v>
      </c>
      <c r="M103" s="19"/>
      <c r="N103" s="19"/>
      <c r="O103" s="19"/>
      <c r="P103" s="19"/>
      <c r="Q103" s="19"/>
      <c r="R103" s="19"/>
      <c r="S103" s="19"/>
      <c r="T103" s="19"/>
      <c r="U103" s="19" t="str">
        <f>"152.20"</f>
        <v>152.20</v>
      </c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>
      <c r="A104" s="14">
        <v>102</v>
      </c>
      <c r="B104" s="14">
        <v>10667</v>
      </c>
      <c r="C104" s="14" t="s">
        <v>182</v>
      </c>
      <c r="D104" s="14" t="s">
        <v>73</v>
      </c>
      <c r="E104" s="15" t="str">
        <f>"180.77"</f>
        <v>180.77</v>
      </c>
      <c r="F104" s="15"/>
      <c r="G104" s="16" t="str">
        <f>"180.77"</f>
        <v>180.77</v>
      </c>
      <c r="H104" s="17">
        <f t="shared" si="1"/>
        <v>172.77</v>
      </c>
      <c r="I104" s="18"/>
      <c r="J104" s="19">
        <v>5</v>
      </c>
      <c r="K104" s="19">
        <v>2016</v>
      </c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 t="str">
        <f>"176.71"</f>
        <v>176.71</v>
      </c>
      <c r="AA104" s="19" t="str">
        <f>"184.82"</f>
        <v>184.82</v>
      </c>
      <c r="AB104" s="19"/>
      <c r="AC104" s="19"/>
      <c r="AD104" s="19"/>
      <c r="AE104" s="19"/>
    </row>
    <row r="105" spans="1:31">
      <c r="A105" s="14">
        <v>103</v>
      </c>
      <c r="B105" s="14">
        <v>10602</v>
      </c>
      <c r="C105" s="14" t="s">
        <v>183</v>
      </c>
      <c r="D105" s="14" t="s">
        <v>40</v>
      </c>
      <c r="E105" s="15" t="str">
        <f>"182.44"</f>
        <v>182.44</v>
      </c>
      <c r="F105" s="15"/>
      <c r="G105" s="16" t="str">
        <f>"182.44"</f>
        <v>182.44</v>
      </c>
      <c r="H105" s="17">
        <f t="shared" si="1"/>
        <v>174.44</v>
      </c>
      <c r="I105" s="18"/>
      <c r="J105" s="19">
        <v>3</v>
      </c>
      <c r="K105" s="19">
        <v>2016</v>
      </c>
      <c r="L105" s="19" t="str">
        <f>"230.02"</f>
        <v>230.02</v>
      </c>
      <c r="M105" s="19"/>
      <c r="N105" s="19"/>
      <c r="O105" s="19"/>
      <c r="P105" s="19"/>
      <c r="Q105" s="19"/>
      <c r="R105" s="19" t="str">
        <f>"196.65"</f>
        <v>196.65</v>
      </c>
      <c r="S105" s="19" t="str">
        <f>"251.89"</f>
        <v>251.89</v>
      </c>
      <c r="T105" s="19"/>
      <c r="U105" s="19"/>
      <c r="V105" s="19"/>
      <c r="W105" s="19" t="str">
        <f>"194.06"</f>
        <v>194.06</v>
      </c>
      <c r="X105" s="19" t="str">
        <f>"256.86"</f>
        <v>256.86</v>
      </c>
      <c r="Y105" s="19"/>
      <c r="Z105" s="19"/>
      <c r="AA105" s="19" t="str">
        <f>"210.83"</f>
        <v>210.83</v>
      </c>
      <c r="AB105" s="19" t="str">
        <f>"299.47"</f>
        <v>299.47</v>
      </c>
      <c r="AC105" s="19" t="str">
        <f>"184.97"</f>
        <v>184.97</v>
      </c>
      <c r="AD105" s="19" t="str">
        <f>"219.07"</f>
        <v>219.07</v>
      </c>
      <c r="AE105" s="19" t="str">
        <f>"179.90"</f>
        <v>179.90</v>
      </c>
    </row>
    <row r="106" spans="1:31">
      <c r="A106" s="14">
        <v>104</v>
      </c>
      <c r="B106" s="14">
        <v>10149</v>
      </c>
      <c r="C106" s="14" t="s">
        <v>184</v>
      </c>
      <c r="D106" s="14" t="s">
        <v>53</v>
      </c>
      <c r="E106" s="15" t="str">
        <f>"185.93"</f>
        <v>185.93</v>
      </c>
      <c r="F106" s="15"/>
      <c r="G106" s="16" t="str">
        <f>"185.93"</f>
        <v>185.93</v>
      </c>
      <c r="H106" s="17">
        <f t="shared" si="1"/>
        <v>177.93</v>
      </c>
      <c r="I106" s="18"/>
      <c r="J106" s="19">
        <v>3</v>
      </c>
      <c r="K106" s="19">
        <v>2016</v>
      </c>
      <c r="L106" s="19" t="str">
        <f>"375.75"</f>
        <v>375.75</v>
      </c>
      <c r="M106" s="19"/>
      <c r="N106" s="19"/>
      <c r="O106" s="19"/>
      <c r="P106" s="19"/>
      <c r="Q106" s="19"/>
      <c r="R106" s="19"/>
      <c r="S106" s="19"/>
      <c r="T106" s="19" t="str">
        <f>"666.58"</f>
        <v>666.58</v>
      </c>
      <c r="U106" s="19"/>
      <c r="V106" s="19"/>
      <c r="W106" s="19"/>
      <c r="X106" s="19"/>
      <c r="Y106" s="19"/>
      <c r="Z106" s="19"/>
      <c r="AA106" s="19"/>
      <c r="AB106" s="19" t="str">
        <f>"237.37"</f>
        <v>237.37</v>
      </c>
      <c r="AC106" s="19" t="str">
        <f>"216.14"</f>
        <v>216.14</v>
      </c>
      <c r="AD106" s="19" t="str">
        <f>"167.03"</f>
        <v>167.03</v>
      </c>
      <c r="AE106" s="19" t="str">
        <f>"204.82"</f>
        <v>204.82</v>
      </c>
    </row>
    <row r="107" spans="1:31">
      <c r="A107" s="14">
        <v>105</v>
      </c>
      <c r="B107" s="14">
        <v>2336</v>
      </c>
      <c r="C107" s="14" t="s">
        <v>185</v>
      </c>
      <c r="D107" s="14" t="s">
        <v>186</v>
      </c>
      <c r="E107" s="15" t="str">
        <f>"102.06"</f>
        <v>102.06</v>
      </c>
      <c r="F107" s="15"/>
      <c r="G107" s="16" t="str">
        <f>"185.99"</f>
        <v>185.99</v>
      </c>
      <c r="H107" s="17">
        <f t="shared" si="1"/>
        <v>177.99</v>
      </c>
      <c r="I107" s="18"/>
      <c r="J107" s="19">
        <v>3</v>
      </c>
      <c r="K107" s="19">
        <v>2016</v>
      </c>
      <c r="L107" s="19" t="str">
        <f>"102.06"</f>
        <v>102.06</v>
      </c>
      <c r="M107" s="19"/>
      <c r="N107" s="19"/>
      <c r="O107" s="19"/>
      <c r="P107" s="19"/>
      <c r="Q107" s="19" t="str">
        <f>"160.74"</f>
        <v>160.74</v>
      </c>
      <c r="R107" s="19"/>
      <c r="S107" s="19"/>
      <c r="T107" s="19"/>
      <c r="U107" s="19" t="str">
        <f>"211.23"</f>
        <v>211.23</v>
      </c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>
      <c r="A108" s="14">
        <v>106</v>
      </c>
      <c r="B108" s="14">
        <v>10423</v>
      </c>
      <c r="C108" s="14" t="s">
        <v>187</v>
      </c>
      <c r="D108" s="14" t="s">
        <v>53</v>
      </c>
      <c r="E108" s="15" t="str">
        <f>"186.20"</f>
        <v>186.20</v>
      </c>
      <c r="F108" s="15"/>
      <c r="G108" s="16" t="str">
        <f>"186.20"</f>
        <v>186.20</v>
      </c>
      <c r="H108" s="17">
        <f t="shared" si="1"/>
        <v>178.2</v>
      </c>
      <c r="I108" s="18"/>
      <c r="J108" s="19">
        <v>3</v>
      </c>
      <c r="K108" s="19">
        <v>2016</v>
      </c>
      <c r="L108" s="19" t="str">
        <f>"204.72"</f>
        <v>204.72</v>
      </c>
      <c r="M108" s="19"/>
      <c r="N108" s="19" t="str">
        <f>"170.97"</f>
        <v>170.97</v>
      </c>
      <c r="O108" s="19"/>
      <c r="P108" s="19" t="str">
        <f>"201.43"</f>
        <v>201.43</v>
      </c>
      <c r="Q108" s="19"/>
      <c r="R108" s="19"/>
      <c r="S108" s="19"/>
      <c r="T108" s="19" t="str">
        <f>"222.14"</f>
        <v>222.14</v>
      </c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>
      <c r="A109" s="14">
        <v>107</v>
      </c>
      <c r="B109" s="14">
        <v>2694</v>
      </c>
      <c r="C109" s="14" t="s">
        <v>188</v>
      </c>
      <c r="D109" s="14" t="s">
        <v>189</v>
      </c>
      <c r="E109" s="15" t="str">
        <f>"159.15"</f>
        <v>159.15</v>
      </c>
      <c r="F109" s="15"/>
      <c r="G109" s="16" t="str">
        <f>"187.15"</f>
        <v>187.15</v>
      </c>
      <c r="H109" s="17">
        <f t="shared" si="1"/>
        <v>179.15</v>
      </c>
      <c r="I109" s="18" t="s">
        <v>36</v>
      </c>
      <c r="J109" s="19">
        <v>1</v>
      </c>
      <c r="K109" s="19">
        <v>2016</v>
      </c>
      <c r="L109" s="19" t="str">
        <f>"159.15"</f>
        <v>159.15</v>
      </c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>
      <c r="A110" s="14">
        <v>108</v>
      </c>
      <c r="B110" s="14">
        <v>1378</v>
      </c>
      <c r="C110" s="14" t="s">
        <v>190</v>
      </c>
      <c r="D110" s="14" t="s">
        <v>156</v>
      </c>
      <c r="E110" s="15" t="str">
        <f>"170.40"</f>
        <v>170.40</v>
      </c>
      <c r="F110" s="15"/>
      <c r="G110" s="16" t="str">
        <f>"187.85"</f>
        <v>187.85</v>
      </c>
      <c r="H110" s="17">
        <f t="shared" si="1"/>
        <v>179.85</v>
      </c>
      <c r="I110" s="18"/>
      <c r="J110" s="19">
        <v>3</v>
      </c>
      <c r="K110" s="19">
        <v>2016</v>
      </c>
      <c r="L110" s="19" t="str">
        <f>"170.40"</f>
        <v>170.40</v>
      </c>
      <c r="M110" s="19"/>
      <c r="N110" s="19"/>
      <c r="O110" s="19"/>
      <c r="P110" s="19"/>
      <c r="Q110" s="19" t="str">
        <f>"172.10"</f>
        <v>172.10</v>
      </c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 t="str">
        <f>"203.59"</f>
        <v>203.59</v>
      </c>
      <c r="AC110" s="19"/>
      <c r="AD110" s="19"/>
      <c r="AE110" s="19"/>
    </row>
    <row r="111" spans="1:31">
      <c r="A111" s="14">
        <v>109</v>
      </c>
      <c r="B111" s="14">
        <v>7579</v>
      </c>
      <c r="C111" s="14" t="s">
        <v>191</v>
      </c>
      <c r="D111" s="14" t="s">
        <v>192</v>
      </c>
      <c r="E111" s="15" t="str">
        <f>"160.81"</f>
        <v>160.81</v>
      </c>
      <c r="F111" s="15"/>
      <c r="G111" s="16" t="str">
        <f>"188.81"</f>
        <v>188.81</v>
      </c>
      <c r="H111" s="17">
        <f t="shared" si="1"/>
        <v>180.81</v>
      </c>
      <c r="I111" s="18" t="s">
        <v>36</v>
      </c>
      <c r="J111" s="19">
        <v>1</v>
      </c>
      <c r="K111" s="19">
        <v>2016</v>
      </c>
      <c r="L111" s="19" t="str">
        <f>"160.81"</f>
        <v>160.81</v>
      </c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>
      <c r="A112" s="14">
        <v>110</v>
      </c>
      <c r="B112" s="14">
        <v>2217</v>
      </c>
      <c r="C112" s="14" t="s">
        <v>193</v>
      </c>
      <c r="D112" s="14" t="s">
        <v>194</v>
      </c>
      <c r="E112" s="15" t="str">
        <f>"161.15"</f>
        <v>161.15</v>
      </c>
      <c r="F112" s="15"/>
      <c r="G112" s="16" t="str">
        <f>"189.15"</f>
        <v>189.15</v>
      </c>
      <c r="H112" s="17">
        <f t="shared" si="1"/>
        <v>181.15</v>
      </c>
      <c r="I112" s="18" t="s">
        <v>36</v>
      </c>
      <c r="J112" s="19">
        <v>1</v>
      </c>
      <c r="K112" s="19">
        <v>2016</v>
      </c>
      <c r="L112" s="19" t="str">
        <f>"161.15"</f>
        <v>161.15</v>
      </c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31">
      <c r="A113" s="14">
        <v>111</v>
      </c>
      <c r="B113" s="14">
        <v>1356</v>
      </c>
      <c r="C113" s="14" t="s">
        <v>195</v>
      </c>
      <c r="D113" s="14" t="s">
        <v>196</v>
      </c>
      <c r="E113" s="15" t="str">
        <f>"87.76"</f>
        <v>87.76</v>
      </c>
      <c r="F113" s="15"/>
      <c r="G113" s="16" t="str">
        <f>"189.87"</f>
        <v>189.87</v>
      </c>
      <c r="H113" s="17">
        <f t="shared" si="1"/>
        <v>181.87</v>
      </c>
      <c r="I113" s="18" t="s">
        <v>38</v>
      </c>
      <c r="J113" s="19">
        <v>2</v>
      </c>
      <c r="K113" s="19">
        <v>2016</v>
      </c>
      <c r="L113" s="19" t="str">
        <f>"87.76"</f>
        <v>87.76</v>
      </c>
      <c r="M113" s="19"/>
      <c r="N113" s="19"/>
      <c r="O113" s="19"/>
      <c r="P113" s="19"/>
      <c r="Q113" s="19"/>
      <c r="R113" s="19"/>
      <c r="S113" s="19"/>
      <c r="T113" s="19"/>
      <c r="U113" s="19" t="str">
        <f>"161.87"</f>
        <v>161.87</v>
      </c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31">
      <c r="A114" s="14">
        <v>112</v>
      </c>
      <c r="B114" s="14">
        <v>6064</v>
      </c>
      <c r="C114" s="14" t="s">
        <v>197</v>
      </c>
      <c r="D114" s="14" t="s">
        <v>198</v>
      </c>
      <c r="E114" s="15" t="str">
        <f>"179.48"</f>
        <v>179.48</v>
      </c>
      <c r="F114" s="15"/>
      <c r="G114" s="16" t="str">
        <f>"190.18"</f>
        <v>190.18</v>
      </c>
      <c r="H114" s="17">
        <f t="shared" si="1"/>
        <v>182.18</v>
      </c>
      <c r="I114" s="18"/>
      <c r="J114" s="19">
        <v>3</v>
      </c>
      <c r="K114" s="19">
        <v>2016</v>
      </c>
      <c r="L114" s="19" t="str">
        <f>"180.97"</f>
        <v>180.97</v>
      </c>
      <c r="M114" s="19"/>
      <c r="N114" s="19"/>
      <c r="O114" s="19"/>
      <c r="P114" s="19"/>
      <c r="Q114" s="19" t="str">
        <f>"177.98"</f>
        <v>177.98</v>
      </c>
      <c r="R114" s="19"/>
      <c r="S114" s="19"/>
      <c r="T114" s="19"/>
      <c r="U114" s="19"/>
      <c r="V114" s="19"/>
      <c r="W114" s="19"/>
      <c r="X114" s="19"/>
      <c r="Y114" s="19" t="str">
        <f>"202.38"</f>
        <v>202.38</v>
      </c>
      <c r="Z114" s="19"/>
      <c r="AA114" s="19"/>
      <c r="AB114" s="19"/>
      <c r="AC114" s="19"/>
      <c r="AD114" s="19"/>
      <c r="AE114" s="19"/>
    </row>
    <row r="115" spans="1:31">
      <c r="A115" s="14">
        <v>113</v>
      </c>
      <c r="B115" s="14">
        <v>10377</v>
      </c>
      <c r="C115" s="14" t="s">
        <v>199</v>
      </c>
      <c r="D115" s="14" t="s">
        <v>73</v>
      </c>
      <c r="E115" s="15" t="str">
        <f>"183.30"</f>
        <v>183.30</v>
      </c>
      <c r="F115" s="15"/>
      <c r="G115" s="16" t="str">
        <f>"192.75"</f>
        <v>192.75</v>
      </c>
      <c r="H115" s="17">
        <f t="shared" si="1"/>
        <v>184.75</v>
      </c>
      <c r="I115" s="18" t="s">
        <v>38</v>
      </c>
      <c r="J115" s="19">
        <v>2</v>
      </c>
      <c r="K115" s="19">
        <v>2016</v>
      </c>
      <c r="L115" s="19" t="str">
        <f>"201.84"</f>
        <v>201.84</v>
      </c>
      <c r="M115" s="19" t="str">
        <f>"164.75"</f>
        <v>164.75</v>
      </c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>
      <c r="A116" s="14">
        <v>114</v>
      </c>
      <c r="B116" s="14">
        <v>10581</v>
      </c>
      <c r="C116" s="14" t="s">
        <v>200</v>
      </c>
      <c r="D116" s="14" t="s">
        <v>40</v>
      </c>
      <c r="E116" s="15" t="str">
        <f>"193.37"</f>
        <v>193.37</v>
      </c>
      <c r="F116" s="15"/>
      <c r="G116" s="16" t="str">
        <f>"193.37"</f>
        <v>193.37</v>
      </c>
      <c r="H116" s="17">
        <f t="shared" si="1"/>
        <v>185.37</v>
      </c>
      <c r="I116" s="18"/>
      <c r="J116" s="19">
        <v>3</v>
      </c>
      <c r="K116" s="19">
        <v>2016</v>
      </c>
      <c r="L116" s="19" t="str">
        <f>"223.97"</f>
        <v>223.97</v>
      </c>
      <c r="M116" s="19"/>
      <c r="N116" s="19"/>
      <c r="O116" s="19"/>
      <c r="P116" s="19"/>
      <c r="Q116" s="19"/>
      <c r="R116" s="19"/>
      <c r="S116" s="19" t="str">
        <f>"179.89"</f>
        <v>179.89</v>
      </c>
      <c r="T116" s="19"/>
      <c r="U116" s="19"/>
      <c r="V116" s="19"/>
      <c r="W116" s="19"/>
      <c r="X116" s="19"/>
      <c r="Y116" s="19"/>
      <c r="Z116" s="19"/>
      <c r="AA116" s="19"/>
      <c r="AB116" s="19"/>
      <c r="AC116" s="19" t="str">
        <f>"237.65"</f>
        <v>237.65</v>
      </c>
      <c r="AD116" s="19"/>
      <c r="AE116" s="19" t="str">
        <f>"206.85"</f>
        <v>206.85</v>
      </c>
    </row>
    <row r="117" spans="1:31">
      <c r="A117" s="14">
        <v>115</v>
      </c>
      <c r="B117" s="14">
        <v>7785</v>
      </c>
      <c r="C117" s="14" t="s">
        <v>201</v>
      </c>
      <c r="D117" s="14" t="s">
        <v>51</v>
      </c>
      <c r="E117" s="15" t="str">
        <f>"165.59"</f>
        <v>165.59</v>
      </c>
      <c r="F117" s="15"/>
      <c r="G117" s="16" t="str">
        <f>"193.59"</f>
        <v>193.59</v>
      </c>
      <c r="H117" s="17">
        <f t="shared" si="1"/>
        <v>185.59</v>
      </c>
      <c r="I117" s="18" t="s">
        <v>36</v>
      </c>
      <c r="J117" s="19">
        <v>1</v>
      </c>
      <c r="K117" s="19">
        <v>2016</v>
      </c>
      <c r="L117" s="19" t="str">
        <f>"165.59"</f>
        <v>165.59</v>
      </c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31">
      <c r="A118" s="14">
        <v>116</v>
      </c>
      <c r="B118" s="14">
        <v>2419</v>
      </c>
      <c r="C118" s="14" t="s">
        <v>202</v>
      </c>
      <c r="D118" s="14" t="s">
        <v>203</v>
      </c>
      <c r="E118" s="15" t="str">
        <f>"194.74"</f>
        <v>194.74</v>
      </c>
      <c r="F118" s="15"/>
      <c r="G118" s="16" t="str">
        <f>"194.74"</f>
        <v>194.74</v>
      </c>
      <c r="H118" s="17">
        <f t="shared" si="1"/>
        <v>186.74</v>
      </c>
      <c r="I118" s="18"/>
      <c r="J118" s="19">
        <v>3</v>
      </c>
      <c r="K118" s="19">
        <v>2016</v>
      </c>
      <c r="L118" s="19" t="str">
        <f>"425.46"</f>
        <v>425.46</v>
      </c>
      <c r="M118" s="19"/>
      <c r="N118" s="19"/>
      <c r="O118" s="19"/>
      <c r="P118" s="19"/>
      <c r="Q118" s="19" t="str">
        <f>"149.72"</f>
        <v>149.72</v>
      </c>
      <c r="R118" s="19"/>
      <c r="S118" s="19"/>
      <c r="T118" s="19"/>
      <c r="U118" s="19" t="str">
        <f>"239.75"</f>
        <v>239.75</v>
      </c>
      <c r="V118" s="19"/>
      <c r="W118" s="19"/>
      <c r="X118" s="19"/>
      <c r="Y118" s="19" t="str">
        <f>"354.87"</f>
        <v>354.87</v>
      </c>
      <c r="Z118" s="19"/>
      <c r="AA118" s="19" t="str">
        <f>"252.20"</f>
        <v>252.20</v>
      </c>
      <c r="AB118" s="19" t="str">
        <f>"447.30"</f>
        <v>447.30</v>
      </c>
      <c r="AC118" s="19"/>
      <c r="AD118" s="19"/>
      <c r="AE118" s="19"/>
    </row>
    <row r="119" spans="1:31">
      <c r="A119" s="14">
        <v>117</v>
      </c>
      <c r="B119" s="14">
        <v>2717</v>
      </c>
      <c r="C119" s="14" t="s">
        <v>204</v>
      </c>
      <c r="D119" s="14" t="s">
        <v>156</v>
      </c>
      <c r="E119" s="15" t="str">
        <f>"184.47"</f>
        <v>184.47</v>
      </c>
      <c r="F119" s="15"/>
      <c r="G119" s="16" t="str">
        <f>"195.73"</f>
        <v>195.73</v>
      </c>
      <c r="H119" s="17">
        <f t="shared" si="1"/>
        <v>187.73</v>
      </c>
      <c r="I119" s="18"/>
      <c r="J119" s="19">
        <v>3</v>
      </c>
      <c r="K119" s="19">
        <v>2016</v>
      </c>
      <c r="L119" s="19" t="str">
        <f>"194.95"</f>
        <v>194.95</v>
      </c>
      <c r="M119" s="19"/>
      <c r="N119" s="19"/>
      <c r="O119" s="19"/>
      <c r="P119" s="19"/>
      <c r="Q119" s="19"/>
      <c r="R119" s="19"/>
      <c r="S119" s="19"/>
      <c r="T119" s="19"/>
      <c r="U119" s="19" t="str">
        <f>"217.47"</f>
        <v>217.47</v>
      </c>
      <c r="V119" s="19"/>
      <c r="W119" s="19"/>
      <c r="X119" s="19"/>
      <c r="Y119" s="19"/>
      <c r="Z119" s="19" t="str">
        <f>"240.48"</f>
        <v>240.48</v>
      </c>
      <c r="AA119" s="19" t="str">
        <f>"226.05"</f>
        <v>226.05</v>
      </c>
      <c r="AB119" s="19" t="str">
        <f>"173.99"</f>
        <v>173.99</v>
      </c>
      <c r="AC119" s="19"/>
      <c r="AD119" s="19"/>
      <c r="AE119" s="19"/>
    </row>
    <row r="120" spans="1:31">
      <c r="A120" s="14">
        <v>118</v>
      </c>
      <c r="B120" s="14">
        <v>1832</v>
      </c>
      <c r="C120" s="14" t="s">
        <v>205</v>
      </c>
      <c r="D120" s="14" t="s">
        <v>175</v>
      </c>
      <c r="E120" s="15" t="str">
        <f>"168.40"</f>
        <v>168.40</v>
      </c>
      <c r="F120" s="15"/>
      <c r="G120" s="16" t="str">
        <f>"196.40"</f>
        <v>196.40</v>
      </c>
      <c r="H120" s="17">
        <f t="shared" si="1"/>
        <v>188.4</v>
      </c>
      <c r="I120" s="18" t="s">
        <v>36</v>
      </c>
      <c r="J120" s="19">
        <v>1</v>
      </c>
      <c r="K120" s="19">
        <v>2016</v>
      </c>
      <c r="L120" s="19" t="str">
        <f>"168.40"</f>
        <v>168.40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>
      <c r="A121" s="14">
        <v>119</v>
      </c>
      <c r="B121" s="14">
        <v>2390</v>
      </c>
      <c r="C121" s="14" t="s">
        <v>206</v>
      </c>
      <c r="D121" s="14" t="s">
        <v>40</v>
      </c>
      <c r="E121" s="15" t="str">
        <f>"198.01"</f>
        <v>198.01</v>
      </c>
      <c r="F121" s="15"/>
      <c r="G121" s="16" t="str">
        <f>"198.01"</f>
        <v>198.01</v>
      </c>
      <c r="H121" s="17">
        <f t="shared" si="1"/>
        <v>190.01</v>
      </c>
      <c r="I121" s="18"/>
      <c r="J121" s="19">
        <v>3</v>
      </c>
      <c r="K121" s="19">
        <v>2016</v>
      </c>
      <c r="L121" s="19" t="str">
        <f>"243.37"</f>
        <v>243.37</v>
      </c>
      <c r="M121" s="19"/>
      <c r="N121" s="19"/>
      <c r="O121" s="19"/>
      <c r="P121" s="19"/>
      <c r="Q121" s="19"/>
      <c r="R121" s="19" t="str">
        <f>"188.02"</f>
        <v>188.02</v>
      </c>
      <c r="S121" s="19" t="str">
        <f>"213.48"</f>
        <v>213.48</v>
      </c>
      <c r="T121" s="19"/>
      <c r="U121" s="19"/>
      <c r="V121" s="19"/>
      <c r="W121" s="19" t="str">
        <f>"208.00"</f>
        <v>208.00</v>
      </c>
      <c r="X121" s="19"/>
      <c r="Y121" s="19"/>
      <c r="Z121" s="19"/>
      <c r="AA121" s="19"/>
      <c r="AB121" s="19"/>
      <c r="AC121" s="19"/>
      <c r="AD121" s="19"/>
      <c r="AE121" s="19"/>
    </row>
    <row r="122" spans="1:31">
      <c r="A122" s="14">
        <v>120</v>
      </c>
      <c r="B122" s="14">
        <v>10540</v>
      </c>
      <c r="C122" s="14" t="s">
        <v>207</v>
      </c>
      <c r="D122" s="14" t="s">
        <v>56</v>
      </c>
      <c r="E122" s="15" t="str">
        <f>"171.56"</f>
        <v>171.56</v>
      </c>
      <c r="F122" s="15"/>
      <c r="G122" s="16" t="str">
        <f>"199.56"</f>
        <v>199.56</v>
      </c>
      <c r="H122" s="17">
        <f t="shared" si="1"/>
        <v>191.56</v>
      </c>
      <c r="I122" s="18" t="s">
        <v>36</v>
      </c>
      <c r="J122" s="19">
        <v>1</v>
      </c>
      <c r="K122" s="19">
        <v>2016</v>
      </c>
      <c r="L122" s="19" t="str">
        <f>"171.56"</f>
        <v>171.56</v>
      </c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>
      <c r="A123" s="14">
        <v>121</v>
      </c>
      <c r="B123" s="14">
        <v>10964</v>
      </c>
      <c r="C123" s="14" t="s">
        <v>208</v>
      </c>
      <c r="D123" s="14" t="s">
        <v>209</v>
      </c>
      <c r="E123" s="15" t="str">
        <f>"199.87"</f>
        <v>199.87</v>
      </c>
      <c r="F123" s="15"/>
      <c r="G123" s="16" t="str">
        <f>"199.87"</f>
        <v>199.87</v>
      </c>
      <c r="H123" s="17">
        <f t="shared" si="1"/>
        <v>191.87</v>
      </c>
      <c r="I123" s="18" t="s">
        <v>38</v>
      </c>
      <c r="J123" s="19">
        <v>4</v>
      </c>
      <c r="K123" s="19">
        <v>2016</v>
      </c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 t="str">
        <f>"171.87"</f>
        <v>171.87</v>
      </c>
      <c r="Z123" s="19"/>
      <c r="AA123" s="19"/>
      <c r="AB123" s="19"/>
      <c r="AC123" s="19"/>
      <c r="AD123" s="19"/>
      <c r="AE123" s="19"/>
    </row>
    <row r="124" spans="1:31">
      <c r="A124" s="14">
        <v>122</v>
      </c>
      <c r="B124" s="14">
        <v>8619</v>
      </c>
      <c r="C124" s="14" t="s">
        <v>210</v>
      </c>
      <c r="D124" s="14" t="s">
        <v>40</v>
      </c>
      <c r="E124" s="15" t="str">
        <f>"199.92"</f>
        <v>199.92</v>
      </c>
      <c r="F124" s="15"/>
      <c r="G124" s="16" t="str">
        <f>"199.92"</f>
        <v>199.92</v>
      </c>
      <c r="H124" s="17">
        <f t="shared" si="1"/>
        <v>191.92</v>
      </c>
      <c r="I124" s="18"/>
      <c r="J124" s="19">
        <v>3</v>
      </c>
      <c r="K124" s="19">
        <v>2016</v>
      </c>
      <c r="L124" s="19" t="str">
        <f>"233.59"</f>
        <v>233.59</v>
      </c>
      <c r="M124" s="19"/>
      <c r="N124" s="19"/>
      <c r="O124" s="19"/>
      <c r="P124" s="19"/>
      <c r="Q124" s="19"/>
      <c r="R124" s="19" t="str">
        <f>"192.99"</f>
        <v>192.99</v>
      </c>
      <c r="S124" s="19" t="str">
        <f>"232.05"</f>
        <v>232.05</v>
      </c>
      <c r="T124" s="19"/>
      <c r="U124" s="19"/>
      <c r="V124" s="19"/>
      <c r="W124" s="19" t="str">
        <f>"206.85"</f>
        <v>206.85</v>
      </c>
      <c r="X124" s="19" t="str">
        <f>"264.95"</f>
        <v>264.95</v>
      </c>
      <c r="Y124" s="19"/>
      <c r="Z124" s="19"/>
      <c r="AA124" s="19"/>
      <c r="AB124" s="19"/>
      <c r="AC124" s="19" t="str">
        <f>"299.99"</f>
        <v>299.99</v>
      </c>
      <c r="AD124" s="19" t="str">
        <f>"239.64"</f>
        <v>239.64</v>
      </c>
      <c r="AE124" s="19"/>
    </row>
    <row r="125" spans="1:31">
      <c r="A125" s="14">
        <v>123</v>
      </c>
      <c r="B125" s="14">
        <v>4499</v>
      </c>
      <c r="C125" s="14" t="s">
        <v>211</v>
      </c>
      <c r="D125" s="14" t="s">
        <v>87</v>
      </c>
      <c r="E125" s="15" t="str">
        <f>"201.07"</f>
        <v>201.07</v>
      </c>
      <c r="F125" s="15"/>
      <c r="G125" s="16" t="str">
        <f>"201.07"</f>
        <v>201.07</v>
      </c>
      <c r="H125" s="17">
        <f t="shared" si="1"/>
        <v>193.07</v>
      </c>
      <c r="I125" s="18" t="s">
        <v>38</v>
      </c>
      <c r="J125" s="19">
        <v>4</v>
      </c>
      <c r="K125" s="19">
        <v>2016</v>
      </c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 t="str">
        <f>"173.07"</f>
        <v>173.07</v>
      </c>
      <c r="Z125" s="19"/>
      <c r="AA125" s="19"/>
      <c r="AB125" s="19"/>
      <c r="AC125" s="19"/>
      <c r="AD125" s="19"/>
      <c r="AE125" s="19"/>
    </row>
    <row r="126" spans="1:31">
      <c r="A126" s="14">
        <v>124</v>
      </c>
      <c r="B126" s="14">
        <v>5462</v>
      </c>
      <c r="C126" s="14" t="s">
        <v>212</v>
      </c>
      <c r="D126" s="14" t="s">
        <v>165</v>
      </c>
      <c r="E126" s="15" t="str">
        <f>"176.59"</f>
        <v>176.59</v>
      </c>
      <c r="F126" s="15"/>
      <c r="G126" s="16" t="str">
        <f>"202.18"</f>
        <v>202.18</v>
      </c>
      <c r="H126" s="17">
        <f t="shared" si="1"/>
        <v>194.18</v>
      </c>
      <c r="I126" s="18"/>
      <c r="J126" s="19">
        <v>3</v>
      </c>
      <c r="K126" s="19">
        <v>2016</v>
      </c>
      <c r="L126" s="19" t="str">
        <f>"179.31"</f>
        <v>179.31</v>
      </c>
      <c r="M126" s="19"/>
      <c r="N126" s="19"/>
      <c r="O126" s="19"/>
      <c r="P126" s="19"/>
      <c r="Q126" s="19" t="str">
        <f>"173.86"</f>
        <v>173.86</v>
      </c>
      <c r="R126" s="19"/>
      <c r="S126" s="19"/>
      <c r="T126" s="19"/>
      <c r="U126" s="19" t="str">
        <f>"230.49"</f>
        <v>230.49</v>
      </c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>
      <c r="A127" s="14">
        <v>125</v>
      </c>
      <c r="B127" s="14">
        <v>8275</v>
      </c>
      <c r="C127" s="14" t="s">
        <v>213</v>
      </c>
      <c r="D127" s="14" t="s">
        <v>214</v>
      </c>
      <c r="E127" s="15" t="str">
        <f>"216.83"</f>
        <v>216.83</v>
      </c>
      <c r="F127" s="15"/>
      <c r="G127" s="16" t="str">
        <f>"204.38"</f>
        <v>204.38</v>
      </c>
      <c r="H127" s="17">
        <f t="shared" si="1"/>
        <v>196.38</v>
      </c>
      <c r="I127" s="18" t="s">
        <v>38</v>
      </c>
      <c r="J127" s="19">
        <v>2</v>
      </c>
      <c r="K127" s="19">
        <v>2016</v>
      </c>
      <c r="L127" s="19" t="str">
        <f>"257.27"</f>
        <v>257.27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 t="str">
        <f>"176.38"</f>
        <v>176.38</v>
      </c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>
      <c r="A128" s="14">
        <v>126</v>
      </c>
      <c r="B128" s="14">
        <v>5703</v>
      </c>
      <c r="C128" s="14" t="s">
        <v>215</v>
      </c>
      <c r="D128" s="14" t="s">
        <v>59</v>
      </c>
      <c r="E128" s="15" t="str">
        <f>"184.86"</f>
        <v>184.86</v>
      </c>
      <c r="F128" s="15"/>
      <c r="G128" s="16" t="str">
        <f>"205.98"</f>
        <v>205.98</v>
      </c>
      <c r="H128" s="17">
        <f t="shared" si="1"/>
        <v>197.98</v>
      </c>
      <c r="I128" s="18" t="s">
        <v>38</v>
      </c>
      <c r="J128" s="19">
        <v>2</v>
      </c>
      <c r="K128" s="19">
        <v>2016</v>
      </c>
      <c r="L128" s="19" t="str">
        <f>"191.73"</f>
        <v>191.73</v>
      </c>
      <c r="M128" s="19"/>
      <c r="N128" s="19"/>
      <c r="O128" s="19"/>
      <c r="P128" s="19"/>
      <c r="Q128" s="19" t="str">
        <f>"177.98"</f>
        <v>177.98</v>
      </c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31">
      <c r="A129" s="14">
        <v>127</v>
      </c>
      <c r="B129" s="14">
        <v>11037</v>
      </c>
      <c r="C129" s="14" t="s">
        <v>216</v>
      </c>
      <c r="D129" s="14" t="s">
        <v>51</v>
      </c>
      <c r="E129" s="15" t="str">
        <f>"206.54"</f>
        <v>206.54</v>
      </c>
      <c r="F129" s="15"/>
      <c r="G129" s="16" t="str">
        <f>"206.54"</f>
        <v>206.54</v>
      </c>
      <c r="H129" s="17">
        <f t="shared" si="1"/>
        <v>198.54</v>
      </c>
      <c r="I129" s="18" t="s">
        <v>38</v>
      </c>
      <c r="J129" s="19">
        <v>4</v>
      </c>
      <c r="K129" s="19">
        <v>2016</v>
      </c>
      <c r="L129" s="19"/>
      <c r="M129" s="19" t="str">
        <f>"178.54"</f>
        <v>178.54</v>
      </c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31">
      <c r="A130" s="14">
        <v>128</v>
      </c>
      <c r="B130" s="14">
        <v>3075</v>
      </c>
      <c r="C130" s="14" t="s">
        <v>217</v>
      </c>
      <c r="D130" s="14" t="s">
        <v>218</v>
      </c>
      <c r="E130" s="15" t="str">
        <f>"179.85"</f>
        <v>179.85</v>
      </c>
      <c r="F130" s="15"/>
      <c r="G130" s="16" t="str">
        <f>"207.85"</f>
        <v>207.85</v>
      </c>
      <c r="H130" s="17">
        <f t="shared" si="1"/>
        <v>199.85</v>
      </c>
      <c r="I130" s="18" t="s">
        <v>36</v>
      </c>
      <c r="J130" s="19">
        <v>1</v>
      </c>
      <c r="K130" s="19">
        <v>2016</v>
      </c>
      <c r="L130" s="19" t="str">
        <f>"179.85"</f>
        <v>179.85</v>
      </c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31">
      <c r="A131" s="14">
        <v>129</v>
      </c>
      <c r="B131" s="14">
        <v>7791</v>
      </c>
      <c r="C131" s="14" t="s">
        <v>219</v>
      </c>
      <c r="D131" s="14" t="s">
        <v>51</v>
      </c>
      <c r="E131" s="15" t="str">
        <f>"196.98"</f>
        <v>196.98</v>
      </c>
      <c r="F131" s="15"/>
      <c r="G131" s="16" t="str">
        <f>"207.90"</f>
        <v>207.90</v>
      </c>
      <c r="H131" s="17">
        <f t="shared" ref="H131:H194" si="2">G131-8</f>
        <v>199.9</v>
      </c>
      <c r="I131" s="18" t="s">
        <v>38</v>
      </c>
      <c r="J131" s="19">
        <v>2</v>
      </c>
      <c r="K131" s="19">
        <v>2016</v>
      </c>
      <c r="L131" s="19" t="str">
        <f>"214.05"</f>
        <v>214.05</v>
      </c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 t="str">
        <f>"179.90"</f>
        <v>179.90</v>
      </c>
      <c r="Z131" s="19"/>
      <c r="AA131" s="19"/>
      <c r="AB131" s="19"/>
      <c r="AC131" s="19"/>
      <c r="AD131" s="19"/>
      <c r="AE131" s="19"/>
    </row>
    <row r="132" spans="1:31">
      <c r="A132" s="14">
        <v>130</v>
      </c>
      <c r="B132" s="14">
        <v>10973</v>
      </c>
      <c r="C132" s="14" t="s">
        <v>220</v>
      </c>
      <c r="D132" s="14" t="s">
        <v>73</v>
      </c>
      <c r="E132" s="15" t="str">
        <f>"208.29"</f>
        <v>208.29</v>
      </c>
      <c r="F132" s="15"/>
      <c r="G132" s="16" t="str">
        <f>"208.29"</f>
        <v>208.29</v>
      </c>
      <c r="H132" s="17">
        <f t="shared" si="2"/>
        <v>200.29</v>
      </c>
      <c r="I132" s="18"/>
      <c r="J132" s="19">
        <v>5</v>
      </c>
      <c r="K132" s="19">
        <v>2016</v>
      </c>
      <c r="L132" s="19"/>
      <c r="M132" s="19"/>
      <c r="N132" s="19"/>
      <c r="O132" s="19"/>
      <c r="P132" s="19"/>
      <c r="Q132" s="19" t="str">
        <f>"143.50"</f>
        <v>143.50</v>
      </c>
      <c r="R132" s="19"/>
      <c r="S132" s="19"/>
      <c r="T132" s="19"/>
      <c r="U132" s="19" t="str">
        <f>"273.07"</f>
        <v>273.07</v>
      </c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31">
      <c r="A133" s="14">
        <v>131</v>
      </c>
      <c r="B133" s="14">
        <v>8620</v>
      </c>
      <c r="C133" s="14" t="s">
        <v>221</v>
      </c>
      <c r="D133" s="14" t="s">
        <v>40</v>
      </c>
      <c r="E133" s="15" t="str">
        <f>"189.69"</f>
        <v>189.69</v>
      </c>
      <c r="F133" s="15"/>
      <c r="G133" s="16" t="str">
        <f>"208.35"</f>
        <v>208.35</v>
      </c>
      <c r="H133" s="17">
        <f t="shared" si="2"/>
        <v>200.35</v>
      </c>
      <c r="I133" s="18" t="s">
        <v>38</v>
      </c>
      <c r="J133" s="19">
        <v>2</v>
      </c>
      <c r="K133" s="19">
        <v>2016</v>
      </c>
      <c r="L133" s="19" t="str">
        <f>"199.03"</f>
        <v>199.03</v>
      </c>
      <c r="M133" s="19"/>
      <c r="N133" s="19"/>
      <c r="O133" s="19"/>
      <c r="P133" s="19"/>
      <c r="Q133" s="19"/>
      <c r="R133" s="19"/>
      <c r="S133" s="19" t="str">
        <f>"180.35"</f>
        <v>180.35</v>
      </c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31">
      <c r="A134" s="14">
        <v>132</v>
      </c>
      <c r="B134" s="14">
        <v>8337</v>
      </c>
      <c r="C134" s="14" t="s">
        <v>222</v>
      </c>
      <c r="D134" s="14" t="s">
        <v>51</v>
      </c>
      <c r="E134" s="15" t="str">
        <f>"203.09"</f>
        <v>203.09</v>
      </c>
      <c r="F134" s="15"/>
      <c r="G134" s="16" t="str">
        <f>"209.57"</f>
        <v>209.57</v>
      </c>
      <c r="H134" s="17">
        <f t="shared" si="2"/>
        <v>201.57</v>
      </c>
      <c r="I134" s="18"/>
      <c r="J134" s="19">
        <v>3</v>
      </c>
      <c r="K134" s="19">
        <v>2016</v>
      </c>
      <c r="L134" s="19" t="str">
        <f>"205.95"</f>
        <v>205.95</v>
      </c>
      <c r="M134" s="19" t="str">
        <f>"218.91"</f>
        <v>218.91</v>
      </c>
      <c r="N134" s="19"/>
      <c r="O134" s="19" t="str">
        <f>"200.22"</f>
        <v>200.22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31">
      <c r="A135" s="14">
        <v>133</v>
      </c>
      <c r="B135" s="14">
        <v>3826</v>
      </c>
      <c r="C135" s="14" t="s">
        <v>223</v>
      </c>
      <c r="D135" s="14" t="s">
        <v>156</v>
      </c>
      <c r="E135" s="15" t="str">
        <f>"181.75"</f>
        <v>181.75</v>
      </c>
      <c r="F135" s="15"/>
      <c r="G135" s="16" t="str">
        <f>"209.75"</f>
        <v>209.75</v>
      </c>
      <c r="H135" s="17">
        <f t="shared" si="2"/>
        <v>201.75</v>
      </c>
      <c r="I135" s="18" t="s">
        <v>36</v>
      </c>
      <c r="J135" s="19">
        <v>1</v>
      </c>
      <c r="K135" s="19">
        <v>2016</v>
      </c>
      <c r="L135" s="19" t="str">
        <f>"181.75"</f>
        <v>181.75</v>
      </c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spans="1:31">
      <c r="A136" s="14">
        <v>134</v>
      </c>
      <c r="B136" s="14">
        <v>5479</v>
      </c>
      <c r="C136" s="14" t="s">
        <v>224</v>
      </c>
      <c r="D136" s="14" t="s">
        <v>73</v>
      </c>
      <c r="E136" s="15" t="str">
        <f>"232.50"</f>
        <v>232.50</v>
      </c>
      <c r="F136" s="15"/>
      <c r="G136" s="16" t="str">
        <f>"210.48"</f>
        <v>210.48</v>
      </c>
      <c r="H136" s="17">
        <f t="shared" si="2"/>
        <v>202.48</v>
      </c>
      <c r="I136" s="18" t="s">
        <v>38</v>
      </c>
      <c r="J136" s="19">
        <v>2</v>
      </c>
      <c r="K136" s="19">
        <v>2016</v>
      </c>
      <c r="L136" s="19" t="str">
        <f>"282.52"</f>
        <v>282.52</v>
      </c>
      <c r="M136" s="19" t="str">
        <f>"182.48"</f>
        <v>182.48</v>
      </c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pans="1:31">
      <c r="A137" s="14">
        <v>135</v>
      </c>
      <c r="B137" s="14">
        <v>4047</v>
      </c>
      <c r="C137" s="14" t="s">
        <v>225</v>
      </c>
      <c r="D137" s="14" t="s">
        <v>226</v>
      </c>
      <c r="E137" s="15" t="str">
        <f>"163.21"</f>
        <v>163.21</v>
      </c>
      <c r="F137" s="15"/>
      <c r="G137" s="16" t="str">
        <f>"211.46"</f>
        <v>211.46</v>
      </c>
      <c r="H137" s="17">
        <f t="shared" si="2"/>
        <v>203.46</v>
      </c>
      <c r="I137" s="18"/>
      <c r="J137" s="19">
        <v>3</v>
      </c>
      <c r="K137" s="19">
        <v>2016</v>
      </c>
      <c r="L137" s="19" t="str">
        <f>"163.21"</f>
        <v>163.21</v>
      </c>
      <c r="M137" s="19"/>
      <c r="N137" s="19"/>
      <c r="O137" s="19"/>
      <c r="P137" s="19"/>
      <c r="Q137" s="19" t="str">
        <f>"165.41"</f>
        <v>165.41</v>
      </c>
      <c r="R137" s="19"/>
      <c r="S137" s="19"/>
      <c r="T137" s="19"/>
      <c r="U137" s="19" t="str">
        <f>"257.51"</f>
        <v>257.51</v>
      </c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31">
      <c r="A138" s="14">
        <v>136</v>
      </c>
      <c r="B138" s="14">
        <v>5768</v>
      </c>
      <c r="C138" s="14" t="s">
        <v>227</v>
      </c>
      <c r="D138" s="14" t="s">
        <v>53</v>
      </c>
      <c r="E138" s="15" t="str">
        <f>"194.38"</f>
        <v>194.38</v>
      </c>
      <c r="F138" s="15"/>
      <c r="G138" s="16" t="str">
        <f>"211.75"</f>
        <v>211.75</v>
      </c>
      <c r="H138" s="17">
        <f t="shared" si="2"/>
        <v>203.75</v>
      </c>
      <c r="I138" s="18"/>
      <c r="J138" s="19">
        <v>3</v>
      </c>
      <c r="K138" s="19">
        <v>2016</v>
      </c>
      <c r="L138" s="19" t="str">
        <f>"213.81"</f>
        <v>213.81</v>
      </c>
      <c r="M138" s="19"/>
      <c r="N138" s="19" t="str">
        <f>"174.94"</f>
        <v>174.94</v>
      </c>
      <c r="O138" s="19"/>
      <c r="P138" s="19"/>
      <c r="Q138" s="19"/>
      <c r="R138" s="19"/>
      <c r="S138" s="19"/>
      <c r="T138" s="19" t="str">
        <f>"248.56"</f>
        <v>248.56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pans="1:31">
      <c r="A139" s="14">
        <v>137</v>
      </c>
      <c r="B139" s="14">
        <v>2152</v>
      </c>
      <c r="C139" s="14" t="s">
        <v>228</v>
      </c>
      <c r="D139" s="14" t="s">
        <v>229</v>
      </c>
      <c r="E139" s="15" t="str">
        <f>"183.83"</f>
        <v>183.83</v>
      </c>
      <c r="F139" s="15"/>
      <c r="G139" s="16" t="str">
        <f>"211.83"</f>
        <v>211.83</v>
      </c>
      <c r="H139" s="17">
        <f t="shared" si="2"/>
        <v>203.83</v>
      </c>
      <c r="I139" s="18" t="s">
        <v>36</v>
      </c>
      <c r="J139" s="19">
        <v>1</v>
      </c>
      <c r="K139" s="19">
        <v>2016</v>
      </c>
      <c r="L139" s="19" t="str">
        <f>"183.83"</f>
        <v>183.83</v>
      </c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</row>
    <row r="140" spans="1:31">
      <c r="A140" s="14">
        <v>138</v>
      </c>
      <c r="B140" s="14">
        <v>10039</v>
      </c>
      <c r="C140" s="14" t="s">
        <v>230</v>
      </c>
      <c r="D140" s="14" t="s">
        <v>40</v>
      </c>
      <c r="E140" s="15" t="str">
        <f>"191.36"</f>
        <v>191.36</v>
      </c>
      <c r="F140" s="15"/>
      <c r="G140" s="16" t="str">
        <f>"219.36"</f>
        <v>219.36</v>
      </c>
      <c r="H140" s="17">
        <f t="shared" si="2"/>
        <v>211.36</v>
      </c>
      <c r="I140" s="18" t="s">
        <v>36</v>
      </c>
      <c r="J140" s="19">
        <v>1</v>
      </c>
      <c r="K140" s="19">
        <v>2016</v>
      </c>
      <c r="L140" s="19" t="str">
        <f>"191.36"</f>
        <v>191.36</v>
      </c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pans="1:31">
      <c r="A141" s="14">
        <v>139</v>
      </c>
      <c r="B141" s="14">
        <v>1798</v>
      </c>
      <c r="C141" s="14" t="s">
        <v>231</v>
      </c>
      <c r="D141" s="14" t="s">
        <v>40</v>
      </c>
      <c r="E141" s="15" t="str">
        <f>"191.77"</f>
        <v>191.77</v>
      </c>
      <c r="F141" s="15"/>
      <c r="G141" s="16" t="str">
        <f>"219.77"</f>
        <v>219.77</v>
      </c>
      <c r="H141" s="17">
        <f t="shared" si="2"/>
        <v>211.77</v>
      </c>
      <c r="I141" s="18" t="s">
        <v>36</v>
      </c>
      <c r="J141" s="19">
        <v>1</v>
      </c>
      <c r="K141" s="19">
        <v>2016</v>
      </c>
      <c r="L141" s="19" t="str">
        <f>"191.77"</f>
        <v>191.77</v>
      </c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spans="1:31">
      <c r="A142" s="14">
        <v>140</v>
      </c>
      <c r="B142" s="14">
        <v>10088</v>
      </c>
      <c r="C142" s="14" t="s">
        <v>232</v>
      </c>
      <c r="D142" s="14" t="s">
        <v>40</v>
      </c>
      <c r="E142" s="15" t="str">
        <f>"192.24"</f>
        <v>192.24</v>
      </c>
      <c r="F142" s="15"/>
      <c r="G142" s="16" t="str">
        <f>"220.24"</f>
        <v>220.24</v>
      </c>
      <c r="H142" s="17">
        <f t="shared" si="2"/>
        <v>212.24</v>
      </c>
      <c r="I142" s="18" t="s">
        <v>36</v>
      </c>
      <c r="J142" s="19">
        <v>1</v>
      </c>
      <c r="K142" s="19">
        <v>2016</v>
      </c>
      <c r="L142" s="19" t="str">
        <f>"192.24"</f>
        <v>192.24</v>
      </c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</row>
    <row r="143" spans="1:31">
      <c r="A143" s="14">
        <v>141</v>
      </c>
      <c r="B143" s="14">
        <v>10699</v>
      </c>
      <c r="C143" s="14" t="s">
        <v>233</v>
      </c>
      <c r="D143" s="14" t="s">
        <v>35</v>
      </c>
      <c r="E143" s="15" t="str">
        <f>"221.73"</f>
        <v>221.73</v>
      </c>
      <c r="F143" s="15"/>
      <c r="G143" s="16" t="str">
        <f>"221.73"</f>
        <v>221.73</v>
      </c>
      <c r="H143" s="17">
        <f t="shared" si="2"/>
        <v>213.73</v>
      </c>
      <c r="I143" s="18" t="s">
        <v>38</v>
      </c>
      <c r="J143" s="19">
        <v>4</v>
      </c>
      <c r="K143" s="19">
        <v>2016</v>
      </c>
      <c r="L143" s="19"/>
      <c r="M143" s="19" t="str">
        <f>"193.73"</f>
        <v>193.73</v>
      </c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1">
      <c r="A144" s="14">
        <v>142</v>
      </c>
      <c r="B144" s="14">
        <v>3058</v>
      </c>
      <c r="C144" s="14" t="s">
        <v>234</v>
      </c>
      <c r="D144" s="14" t="s">
        <v>235</v>
      </c>
      <c r="E144" s="15" t="str">
        <f>"194.51"</f>
        <v>194.51</v>
      </c>
      <c r="F144" s="15"/>
      <c r="G144" s="16" t="str">
        <f>"222.51"</f>
        <v>222.51</v>
      </c>
      <c r="H144" s="17">
        <f t="shared" si="2"/>
        <v>214.51</v>
      </c>
      <c r="I144" s="18" t="s">
        <v>36</v>
      </c>
      <c r="J144" s="19">
        <v>1</v>
      </c>
      <c r="K144" s="19">
        <v>2016</v>
      </c>
      <c r="L144" s="19" t="str">
        <f>"194.51"</f>
        <v>194.51</v>
      </c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spans="1:31">
      <c r="A145" s="14">
        <v>143</v>
      </c>
      <c r="B145" s="14">
        <v>11015</v>
      </c>
      <c r="C145" s="14" t="s">
        <v>236</v>
      </c>
      <c r="D145" s="14" t="s">
        <v>73</v>
      </c>
      <c r="E145" s="15" t="str">
        <f>"223.35"</f>
        <v>223.35</v>
      </c>
      <c r="F145" s="15"/>
      <c r="G145" s="16" t="str">
        <f>"223.35"</f>
        <v>223.35</v>
      </c>
      <c r="H145" s="17">
        <f t="shared" si="2"/>
        <v>215.35</v>
      </c>
      <c r="I145" s="18" t="s">
        <v>38</v>
      </c>
      <c r="J145" s="19">
        <v>4</v>
      </c>
      <c r="K145" s="19">
        <v>2016</v>
      </c>
      <c r="L145" s="19"/>
      <c r="M145" s="19" t="str">
        <f>"195.35"</f>
        <v>195.35</v>
      </c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</row>
    <row r="146" spans="1:31">
      <c r="A146" s="14">
        <v>144</v>
      </c>
      <c r="B146" s="14">
        <v>10987</v>
      </c>
      <c r="C146" s="14" t="s">
        <v>237</v>
      </c>
      <c r="D146" s="14" t="s">
        <v>156</v>
      </c>
      <c r="E146" s="15" t="str">
        <f>"223.54"</f>
        <v>223.54</v>
      </c>
      <c r="F146" s="15"/>
      <c r="G146" s="16" t="str">
        <f>"223.54"</f>
        <v>223.54</v>
      </c>
      <c r="H146" s="17">
        <f t="shared" si="2"/>
        <v>215.54</v>
      </c>
      <c r="I146" s="18"/>
      <c r="J146" s="19">
        <v>5</v>
      </c>
      <c r="K146" s="19">
        <v>2016</v>
      </c>
      <c r="L146" s="19"/>
      <c r="M146" s="19" t="str">
        <f>"213.92"</f>
        <v>213.92</v>
      </c>
      <c r="N146" s="19"/>
      <c r="O146" s="19" t="str">
        <f>"233.15"</f>
        <v>233.15</v>
      </c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</row>
    <row r="147" spans="1:31">
      <c r="A147" s="14">
        <v>145</v>
      </c>
      <c r="B147" s="14">
        <v>10863</v>
      </c>
      <c r="C147" s="14" t="s">
        <v>238</v>
      </c>
      <c r="D147" s="14" t="s">
        <v>40</v>
      </c>
      <c r="E147" s="15" t="str">
        <f>"224.21"</f>
        <v>224.21</v>
      </c>
      <c r="F147" s="15"/>
      <c r="G147" s="16" t="str">
        <f>"224.21"</f>
        <v>224.21</v>
      </c>
      <c r="H147" s="17">
        <f t="shared" si="2"/>
        <v>216.21</v>
      </c>
      <c r="I147" s="18"/>
      <c r="J147" s="19">
        <v>5</v>
      </c>
      <c r="K147" s="19">
        <v>2016</v>
      </c>
      <c r="L147" s="19"/>
      <c r="M147" s="19"/>
      <c r="N147" s="19"/>
      <c r="O147" s="19"/>
      <c r="P147" s="19"/>
      <c r="Q147" s="19"/>
      <c r="R147" s="19" t="str">
        <f>"247.13"</f>
        <v>247.13</v>
      </c>
      <c r="S147" s="19" t="str">
        <f>"275.43"</f>
        <v>275.43</v>
      </c>
      <c r="T147" s="19"/>
      <c r="U147" s="19"/>
      <c r="V147" s="19"/>
      <c r="W147" s="19" t="str">
        <f>"257.61"</f>
        <v>257.61</v>
      </c>
      <c r="X147" s="19"/>
      <c r="Y147" s="19"/>
      <c r="Z147" s="19"/>
      <c r="AA147" s="19"/>
      <c r="AB147" s="19"/>
      <c r="AC147" s="19" t="str">
        <f>"237.81"</f>
        <v>237.81</v>
      </c>
      <c r="AD147" s="19" t="str">
        <f>"259.91"</f>
        <v>259.91</v>
      </c>
      <c r="AE147" s="19" t="str">
        <f>"210.61"</f>
        <v>210.61</v>
      </c>
    </row>
    <row r="148" spans="1:31">
      <c r="A148" s="14">
        <v>146</v>
      </c>
      <c r="B148" s="14">
        <v>10740</v>
      </c>
      <c r="C148" s="14" t="s">
        <v>239</v>
      </c>
      <c r="D148" s="14" t="s">
        <v>53</v>
      </c>
      <c r="E148" s="15" t="str">
        <f>"226.75"</f>
        <v>226.75</v>
      </c>
      <c r="F148" s="15"/>
      <c r="G148" s="16" t="str">
        <f>"226.75"</f>
        <v>226.75</v>
      </c>
      <c r="H148" s="17">
        <f t="shared" si="2"/>
        <v>218.75</v>
      </c>
      <c r="I148" s="18"/>
      <c r="J148" s="19">
        <v>5</v>
      </c>
      <c r="K148" s="19">
        <v>2016</v>
      </c>
      <c r="L148" s="19"/>
      <c r="M148" s="19"/>
      <c r="N148" s="19"/>
      <c r="O148" s="19"/>
      <c r="P148" s="19"/>
      <c r="Q148" s="19"/>
      <c r="R148" s="19"/>
      <c r="S148" s="19"/>
      <c r="T148" s="19" t="str">
        <f>"658.90"</f>
        <v>658.90</v>
      </c>
      <c r="U148" s="19"/>
      <c r="V148" s="19"/>
      <c r="W148" s="19"/>
      <c r="X148" s="19"/>
      <c r="Y148" s="19" t="str">
        <f>"243.44"</f>
        <v>243.44</v>
      </c>
      <c r="Z148" s="19"/>
      <c r="AA148" s="19"/>
      <c r="AB148" s="19" t="str">
        <f>"210.05"</f>
        <v>210.05</v>
      </c>
      <c r="AC148" s="19"/>
      <c r="AD148" s="19"/>
      <c r="AE148" s="19"/>
    </row>
    <row r="149" spans="1:31">
      <c r="A149" s="14">
        <v>147</v>
      </c>
      <c r="B149" s="14">
        <v>3103</v>
      </c>
      <c r="C149" s="14" t="s">
        <v>240</v>
      </c>
      <c r="D149" s="14" t="s">
        <v>209</v>
      </c>
      <c r="E149" s="15" t="str">
        <f>"200.42"</f>
        <v>200.42</v>
      </c>
      <c r="F149" s="15"/>
      <c r="G149" s="16" t="str">
        <f>"228.42"</f>
        <v>228.42</v>
      </c>
      <c r="H149" s="17">
        <f t="shared" si="2"/>
        <v>220.42</v>
      </c>
      <c r="I149" s="18" t="s">
        <v>36</v>
      </c>
      <c r="J149" s="19">
        <v>1</v>
      </c>
      <c r="K149" s="19">
        <v>2016</v>
      </c>
      <c r="L149" s="19" t="str">
        <f>"200.42"</f>
        <v>200.42</v>
      </c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</row>
    <row r="150" spans="1:31">
      <c r="A150" s="14">
        <v>148</v>
      </c>
      <c r="B150" s="14">
        <v>10968</v>
      </c>
      <c r="C150" s="14" t="s">
        <v>241</v>
      </c>
      <c r="D150" s="14" t="s">
        <v>73</v>
      </c>
      <c r="E150" s="15" t="str">
        <f>"231.82"</f>
        <v>231.82</v>
      </c>
      <c r="F150" s="15"/>
      <c r="G150" s="16" t="str">
        <f>"231.82"</f>
        <v>231.82</v>
      </c>
      <c r="H150" s="17">
        <f t="shared" si="2"/>
        <v>223.82</v>
      </c>
      <c r="I150" s="18"/>
      <c r="J150" s="19">
        <v>5</v>
      </c>
      <c r="K150" s="19">
        <v>2016</v>
      </c>
      <c r="L150" s="19"/>
      <c r="M150" s="19"/>
      <c r="N150" s="19"/>
      <c r="O150" s="19"/>
      <c r="P150" s="19"/>
      <c r="Q150" s="19" t="str">
        <f>"233.15"</f>
        <v>233.15</v>
      </c>
      <c r="R150" s="19"/>
      <c r="S150" s="19"/>
      <c r="T150" s="19"/>
      <c r="U150" s="19"/>
      <c r="V150" s="19"/>
      <c r="W150" s="19"/>
      <c r="X150" s="19"/>
      <c r="Y150" s="19" t="str">
        <f>"387.72"</f>
        <v>387.72</v>
      </c>
      <c r="Z150" s="19"/>
      <c r="AA150" s="19"/>
      <c r="AB150" s="19" t="str">
        <f>"230.49"</f>
        <v>230.49</v>
      </c>
      <c r="AC150" s="19"/>
      <c r="AD150" s="19"/>
      <c r="AE150" s="19"/>
    </row>
    <row r="151" spans="1:31">
      <c r="A151" s="14">
        <v>149</v>
      </c>
      <c r="B151" s="14">
        <v>2201</v>
      </c>
      <c r="C151" s="14" t="s">
        <v>242</v>
      </c>
      <c r="D151" s="14" t="s">
        <v>40</v>
      </c>
      <c r="E151" s="15" t="str">
        <f>"208.08"</f>
        <v>208.08</v>
      </c>
      <c r="F151" s="15"/>
      <c r="G151" s="16" t="str">
        <f>"232.99"</f>
        <v>232.99</v>
      </c>
      <c r="H151" s="17">
        <f t="shared" si="2"/>
        <v>224.99</v>
      </c>
      <c r="I151" s="18"/>
      <c r="J151" s="19">
        <v>3</v>
      </c>
      <c r="K151" s="19">
        <v>2016</v>
      </c>
      <c r="L151" s="19" t="str">
        <f>"208.08"</f>
        <v>208.08</v>
      </c>
      <c r="M151" s="19"/>
      <c r="N151" s="19"/>
      <c r="O151" s="19"/>
      <c r="P151" s="19"/>
      <c r="Q151" s="19"/>
      <c r="R151" s="19"/>
      <c r="S151" s="19" t="str">
        <f>"220.98"</f>
        <v>220.98</v>
      </c>
      <c r="T151" s="19"/>
      <c r="U151" s="19"/>
      <c r="V151" s="19"/>
      <c r="W151" s="19"/>
      <c r="X151" s="19" t="str">
        <f>"245.00"</f>
        <v>245.00</v>
      </c>
      <c r="Y151" s="19"/>
      <c r="Z151" s="19"/>
      <c r="AA151" s="19"/>
      <c r="AB151" s="19"/>
      <c r="AC151" s="19"/>
      <c r="AD151" s="19"/>
      <c r="AE151" s="19"/>
    </row>
    <row r="152" spans="1:31">
      <c r="A152" s="14">
        <v>150</v>
      </c>
      <c r="B152" s="14">
        <v>5484</v>
      </c>
      <c r="C152" s="14" t="s">
        <v>243</v>
      </c>
      <c r="D152" s="14" t="s">
        <v>53</v>
      </c>
      <c r="E152" s="15" t="str">
        <f>"135.30"</f>
        <v>135.30</v>
      </c>
      <c r="F152" s="15"/>
      <c r="G152" s="16" t="str">
        <f>"238.60"</f>
        <v>238.60</v>
      </c>
      <c r="H152" s="17">
        <f t="shared" si="2"/>
        <v>230.6</v>
      </c>
      <c r="I152" s="18" t="s">
        <v>38</v>
      </c>
      <c r="J152" s="19">
        <v>2</v>
      </c>
      <c r="K152" s="19">
        <v>2016</v>
      </c>
      <c r="L152" s="19" t="str">
        <f>"135.30"</f>
        <v>135.30</v>
      </c>
      <c r="M152" s="19"/>
      <c r="N152" s="19"/>
      <c r="O152" s="19"/>
      <c r="P152" s="19"/>
      <c r="Q152" s="19"/>
      <c r="R152" s="19"/>
      <c r="S152" s="19"/>
      <c r="T152" s="19" t="str">
        <f>"210.60"</f>
        <v>210.60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</row>
    <row r="153" spans="1:31">
      <c r="A153" s="14">
        <v>151</v>
      </c>
      <c r="B153" s="14">
        <v>10348</v>
      </c>
      <c r="C153" s="14" t="s">
        <v>244</v>
      </c>
      <c r="D153" s="14" t="s">
        <v>189</v>
      </c>
      <c r="E153" s="15" t="str">
        <f>"239.52"</f>
        <v>239.52</v>
      </c>
      <c r="F153" s="15"/>
      <c r="G153" s="16" t="str">
        <f>"239.52"</f>
        <v>239.52</v>
      </c>
      <c r="H153" s="17">
        <f t="shared" si="2"/>
        <v>231.52</v>
      </c>
      <c r="I153" s="18"/>
      <c r="J153" s="19">
        <v>5</v>
      </c>
      <c r="K153" s="19">
        <v>2016</v>
      </c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 t="str">
        <f>"250.62"</f>
        <v>250.62</v>
      </c>
      <c r="AA153" s="19" t="str">
        <f>"228.41"</f>
        <v>228.41</v>
      </c>
      <c r="AB153" s="19"/>
      <c r="AC153" s="19"/>
      <c r="AD153" s="19"/>
      <c r="AE153" s="19"/>
    </row>
    <row r="154" spans="1:31">
      <c r="A154" s="14">
        <v>152</v>
      </c>
      <c r="B154" s="14">
        <v>7601</v>
      </c>
      <c r="C154" s="14" t="s">
        <v>245</v>
      </c>
      <c r="D154" s="14" t="s">
        <v>246</v>
      </c>
      <c r="E154" s="15" t="str">
        <f>"195.08"</f>
        <v>195.08</v>
      </c>
      <c r="F154" s="15"/>
      <c r="G154" s="16" t="str">
        <f>"239.64"</f>
        <v>239.64</v>
      </c>
      <c r="H154" s="17">
        <f t="shared" si="2"/>
        <v>231.64</v>
      </c>
      <c r="I154" s="18" t="s">
        <v>38</v>
      </c>
      <c r="J154" s="19">
        <v>2</v>
      </c>
      <c r="K154" s="19">
        <v>2016</v>
      </c>
      <c r="L154" s="19" t="str">
        <f>"195.08"</f>
        <v>195.08</v>
      </c>
      <c r="M154" s="19"/>
      <c r="N154" s="19"/>
      <c r="O154" s="19"/>
      <c r="P154" s="19"/>
      <c r="Q154" s="19"/>
      <c r="R154" s="19"/>
      <c r="S154" s="19"/>
      <c r="T154" s="19"/>
      <c r="U154" s="19" t="str">
        <f>"211.64"</f>
        <v>211.64</v>
      </c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</row>
    <row r="155" spans="1:31">
      <c r="A155" s="14">
        <v>153</v>
      </c>
      <c r="B155" s="14">
        <v>3955</v>
      </c>
      <c r="C155" s="14" t="s">
        <v>247</v>
      </c>
      <c r="D155" s="14" t="s">
        <v>248</v>
      </c>
      <c r="E155" s="15" t="str">
        <f>"240.39"</f>
        <v>240.39</v>
      </c>
      <c r="F155" s="15"/>
      <c r="G155" s="16" t="str">
        <f>"240.39"</f>
        <v>240.39</v>
      </c>
      <c r="H155" s="17">
        <f t="shared" si="2"/>
        <v>232.39</v>
      </c>
      <c r="I155" s="18"/>
      <c r="J155" s="19">
        <v>3</v>
      </c>
      <c r="K155" s="19">
        <v>2016</v>
      </c>
      <c r="L155" s="19" t="str">
        <f>"286.78"</f>
        <v>286.78</v>
      </c>
      <c r="M155" s="19"/>
      <c r="N155" s="19"/>
      <c r="O155" s="19"/>
      <c r="P155" s="19"/>
      <c r="Q155" s="19" t="str">
        <f>"272.63"</f>
        <v>272.63</v>
      </c>
      <c r="R155" s="19"/>
      <c r="S155" s="19"/>
      <c r="T155" s="19"/>
      <c r="U155" s="19"/>
      <c r="V155" s="19" t="str">
        <f>"208.15"</f>
        <v>208.15</v>
      </c>
      <c r="W155" s="19"/>
      <c r="X155" s="19"/>
      <c r="Y155" s="19"/>
      <c r="Z155" s="19"/>
      <c r="AA155" s="19"/>
      <c r="AB155" s="19"/>
      <c r="AC155" s="19"/>
      <c r="AD155" s="19"/>
      <c r="AE155" s="19"/>
    </row>
    <row r="156" spans="1:31">
      <c r="A156" s="14">
        <v>154</v>
      </c>
      <c r="B156" s="14">
        <v>6674</v>
      </c>
      <c r="C156" s="14" t="s">
        <v>249</v>
      </c>
      <c r="D156" s="14" t="s">
        <v>196</v>
      </c>
      <c r="E156" s="15" t="str">
        <f>"149.37"</f>
        <v>149.37</v>
      </c>
      <c r="F156" s="15"/>
      <c r="G156" s="16" t="str">
        <f>"240.60"</f>
        <v>240.60</v>
      </c>
      <c r="H156" s="17">
        <f t="shared" si="2"/>
        <v>232.6</v>
      </c>
      <c r="I156" s="18" t="s">
        <v>38</v>
      </c>
      <c r="J156" s="19">
        <v>2</v>
      </c>
      <c r="K156" s="19">
        <v>2016</v>
      </c>
      <c r="L156" s="19" t="str">
        <f>"149.37"</f>
        <v>149.37</v>
      </c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 t="str">
        <f>"212.60"</f>
        <v>212.60</v>
      </c>
      <c r="AC156" s="19"/>
      <c r="AD156" s="19"/>
      <c r="AE156" s="19"/>
    </row>
    <row r="157" spans="1:31">
      <c r="A157" s="14">
        <v>155</v>
      </c>
      <c r="B157" s="14">
        <v>10825</v>
      </c>
      <c r="C157" s="14" t="s">
        <v>250</v>
      </c>
      <c r="D157" s="14" t="s">
        <v>53</v>
      </c>
      <c r="E157" s="15" t="str">
        <f>"242.90"</f>
        <v>242.90</v>
      </c>
      <c r="F157" s="15"/>
      <c r="G157" s="16" t="str">
        <f>"242.90"</f>
        <v>242.90</v>
      </c>
      <c r="H157" s="17">
        <f t="shared" si="2"/>
        <v>234.9</v>
      </c>
      <c r="I157" s="18"/>
      <c r="J157" s="19">
        <v>5</v>
      </c>
      <c r="K157" s="19">
        <v>2016</v>
      </c>
      <c r="L157" s="19"/>
      <c r="M157" s="19"/>
      <c r="N157" s="19" t="str">
        <f>"240.29"</f>
        <v>240.29</v>
      </c>
      <c r="O157" s="19"/>
      <c r="P157" s="19" t="str">
        <f>"245.50"</f>
        <v>245.50</v>
      </c>
      <c r="Q157" s="19"/>
      <c r="R157" s="19"/>
      <c r="S157" s="19"/>
      <c r="T157" s="19" t="str">
        <f>"336.02"</f>
        <v>336.02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</row>
    <row r="158" spans="1:31">
      <c r="A158" s="14">
        <v>156</v>
      </c>
      <c r="B158" s="14">
        <v>10042</v>
      </c>
      <c r="C158" s="14" t="s">
        <v>251</v>
      </c>
      <c r="D158" s="14" t="s">
        <v>40</v>
      </c>
      <c r="E158" s="15" t="str">
        <f>"162.78"</f>
        <v>162.78</v>
      </c>
      <c r="F158" s="15"/>
      <c r="G158" s="16" t="str">
        <f>"244.75"</f>
        <v>244.75</v>
      </c>
      <c r="H158" s="17">
        <f t="shared" si="2"/>
        <v>236.75</v>
      </c>
      <c r="I158" s="18"/>
      <c r="J158" s="19">
        <v>3</v>
      </c>
      <c r="K158" s="19">
        <v>2016</v>
      </c>
      <c r="L158" s="19" t="str">
        <f>"162.78"</f>
        <v>162.78</v>
      </c>
      <c r="M158" s="19"/>
      <c r="N158" s="19"/>
      <c r="O158" s="19"/>
      <c r="P158" s="19"/>
      <c r="Q158" s="19"/>
      <c r="R158" s="19"/>
      <c r="S158" s="19" t="str">
        <f>"168.62"</f>
        <v>168.62</v>
      </c>
      <c r="T158" s="19"/>
      <c r="U158" s="19"/>
      <c r="V158" s="19"/>
      <c r="W158" s="19"/>
      <c r="X158" s="19" t="str">
        <f>"320.88"</f>
        <v>320.88</v>
      </c>
      <c r="Y158" s="19"/>
      <c r="Z158" s="19"/>
      <c r="AA158" s="19"/>
      <c r="AB158" s="19"/>
      <c r="AC158" s="19"/>
      <c r="AD158" s="19"/>
      <c r="AE158" s="19"/>
    </row>
    <row r="159" spans="1:31">
      <c r="A159" s="14">
        <v>157</v>
      </c>
      <c r="B159" s="14">
        <v>3604</v>
      </c>
      <c r="C159" s="14" t="s">
        <v>252</v>
      </c>
      <c r="D159" s="14" t="s">
        <v>253</v>
      </c>
      <c r="E159" s="15" t="str">
        <f>"248.47"</f>
        <v>248.47</v>
      </c>
      <c r="F159" s="15"/>
      <c r="G159" s="16" t="str">
        <f>"246.73"</f>
        <v>246.73</v>
      </c>
      <c r="H159" s="17">
        <f t="shared" si="2"/>
        <v>238.73</v>
      </c>
      <c r="I159" s="18" t="s">
        <v>38</v>
      </c>
      <c r="J159" s="19">
        <v>2</v>
      </c>
      <c r="K159" s="19">
        <v>2016</v>
      </c>
      <c r="L159" s="19" t="str">
        <f>"278.20"</f>
        <v>278.20</v>
      </c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 t="str">
        <f>"218.73"</f>
        <v>218.73</v>
      </c>
      <c r="AA159" s="19"/>
      <c r="AB159" s="19"/>
      <c r="AC159" s="19"/>
      <c r="AD159" s="19"/>
      <c r="AE159" s="19"/>
    </row>
    <row r="160" spans="1:31">
      <c r="A160" s="14">
        <v>158</v>
      </c>
      <c r="B160" s="14">
        <v>2027</v>
      </c>
      <c r="C160" s="14" t="s">
        <v>254</v>
      </c>
      <c r="D160" s="14" t="s">
        <v>103</v>
      </c>
      <c r="E160" s="15" t="str">
        <f>"219.27"</f>
        <v>219.27</v>
      </c>
      <c r="F160" s="15"/>
      <c r="G160" s="16" t="str">
        <f>"247.27"</f>
        <v>247.27</v>
      </c>
      <c r="H160" s="17">
        <f t="shared" si="2"/>
        <v>239.27</v>
      </c>
      <c r="I160" s="18" t="s">
        <v>36</v>
      </c>
      <c r="J160" s="19">
        <v>1</v>
      </c>
      <c r="K160" s="19">
        <v>2016</v>
      </c>
      <c r="L160" s="19" t="str">
        <f>"219.27"</f>
        <v>219.27</v>
      </c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</row>
    <row r="161" spans="1:31">
      <c r="A161" s="14">
        <v>159</v>
      </c>
      <c r="B161" s="14">
        <v>1875</v>
      </c>
      <c r="C161" s="14" t="s">
        <v>255</v>
      </c>
      <c r="D161" s="14" t="s">
        <v>40</v>
      </c>
      <c r="E161" s="15" t="str">
        <f>"237.12"</f>
        <v>237.12</v>
      </c>
      <c r="F161" s="15"/>
      <c r="G161" s="16" t="str">
        <f>"249.30"</f>
        <v>249.30</v>
      </c>
      <c r="H161" s="17">
        <f t="shared" si="2"/>
        <v>241.3</v>
      </c>
      <c r="I161" s="18"/>
      <c r="J161" s="19">
        <v>3</v>
      </c>
      <c r="K161" s="19">
        <v>2016</v>
      </c>
      <c r="L161" s="19" t="str">
        <f>"237.12"</f>
        <v>237.12</v>
      </c>
      <c r="M161" s="19"/>
      <c r="N161" s="19"/>
      <c r="O161" s="19"/>
      <c r="P161" s="19"/>
      <c r="Q161" s="19"/>
      <c r="R161" s="19" t="str">
        <f>"239.79"</f>
        <v>239.79</v>
      </c>
      <c r="S161" s="19" t="str">
        <f>"258.80"</f>
        <v>258.80</v>
      </c>
      <c r="T161" s="19"/>
      <c r="U161" s="19"/>
      <c r="V161" s="19"/>
      <c r="W161" s="19" t="str">
        <f>"266.14"</f>
        <v>266.14</v>
      </c>
      <c r="X161" s="19" t="str">
        <f>"306.44"</f>
        <v>306.44</v>
      </c>
      <c r="Y161" s="19"/>
      <c r="Z161" s="19"/>
      <c r="AA161" s="19"/>
      <c r="AB161" s="19"/>
      <c r="AC161" s="19"/>
      <c r="AD161" s="19"/>
      <c r="AE161" s="19"/>
    </row>
    <row r="162" spans="1:31">
      <c r="A162" s="14">
        <v>160</v>
      </c>
      <c r="B162" s="14">
        <v>2199</v>
      </c>
      <c r="C162" s="14" t="s">
        <v>256</v>
      </c>
      <c r="D162" s="14" t="s">
        <v>40</v>
      </c>
      <c r="E162" s="15" t="str">
        <f>"231.43"</f>
        <v>231.43</v>
      </c>
      <c r="F162" s="15"/>
      <c r="G162" s="16" t="str">
        <f>"252.92"</f>
        <v>252.92</v>
      </c>
      <c r="H162" s="17">
        <f t="shared" si="2"/>
        <v>244.92</v>
      </c>
      <c r="I162" s="18"/>
      <c r="J162" s="19">
        <v>3</v>
      </c>
      <c r="K162" s="19">
        <v>2016</v>
      </c>
      <c r="L162" s="19" t="str">
        <f>"231.43"</f>
        <v>231.43</v>
      </c>
      <c r="M162" s="19"/>
      <c r="N162" s="19"/>
      <c r="O162" s="19"/>
      <c r="P162" s="19"/>
      <c r="Q162" s="19"/>
      <c r="R162" s="19" t="str">
        <f>"249.07"</f>
        <v>249.07</v>
      </c>
      <c r="S162" s="19" t="str">
        <f>"291.11"</f>
        <v>291.11</v>
      </c>
      <c r="T162" s="19"/>
      <c r="U162" s="19"/>
      <c r="V162" s="19"/>
      <c r="W162" s="19"/>
      <c r="X162" s="19"/>
      <c r="Y162" s="19" t="str">
        <f>"256.77"</f>
        <v>256.77</v>
      </c>
      <c r="Z162" s="19"/>
      <c r="AA162" s="19"/>
      <c r="AB162" s="19"/>
      <c r="AC162" s="19"/>
      <c r="AD162" s="19"/>
      <c r="AE162" s="19"/>
    </row>
    <row r="163" spans="1:31">
      <c r="A163" s="14">
        <v>161</v>
      </c>
      <c r="B163" s="14">
        <v>8172</v>
      </c>
      <c r="C163" s="14" t="s">
        <v>257</v>
      </c>
      <c r="D163" s="14" t="s">
        <v>258</v>
      </c>
      <c r="E163" s="15" t="str">
        <f>"225.67"</f>
        <v>225.67</v>
      </c>
      <c r="F163" s="15"/>
      <c r="G163" s="16" t="str">
        <f>"253.67"</f>
        <v>253.67</v>
      </c>
      <c r="H163" s="17">
        <f t="shared" si="2"/>
        <v>245.67</v>
      </c>
      <c r="I163" s="18" t="s">
        <v>36</v>
      </c>
      <c r="J163" s="19">
        <v>1</v>
      </c>
      <c r="K163" s="19">
        <v>2016</v>
      </c>
      <c r="L163" s="19" t="str">
        <f>"225.67"</f>
        <v>225.67</v>
      </c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</row>
    <row r="164" spans="1:31">
      <c r="A164" s="14">
        <v>162</v>
      </c>
      <c r="B164" s="14">
        <v>7798</v>
      </c>
      <c r="C164" s="14" t="s">
        <v>259</v>
      </c>
      <c r="D164" s="14" t="s">
        <v>260</v>
      </c>
      <c r="E164" s="15" t="str">
        <f>"226.04"</f>
        <v>226.04</v>
      </c>
      <c r="F164" s="15"/>
      <c r="G164" s="16" t="str">
        <f>"254.04"</f>
        <v>254.04</v>
      </c>
      <c r="H164" s="17">
        <f t="shared" si="2"/>
        <v>246.04</v>
      </c>
      <c r="I164" s="18" t="s">
        <v>36</v>
      </c>
      <c r="J164" s="19">
        <v>1</v>
      </c>
      <c r="K164" s="19">
        <v>2016</v>
      </c>
      <c r="L164" s="19" t="str">
        <f>"226.04"</f>
        <v>226.04</v>
      </c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</row>
    <row r="165" spans="1:31">
      <c r="A165" s="14">
        <v>163</v>
      </c>
      <c r="B165" s="14">
        <v>4380</v>
      </c>
      <c r="C165" s="14" t="s">
        <v>261</v>
      </c>
      <c r="D165" s="14" t="s">
        <v>203</v>
      </c>
      <c r="E165" s="15" t="str">
        <f>"254.65"</f>
        <v>254.65</v>
      </c>
      <c r="F165" s="15"/>
      <c r="G165" s="16" t="str">
        <f>"254.65"</f>
        <v>254.65</v>
      </c>
      <c r="H165" s="17">
        <f t="shared" si="2"/>
        <v>246.65</v>
      </c>
      <c r="I165" s="18"/>
      <c r="J165" s="19">
        <v>5</v>
      </c>
      <c r="K165" s="19">
        <v>2016</v>
      </c>
      <c r="L165" s="19"/>
      <c r="M165" s="19"/>
      <c r="N165" s="19"/>
      <c r="O165" s="19"/>
      <c r="P165" s="19"/>
      <c r="Q165" s="19" t="str">
        <f>"232.00"</f>
        <v>232.00</v>
      </c>
      <c r="R165" s="19"/>
      <c r="S165" s="19"/>
      <c r="T165" s="19"/>
      <c r="U165" s="19"/>
      <c r="V165" s="19"/>
      <c r="W165" s="19"/>
      <c r="X165" s="19"/>
      <c r="Y165" s="19"/>
      <c r="Z165" s="19" t="str">
        <f>"277.30"</f>
        <v>277.30</v>
      </c>
      <c r="AA165" s="19" t="str">
        <f>"292.05"</f>
        <v>292.05</v>
      </c>
      <c r="AB165" s="19"/>
      <c r="AC165" s="19"/>
      <c r="AD165" s="19"/>
      <c r="AE165" s="19"/>
    </row>
    <row r="166" spans="1:31">
      <c r="A166" s="14">
        <v>164</v>
      </c>
      <c r="B166" s="14">
        <v>10263</v>
      </c>
      <c r="C166" s="14" t="s">
        <v>262</v>
      </c>
      <c r="D166" s="14" t="s">
        <v>73</v>
      </c>
      <c r="E166" s="15" t="str">
        <f>"164.38"</f>
        <v>164.38</v>
      </c>
      <c r="F166" s="15"/>
      <c r="G166" s="16" t="str">
        <f>"254.79"</f>
        <v>254.79</v>
      </c>
      <c r="H166" s="17">
        <f t="shared" si="2"/>
        <v>246.79</v>
      </c>
      <c r="I166" s="18" t="s">
        <v>38</v>
      </c>
      <c r="J166" s="19">
        <v>2</v>
      </c>
      <c r="K166" s="19">
        <v>2016</v>
      </c>
      <c r="L166" s="19" t="str">
        <f>"164.38"</f>
        <v>164.38</v>
      </c>
      <c r="M166" s="19"/>
      <c r="N166" s="19"/>
      <c r="O166" s="19"/>
      <c r="P166" s="19"/>
      <c r="Q166" s="19"/>
      <c r="R166" s="19"/>
      <c r="S166" s="19"/>
      <c r="T166" s="19"/>
      <c r="U166" s="19" t="str">
        <f>"226.79"</f>
        <v>226.79</v>
      </c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</row>
    <row r="167" spans="1:31">
      <c r="A167" s="14">
        <v>165</v>
      </c>
      <c r="B167" s="14">
        <v>10668</v>
      </c>
      <c r="C167" s="14" t="s">
        <v>263</v>
      </c>
      <c r="D167" s="14" t="s">
        <v>73</v>
      </c>
      <c r="E167" s="15" t="str">
        <f>"220.75"</f>
        <v>220.75</v>
      </c>
      <c r="F167" s="15"/>
      <c r="G167" s="16" t="str">
        <f>"255.19"</f>
        <v>255.19</v>
      </c>
      <c r="H167" s="17">
        <f t="shared" si="2"/>
        <v>247.19</v>
      </c>
      <c r="I167" s="18" t="s">
        <v>38</v>
      </c>
      <c r="J167" s="19">
        <v>2</v>
      </c>
      <c r="K167" s="19">
        <v>2016</v>
      </c>
      <c r="L167" s="19" t="str">
        <f>"220.75"</f>
        <v>220.75</v>
      </c>
      <c r="M167" s="19"/>
      <c r="N167" s="19"/>
      <c r="O167" s="19" t="str">
        <f>"227.19"</f>
        <v>227.19</v>
      </c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</row>
    <row r="168" spans="1:31">
      <c r="A168" s="14">
        <v>166</v>
      </c>
      <c r="B168" s="14">
        <v>2285</v>
      </c>
      <c r="C168" s="14" t="s">
        <v>264</v>
      </c>
      <c r="D168" s="14" t="s">
        <v>265</v>
      </c>
      <c r="E168" s="15" t="str">
        <f>"227.20"</f>
        <v>227.20</v>
      </c>
      <c r="F168" s="15"/>
      <c r="G168" s="16" t="str">
        <f>"255.20"</f>
        <v>255.20</v>
      </c>
      <c r="H168" s="17">
        <f t="shared" si="2"/>
        <v>247.2</v>
      </c>
      <c r="I168" s="18" t="s">
        <v>36</v>
      </c>
      <c r="J168" s="19">
        <v>1</v>
      </c>
      <c r="K168" s="19">
        <v>2016</v>
      </c>
      <c r="L168" s="19" t="str">
        <f>"227.20"</f>
        <v>227.20</v>
      </c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</row>
    <row r="169" spans="1:31">
      <c r="A169" s="14">
        <v>167</v>
      </c>
      <c r="B169" s="14">
        <v>2162</v>
      </c>
      <c r="C169" s="14" t="s">
        <v>266</v>
      </c>
      <c r="D169" s="14" t="s">
        <v>125</v>
      </c>
      <c r="E169" s="15" t="str">
        <f>"228.78"</f>
        <v>228.78</v>
      </c>
      <c r="F169" s="15"/>
      <c r="G169" s="16" t="str">
        <f>"256.78"</f>
        <v>256.78</v>
      </c>
      <c r="H169" s="17">
        <f t="shared" si="2"/>
        <v>248.77999999999997</v>
      </c>
      <c r="I169" s="18" t="s">
        <v>36</v>
      </c>
      <c r="J169" s="19">
        <v>1</v>
      </c>
      <c r="K169" s="19">
        <v>2016</v>
      </c>
      <c r="L169" s="19" t="str">
        <f>"228.78"</f>
        <v>228.78</v>
      </c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</row>
    <row r="170" spans="1:31">
      <c r="A170" s="14">
        <v>168</v>
      </c>
      <c r="B170" s="14">
        <v>10970</v>
      </c>
      <c r="C170" s="14" t="s">
        <v>267</v>
      </c>
      <c r="D170" s="14" t="s">
        <v>73</v>
      </c>
      <c r="E170" s="15" t="str">
        <f>"259.22"</f>
        <v>259.22</v>
      </c>
      <c r="F170" s="15"/>
      <c r="G170" s="16" t="str">
        <f>"259.22"</f>
        <v>259.22</v>
      </c>
      <c r="H170" s="17">
        <f t="shared" si="2"/>
        <v>251.22000000000003</v>
      </c>
      <c r="I170" s="18" t="s">
        <v>38</v>
      </c>
      <c r="J170" s="19">
        <v>4</v>
      </c>
      <c r="K170" s="19">
        <v>2016</v>
      </c>
      <c r="L170" s="19"/>
      <c r="M170" s="19" t="str">
        <f>"231.22"</f>
        <v>231.22</v>
      </c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</row>
    <row r="171" spans="1:31">
      <c r="A171" s="14">
        <v>169</v>
      </c>
      <c r="B171" s="14">
        <v>6652</v>
      </c>
      <c r="C171" s="14" t="s">
        <v>268</v>
      </c>
      <c r="D171" s="14" t="s">
        <v>53</v>
      </c>
      <c r="E171" s="15" t="str">
        <f>"182.36"</f>
        <v>182.36</v>
      </c>
      <c r="F171" s="15"/>
      <c r="G171" s="16" t="str">
        <f>"261.91"</f>
        <v>261.91</v>
      </c>
      <c r="H171" s="17">
        <f t="shared" si="2"/>
        <v>253.91000000000003</v>
      </c>
      <c r="I171" s="18"/>
      <c r="J171" s="19">
        <v>3</v>
      </c>
      <c r="K171" s="19">
        <v>2016</v>
      </c>
      <c r="L171" s="19" t="str">
        <f>"182.36"</f>
        <v>182.36</v>
      </c>
      <c r="M171" s="19"/>
      <c r="N171" s="19"/>
      <c r="O171" s="19"/>
      <c r="P171" s="19" t="str">
        <f>"206.06"</f>
        <v>206.06</v>
      </c>
      <c r="Q171" s="19"/>
      <c r="R171" s="19"/>
      <c r="S171" s="19"/>
      <c r="T171" s="19" t="str">
        <f>"317.76"</f>
        <v>317.76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</row>
    <row r="172" spans="1:31">
      <c r="A172" s="14">
        <v>170</v>
      </c>
      <c r="B172" s="14">
        <v>11042</v>
      </c>
      <c r="C172" s="14" t="s">
        <v>269</v>
      </c>
      <c r="D172" s="14" t="s">
        <v>51</v>
      </c>
      <c r="E172" s="15" t="str">
        <f>"261.96"</f>
        <v>261.96</v>
      </c>
      <c r="F172" s="15"/>
      <c r="G172" s="16" t="str">
        <f>"261.96"</f>
        <v>261.96</v>
      </c>
      <c r="H172" s="17">
        <f t="shared" si="2"/>
        <v>253.95999999999998</v>
      </c>
      <c r="I172" s="18" t="s">
        <v>38</v>
      </c>
      <c r="J172" s="19">
        <v>4</v>
      </c>
      <c r="K172" s="19">
        <v>2016</v>
      </c>
      <c r="L172" s="19"/>
      <c r="M172" s="19" t="str">
        <f>"233.96"</f>
        <v>233.96</v>
      </c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</row>
    <row r="173" spans="1:31">
      <c r="A173" s="14">
        <v>171</v>
      </c>
      <c r="B173" s="14">
        <v>2398</v>
      </c>
      <c r="C173" s="14" t="s">
        <v>270</v>
      </c>
      <c r="D173" s="14" t="s">
        <v>40</v>
      </c>
      <c r="E173" s="15" t="str">
        <f>"244.53"</f>
        <v>244.53</v>
      </c>
      <c r="F173" s="15"/>
      <c r="G173" s="16" t="str">
        <f>"262.04"</f>
        <v>262.04</v>
      </c>
      <c r="H173" s="17">
        <f t="shared" si="2"/>
        <v>254.04000000000002</v>
      </c>
      <c r="I173" s="18"/>
      <c r="J173" s="19">
        <v>3</v>
      </c>
      <c r="K173" s="19">
        <v>2016</v>
      </c>
      <c r="L173" s="19" t="str">
        <f>"244.53"</f>
        <v>244.53</v>
      </c>
      <c r="M173" s="19"/>
      <c r="N173" s="19"/>
      <c r="O173" s="19"/>
      <c r="P173" s="19"/>
      <c r="Q173" s="19"/>
      <c r="R173" s="19" t="str">
        <f>"302.45"</f>
        <v>302.45</v>
      </c>
      <c r="S173" s="19" t="str">
        <f>"271.87"</f>
        <v>271.87</v>
      </c>
      <c r="T173" s="19"/>
      <c r="U173" s="19"/>
      <c r="V173" s="19"/>
      <c r="W173" s="19" t="str">
        <f>"252.20"</f>
        <v>252.20</v>
      </c>
      <c r="X173" s="19"/>
      <c r="Y173" s="19"/>
      <c r="Z173" s="19"/>
      <c r="AA173" s="19"/>
      <c r="AB173" s="19"/>
      <c r="AC173" s="19"/>
      <c r="AD173" s="19"/>
      <c r="AE173" s="19"/>
    </row>
    <row r="174" spans="1:31">
      <c r="A174" s="14">
        <v>172</v>
      </c>
      <c r="B174" s="14">
        <v>6372</v>
      </c>
      <c r="C174" s="14" t="s">
        <v>271</v>
      </c>
      <c r="D174" s="14" t="s">
        <v>152</v>
      </c>
      <c r="E174" s="15" t="str">
        <f>"234.48"</f>
        <v>234.48</v>
      </c>
      <c r="F174" s="15"/>
      <c r="G174" s="16" t="str">
        <f>"262.48"</f>
        <v>262.48</v>
      </c>
      <c r="H174" s="17">
        <f t="shared" si="2"/>
        <v>254.48000000000002</v>
      </c>
      <c r="I174" s="18" t="s">
        <v>36</v>
      </c>
      <c r="J174" s="19">
        <v>1</v>
      </c>
      <c r="K174" s="19">
        <v>2016</v>
      </c>
      <c r="L174" s="19" t="str">
        <f>"234.48"</f>
        <v>234.48</v>
      </c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</row>
    <row r="175" spans="1:31">
      <c r="A175" s="14">
        <v>173</v>
      </c>
      <c r="B175" s="14">
        <v>10022</v>
      </c>
      <c r="C175" s="14" t="s">
        <v>272</v>
      </c>
      <c r="D175" s="14" t="s">
        <v>40</v>
      </c>
      <c r="E175" s="15" t="str">
        <f>"222.65"</f>
        <v>222.65</v>
      </c>
      <c r="F175" s="15"/>
      <c r="G175" s="16" t="str">
        <f>"265.79"</f>
        <v>265.79</v>
      </c>
      <c r="H175" s="17">
        <f t="shared" si="2"/>
        <v>257.79000000000002</v>
      </c>
      <c r="I175" s="18"/>
      <c r="J175" s="19">
        <v>3</v>
      </c>
      <c r="K175" s="19">
        <v>2016</v>
      </c>
      <c r="L175" s="19" t="str">
        <f>"222.65"</f>
        <v>222.65</v>
      </c>
      <c r="M175" s="19"/>
      <c r="N175" s="19"/>
      <c r="O175" s="19"/>
      <c r="P175" s="19"/>
      <c r="Q175" s="19"/>
      <c r="R175" s="19"/>
      <c r="S175" s="19" t="str">
        <f>"248.07"</f>
        <v>248.07</v>
      </c>
      <c r="T175" s="19"/>
      <c r="U175" s="19"/>
      <c r="V175" s="19"/>
      <c r="W175" s="19"/>
      <c r="X175" s="19" t="str">
        <f>"283.50"</f>
        <v>283.50</v>
      </c>
      <c r="Y175" s="19"/>
      <c r="Z175" s="19"/>
      <c r="AA175" s="19"/>
      <c r="AB175" s="19"/>
      <c r="AC175" s="19"/>
      <c r="AD175" s="19"/>
      <c r="AE175" s="19"/>
    </row>
    <row r="176" spans="1:31">
      <c r="A176" s="14">
        <v>174</v>
      </c>
      <c r="B176" s="14">
        <v>10023</v>
      </c>
      <c r="C176" s="14" t="s">
        <v>273</v>
      </c>
      <c r="D176" s="14" t="s">
        <v>40</v>
      </c>
      <c r="E176" s="15" t="str">
        <f>"260.81"</f>
        <v>260.81</v>
      </c>
      <c r="F176" s="15"/>
      <c r="G176" s="16" t="str">
        <f>"267.32"</f>
        <v>267.32</v>
      </c>
      <c r="H176" s="17">
        <f t="shared" si="2"/>
        <v>259.32</v>
      </c>
      <c r="I176" s="18"/>
      <c r="J176" s="19">
        <v>3</v>
      </c>
      <c r="K176" s="19">
        <v>2016</v>
      </c>
      <c r="L176" s="19" t="str">
        <f>"284.74"</f>
        <v>284.74</v>
      </c>
      <c r="M176" s="19"/>
      <c r="N176" s="19"/>
      <c r="O176" s="19"/>
      <c r="P176" s="19"/>
      <c r="Q176" s="19"/>
      <c r="R176" s="19" t="str">
        <f>"236.88"</f>
        <v>236.88</v>
      </c>
      <c r="S176" s="19" t="str">
        <f>"315.45"</f>
        <v>315.45</v>
      </c>
      <c r="T176" s="19"/>
      <c r="U176" s="19"/>
      <c r="V176" s="19"/>
      <c r="W176" s="19" t="str">
        <f>"297.76"</f>
        <v>297.76</v>
      </c>
      <c r="X176" s="19" t="str">
        <f>"332.25"</f>
        <v>332.25</v>
      </c>
      <c r="Y176" s="19"/>
      <c r="Z176" s="19"/>
      <c r="AA176" s="19"/>
      <c r="AB176" s="19"/>
      <c r="AC176" s="19"/>
      <c r="AD176" s="19"/>
      <c r="AE176" s="19"/>
    </row>
    <row r="177" spans="1:31">
      <c r="A177" s="14">
        <v>175</v>
      </c>
      <c r="B177" s="14">
        <v>10324</v>
      </c>
      <c r="C177" s="14" t="s">
        <v>274</v>
      </c>
      <c r="D177" s="14" t="s">
        <v>275</v>
      </c>
      <c r="E177" s="15" t="str">
        <f>"281.92"</f>
        <v>281.92</v>
      </c>
      <c r="F177" s="15"/>
      <c r="G177" s="16" t="str">
        <f>"270.82"</f>
        <v>270.82</v>
      </c>
      <c r="H177" s="17">
        <f t="shared" si="2"/>
        <v>262.82</v>
      </c>
      <c r="I177" s="18" t="s">
        <v>38</v>
      </c>
      <c r="J177" s="19">
        <v>2</v>
      </c>
      <c r="K177" s="19">
        <v>2016</v>
      </c>
      <c r="L177" s="19" t="str">
        <f>"321.02"</f>
        <v>321.02</v>
      </c>
      <c r="M177" s="19" t="str">
        <f>"242.82"</f>
        <v>242.82</v>
      </c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</row>
    <row r="178" spans="1:31">
      <c r="A178" s="14">
        <v>176</v>
      </c>
      <c r="B178" s="14">
        <v>8489</v>
      </c>
      <c r="C178" s="14" t="s">
        <v>276</v>
      </c>
      <c r="D178" s="14" t="s">
        <v>40</v>
      </c>
      <c r="E178" s="15" t="str">
        <f>"267.87"</f>
        <v>267.87</v>
      </c>
      <c r="F178" s="15"/>
      <c r="G178" s="16" t="str">
        <f>"272.80"</f>
        <v>272.80</v>
      </c>
      <c r="H178" s="17">
        <f t="shared" si="2"/>
        <v>264.8</v>
      </c>
      <c r="I178" s="18"/>
      <c r="J178" s="19">
        <v>3</v>
      </c>
      <c r="K178" s="19">
        <v>2016</v>
      </c>
      <c r="L178" s="19" t="str">
        <f>"275.46"</f>
        <v>275.46</v>
      </c>
      <c r="M178" s="19"/>
      <c r="N178" s="19"/>
      <c r="O178" s="19"/>
      <c r="P178" s="19"/>
      <c r="Q178" s="19"/>
      <c r="R178" s="19" t="str">
        <f>"260.28"</f>
        <v>260.28</v>
      </c>
      <c r="S178" s="19"/>
      <c r="T178" s="19"/>
      <c r="U178" s="19"/>
      <c r="V178" s="19"/>
      <c r="W178" s="19" t="str">
        <f>"304.63"</f>
        <v>304.63</v>
      </c>
      <c r="X178" s="19" t="str">
        <f>"413.91"</f>
        <v>413.91</v>
      </c>
      <c r="Y178" s="19"/>
      <c r="Z178" s="19"/>
      <c r="AA178" s="19"/>
      <c r="AB178" s="19"/>
      <c r="AC178" s="19" t="str">
        <f>"299.21"</f>
        <v>299.21</v>
      </c>
      <c r="AD178" s="19" t="str">
        <f>"285.32"</f>
        <v>285.32</v>
      </c>
      <c r="AE178" s="19"/>
    </row>
    <row r="179" spans="1:31">
      <c r="A179" s="14">
        <v>177</v>
      </c>
      <c r="B179" s="14">
        <v>6869</v>
      </c>
      <c r="C179" s="14" t="s">
        <v>277</v>
      </c>
      <c r="D179" s="14" t="s">
        <v>278</v>
      </c>
      <c r="E179" s="15" t="str">
        <f>"205.21"</f>
        <v>205.21</v>
      </c>
      <c r="F179" s="15"/>
      <c r="G179" s="16" t="str">
        <f>"273.03"</f>
        <v>273.03</v>
      </c>
      <c r="H179" s="17">
        <f t="shared" si="2"/>
        <v>265.02999999999997</v>
      </c>
      <c r="I179" s="18" t="s">
        <v>38</v>
      </c>
      <c r="J179" s="19">
        <v>2</v>
      </c>
      <c r="K179" s="19">
        <v>2016</v>
      </c>
      <c r="L179" s="19" t="str">
        <f>"205.21"</f>
        <v>205.21</v>
      </c>
      <c r="M179" s="19"/>
      <c r="N179" s="19"/>
      <c r="O179" s="19"/>
      <c r="P179" s="19"/>
      <c r="Q179" s="19"/>
      <c r="R179" s="19"/>
      <c r="S179" s="19"/>
      <c r="T179" s="19"/>
      <c r="U179" s="19" t="str">
        <f>"245.03"</f>
        <v>245.03</v>
      </c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</row>
    <row r="180" spans="1:31">
      <c r="A180" s="14">
        <v>178</v>
      </c>
      <c r="B180" s="14">
        <v>10463</v>
      </c>
      <c r="C180" s="14" t="s">
        <v>279</v>
      </c>
      <c r="D180" s="14" t="s">
        <v>53</v>
      </c>
      <c r="E180" s="15" t="str">
        <f>"274.28"</f>
        <v>274.28</v>
      </c>
      <c r="F180" s="15"/>
      <c r="G180" s="16" t="str">
        <f>"274.28"</f>
        <v>274.28</v>
      </c>
      <c r="H180" s="17">
        <f t="shared" si="2"/>
        <v>266.27999999999997</v>
      </c>
      <c r="I180" s="18"/>
      <c r="J180" s="19">
        <v>5</v>
      </c>
      <c r="K180" s="19">
        <v>2016</v>
      </c>
      <c r="L180" s="19"/>
      <c r="M180" s="19"/>
      <c r="N180" s="19"/>
      <c r="O180" s="19"/>
      <c r="P180" s="19"/>
      <c r="Q180" s="19"/>
      <c r="R180" s="19"/>
      <c r="S180" s="19"/>
      <c r="T180" s="19" t="str">
        <f>"825.14"</f>
        <v>825.14</v>
      </c>
      <c r="U180" s="19"/>
      <c r="V180" s="19"/>
      <c r="W180" s="19"/>
      <c r="X180" s="19"/>
      <c r="Y180" s="19"/>
      <c r="Z180" s="19"/>
      <c r="AA180" s="19"/>
      <c r="AB180" s="19"/>
      <c r="AC180" s="19" t="str">
        <f>"323.83"</f>
        <v>323.83</v>
      </c>
      <c r="AD180" s="19" t="str">
        <f>"272.31"</f>
        <v>272.31</v>
      </c>
      <c r="AE180" s="19" t="str">
        <f>"276.24"</f>
        <v>276.24</v>
      </c>
    </row>
    <row r="181" spans="1:31">
      <c r="A181" s="14">
        <v>179</v>
      </c>
      <c r="B181" s="14">
        <v>8648</v>
      </c>
      <c r="C181" s="14" t="s">
        <v>280</v>
      </c>
      <c r="D181" s="14" t="s">
        <v>40</v>
      </c>
      <c r="E181" s="15" t="str">
        <f>"258.67"</f>
        <v>258.67</v>
      </c>
      <c r="F181" s="15"/>
      <c r="G181" s="16" t="str">
        <f>"274.93"</f>
        <v>274.93</v>
      </c>
      <c r="H181" s="17">
        <f t="shared" si="2"/>
        <v>266.93</v>
      </c>
      <c r="I181" s="18"/>
      <c r="J181" s="19">
        <v>3</v>
      </c>
      <c r="K181" s="19">
        <v>2016</v>
      </c>
      <c r="L181" s="19" t="str">
        <f>"258.67"</f>
        <v>258.67</v>
      </c>
      <c r="M181" s="19"/>
      <c r="N181" s="19"/>
      <c r="O181" s="19"/>
      <c r="P181" s="19"/>
      <c r="Q181" s="19"/>
      <c r="R181" s="19" t="str">
        <f>"275.60"</f>
        <v>275.60</v>
      </c>
      <c r="S181" s="19"/>
      <c r="T181" s="19"/>
      <c r="U181" s="19"/>
      <c r="V181" s="19"/>
      <c r="W181" s="19" t="str">
        <f>"274.25"</f>
        <v>274.25</v>
      </c>
      <c r="X181" s="19" t="str">
        <f>"281.54"</f>
        <v>281.54</v>
      </c>
      <c r="Y181" s="19"/>
      <c r="Z181" s="19"/>
      <c r="AA181" s="19"/>
      <c r="AB181" s="19"/>
      <c r="AC181" s="19"/>
      <c r="AD181" s="19"/>
      <c r="AE181" s="19"/>
    </row>
    <row r="182" spans="1:31">
      <c r="A182" s="14">
        <v>180</v>
      </c>
      <c r="B182" s="14">
        <v>3902</v>
      </c>
      <c r="C182" s="14" t="s">
        <v>281</v>
      </c>
      <c r="D182" s="14" t="s">
        <v>165</v>
      </c>
      <c r="E182" s="15" t="str">
        <f>"255.20"</f>
        <v>255.20</v>
      </c>
      <c r="F182" s="15"/>
      <c r="G182" s="16" t="str">
        <f>"275.29"</f>
        <v>275.29</v>
      </c>
      <c r="H182" s="17">
        <f t="shared" si="2"/>
        <v>267.29000000000002</v>
      </c>
      <c r="I182" s="18" t="s">
        <v>38</v>
      </c>
      <c r="J182" s="19">
        <v>2</v>
      </c>
      <c r="K182" s="19">
        <v>2016</v>
      </c>
      <c r="L182" s="19" t="str">
        <f>"263.11"</f>
        <v>263.11</v>
      </c>
      <c r="M182" s="19"/>
      <c r="N182" s="19"/>
      <c r="O182" s="19"/>
      <c r="P182" s="19"/>
      <c r="Q182" s="19"/>
      <c r="R182" s="19"/>
      <c r="S182" s="19"/>
      <c r="T182" s="19"/>
      <c r="U182" s="19" t="str">
        <f>"247.29"</f>
        <v>247.29</v>
      </c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1:31">
      <c r="A183" s="14">
        <v>181</v>
      </c>
      <c r="B183" s="14">
        <v>9952</v>
      </c>
      <c r="C183" s="14" t="s">
        <v>282</v>
      </c>
      <c r="D183" s="14" t="s">
        <v>71</v>
      </c>
      <c r="E183" s="15" t="str">
        <f>"247.35"</f>
        <v>247.35</v>
      </c>
      <c r="F183" s="15"/>
      <c r="G183" s="16" t="str">
        <f>"275.35"</f>
        <v>275.35</v>
      </c>
      <c r="H183" s="17">
        <f t="shared" si="2"/>
        <v>267.35000000000002</v>
      </c>
      <c r="I183" s="18" t="s">
        <v>36</v>
      </c>
      <c r="J183" s="19">
        <v>1</v>
      </c>
      <c r="K183" s="19">
        <v>2016</v>
      </c>
      <c r="L183" s="19" t="str">
        <f>"247.35"</f>
        <v>247.35</v>
      </c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1:31">
      <c r="A184" s="14">
        <v>182</v>
      </c>
      <c r="B184" s="14">
        <v>10301</v>
      </c>
      <c r="C184" s="14" t="s">
        <v>283</v>
      </c>
      <c r="D184" s="14" t="s">
        <v>97</v>
      </c>
      <c r="E184" s="15" t="str">
        <f>"247.35"</f>
        <v>247.35</v>
      </c>
      <c r="F184" s="15"/>
      <c r="G184" s="16" t="str">
        <f>"275.35"</f>
        <v>275.35</v>
      </c>
      <c r="H184" s="17">
        <f t="shared" si="2"/>
        <v>267.35000000000002</v>
      </c>
      <c r="I184" s="18" t="s">
        <v>36</v>
      </c>
      <c r="J184" s="19">
        <v>1</v>
      </c>
      <c r="K184" s="19">
        <v>2016</v>
      </c>
      <c r="L184" s="19" t="str">
        <f>"247.35"</f>
        <v>247.35</v>
      </c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</row>
    <row r="185" spans="1:31">
      <c r="A185" s="14">
        <v>183</v>
      </c>
      <c r="B185" s="14">
        <v>10603</v>
      </c>
      <c r="C185" s="14" t="s">
        <v>284</v>
      </c>
      <c r="D185" s="14" t="s">
        <v>40</v>
      </c>
      <c r="E185" s="15" t="str">
        <f>"277.19"</f>
        <v>277.19</v>
      </c>
      <c r="F185" s="15"/>
      <c r="G185" s="16" t="str">
        <f>"277.19"</f>
        <v>277.19</v>
      </c>
      <c r="H185" s="17">
        <f t="shared" si="2"/>
        <v>269.19</v>
      </c>
      <c r="I185" s="18"/>
      <c r="J185" s="19">
        <v>3</v>
      </c>
      <c r="K185" s="19">
        <v>2016</v>
      </c>
      <c r="L185" s="19" t="str">
        <f>"326.64"</f>
        <v>326.64</v>
      </c>
      <c r="M185" s="19"/>
      <c r="N185" s="19"/>
      <c r="O185" s="19"/>
      <c r="P185" s="19"/>
      <c r="Q185" s="19"/>
      <c r="R185" s="19" t="str">
        <f>"276.68"</f>
        <v>276.68</v>
      </c>
      <c r="S185" s="19"/>
      <c r="T185" s="19"/>
      <c r="U185" s="19"/>
      <c r="V185" s="19"/>
      <c r="W185" s="19" t="str">
        <f>"284.55"</f>
        <v>284.55</v>
      </c>
      <c r="X185" s="19" t="str">
        <f>"347.24"</f>
        <v>347.24</v>
      </c>
      <c r="Y185" s="19"/>
      <c r="Z185" s="19"/>
      <c r="AA185" s="19"/>
      <c r="AB185" s="19"/>
      <c r="AC185" s="19" t="str">
        <f>"277.70"</f>
        <v>277.70</v>
      </c>
      <c r="AD185" s="19" t="str">
        <f>"288.95"</f>
        <v>288.95</v>
      </c>
      <c r="AE185" s="19"/>
    </row>
    <row r="186" spans="1:31">
      <c r="A186" s="14">
        <v>184</v>
      </c>
      <c r="B186" s="14">
        <v>8649</v>
      </c>
      <c r="C186" s="14" t="s">
        <v>285</v>
      </c>
      <c r="D186" s="14" t="s">
        <v>286</v>
      </c>
      <c r="E186" s="15" t="str">
        <f>"249.37"</f>
        <v>249.37</v>
      </c>
      <c r="F186" s="15"/>
      <c r="G186" s="16" t="str">
        <f>"277.37"</f>
        <v>277.37</v>
      </c>
      <c r="H186" s="17">
        <f t="shared" si="2"/>
        <v>269.37</v>
      </c>
      <c r="I186" s="18" t="s">
        <v>36</v>
      </c>
      <c r="J186" s="19">
        <v>1</v>
      </c>
      <c r="K186" s="19">
        <v>2016</v>
      </c>
      <c r="L186" s="19" t="str">
        <f>"249.37"</f>
        <v>249.37</v>
      </c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</row>
    <row r="187" spans="1:31">
      <c r="A187" s="14">
        <v>185</v>
      </c>
      <c r="B187" s="14">
        <v>3209</v>
      </c>
      <c r="C187" s="14" t="s">
        <v>287</v>
      </c>
      <c r="D187" s="14" t="s">
        <v>196</v>
      </c>
      <c r="E187" s="15" t="str">
        <f>"149.54"</f>
        <v>149.54</v>
      </c>
      <c r="F187" s="15"/>
      <c r="G187" s="16" t="str">
        <f>"277.83"</f>
        <v>277.83</v>
      </c>
      <c r="H187" s="17">
        <f t="shared" si="2"/>
        <v>269.83</v>
      </c>
      <c r="I187" s="18" t="s">
        <v>38</v>
      </c>
      <c r="J187" s="19">
        <v>2</v>
      </c>
      <c r="K187" s="19">
        <v>2016</v>
      </c>
      <c r="L187" s="19" t="str">
        <f>"149.54"</f>
        <v>149.54</v>
      </c>
      <c r="M187" s="19"/>
      <c r="N187" s="19"/>
      <c r="O187" s="19"/>
      <c r="P187" s="19"/>
      <c r="Q187" s="19"/>
      <c r="R187" s="19"/>
      <c r="S187" s="19"/>
      <c r="T187" s="19"/>
      <c r="U187" s="19" t="str">
        <f>"249.83"</f>
        <v>249.83</v>
      </c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</row>
    <row r="188" spans="1:31">
      <c r="A188" s="14">
        <v>186</v>
      </c>
      <c r="B188" s="14">
        <v>10711</v>
      </c>
      <c r="C188" s="14" t="s">
        <v>288</v>
      </c>
      <c r="D188" s="14" t="s">
        <v>51</v>
      </c>
      <c r="E188" s="15" t="str">
        <f>"292.30"</f>
        <v>292.30</v>
      </c>
      <c r="F188" s="15"/>
      <c r="G188" s="16" t="str">
        <f>"279.45"</f>
        <v>279.45</v>
      </c>
      <c r="H188" s="17">
        <f t="shared" si="2"/>
        <v>271.45</v>
      </c>
      <c r="I188" s="18" t="s">
        <v>38</v>
      </c>
      <c r="J188" s="19">
        <v>2</v>
      </c>
      <c r="K188" s="19">
        <v>2016</v>
      </c>
      <c r="L188" s="19" t="str">
        <f>"333.14"</f>
        <v>333.14</v>
      </c>
      <c r="M188" s="19"/>
      <c r="N188" s="19"/>
      <c r="O188" s="19" t="str">
        <f>"251.45"</f>
        <v>251.45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</row>
    <row r="189" spans="1:31">
      <c r="A189" s="14">
        <v>187</v>
      </c>
      <c r="B189" s="14">
        <v>10610</v>
      </c>
      <c r="C189" s="14" t="s">
        <v>289</v>
      </c>
      <c r="D189" s="14" t="s">
        <v>40</v>
      </c>
      <c r="E189" s="15" t="str">
        <f>"279.74"</f>
        <v>279.74</v>
      </c>
      <c r="F189" s="15"/>
      <c r="G189" s="16" t="str">
        <f>"281.55"</f>
        <v>281.55</v>
      </c>
      <c r="H189" s="17">
        <f t="shared" si="2"/>
        <v>273.55</v>
      </c>
      <c r="I189" s="18"/>
      <c r="J189" s="19">
        <v>3</v>
      </c>
      <c r="K189" s="19">
        <v>2016</v>
      </c>
      <c r="L189" s="19" t="str">
        <f>"304.87"</f>
        <v>304.87</v>
      </c>
      <c r="M189" s="19"/>
      <c r="N189" s="19"/>
      <c r="O189" s="19"/>
      <c r="P189" s="19"/>
      <c r="Q189" s="19"/>
      <c r="R189" s="19" t="str">
        <f>"308.49"</f>
        <v>308.49</v>
      </c>
      <c r="S189" s="19" t="str">
        <f>"352.93"</f>
        <v>352.93</v>
      </c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 t="str">
        <f>"254.61"</f>
        <v>254.61</v>
      </c>
      <c r="AE189" s="19"/>
    </row>
    <row r="190" spans="1:31">
      <c r="A190" s="14">
        <v>188</v>
      </c>
      <c r="B190" s="14">
        <v>9813</v>
      </c>
      <c r="C190" s="14" t="s">
        <v>290</v>
      </c>
      <c r="D190" s="14" t="s">
        <v>291</v>
      </c>
      <c r="E190" s="15" t="str">
        <f>"139.92"</f>
        <v>139.92</v>
      </c>
      <c r="F190" s="15"/>
      <c r="G190" s="16" t="str">
        <f>"284.22"</f>
        <v>284.22</v>
      </c>
      <c r="H190" s="17">
        <f t="shared" si="2"/>
        <v>276.22000000000003</v>
      </c>
      <c r="I190" s="18" t="s">
        <v>38</v>
      </c>
      <c r="J190" s="19">
        <v>2</v>
      </c>
      <c r="K190" s="19">
        <v>2016</v>
      </c>
      <c r="L190" s="19" t="str">
        <f>"139.92"</f>
        <v>139.92</v>
      </c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 t="str">
        <f>"256.22"</f>
        <v>256.22</v>
      </c>
      <c r="AB190" s="19"/>
      <c r="AC190" s="19"/>
      <c r="AD190" s="19"/>
      <c r="AE190" s="19"/>
    </row>
    <row r="191" spans="1:31">
      <c r="A191" s="14">
        <v>189</v>
      </c>
      <c r="B191" s="14">
        <v>10503</v>
      </c>
      <c r="C191" s="14" t="s">
        <v>292</v>
      </c>
      <c r="D191" s="14" t="s">
        <v>53</v>
      </c>
      <c r="E191" s="15" t="str">
        <f>"212.66"</f>
        <v>212.66</v>
      </c>
      <c r="F191" s="15"/>
      <c r="G191" s="16" t="str">
        <f>"284.87"</f>
        <v>284.87</v>
      </c>
      <c r="H191" s="17">
        <f t="shared" si="2"/>
        <v>276.87</v>
      </c>
      <c r="I191" s="18"/>
      <c r="J191" s="19">
        <v>3</v>
      </c>
      <c r="K191" s="19">
        <v>2016</v>
      </c>
      <c r="L191" s="19" t="str">
        <f>"231.49"</f>
        <v>231.49</v>
      </c>
      <c r="M191" s="19"/>
      <c r="N191" s="19" t="str">
        <f>"193.83"</f>
        <v>193.83</v>
      </c>
      <c r="O191" s="19"/>
      <c r="P191" s="19" t="str">
        <f>"375.90"</f>
        <v>375.90</v>
      </c>
      <c r="Q191" s="19"/>
      <c r="R191" s="19"/>
      <c r="S191" s="19"/>
      <c r="T191" s="19" t="str">
        <f>"385.98"</f>
        <v>385.98</v>
      </c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</row>
    <row r="192" spans="1:31">
      <c r="A192" s="14">
        <v>190</v>
      </c>
      <c r="B192" s="14">
        <v>10557</v>
      </c>
      <c r="C192" s="14" t="s">
        <v>293</v>
      </c>
      <c r="D192" s="14" t="s">
        <v>40</v>
      </c>
      <c r="E192" s="15" t="str">
        <f>"286.88"</f>
        <v>286.88</v>
      </c>
      <c r="F192" s="15"/>
      <c r="G192" s="16" t="str">
        <f>"286.88"</f>
        <v>286.88</v>
      </c>
      <c r="H192" s="17">
        <f t="shared" si="2"/>
        <v>278.88</v>
      </c>
      <c r="I192" s="18"/>
      <c r="J192" s="19">
        <v>3</v>
      </c>
      <c r="K192" s="19">
        <v>2016</v>
      </c>
      <c r="L192" s="19" t="str">
        <f>"615.72"</f>
        <v>615.72</v>
      </c>
      <c r="M192" s="19"/>
      <c r="N192" s="19"/>
      <c r="O192" s="19"/>
      <c r="P192" s="19"/>
      <c r="Q192" s="19"/>
      <c r="R192" s="19" t="str">
        <f>"352.49"</f>
        <v>352.49</v>
      </c>
      <c r="S192" s="19" t="str">
        <f>"411.46"</f>
        <v>411.46</v>
      </c>
      <c r="T192" s="19"/>
      <c r="U192" s="19"/>
      <c r="V192" s="19"/>
      <c r="W192" s="19"/>
      <c r="X192" s="19"/>
      <c r="Y192" s="19"/>
      <c r="Z192" s="19"/>
      <c r="AA192" s="19"/>
      <c r="AB192" s="19"/>
      <c r="AC192" s="19" t="str">
        <f>"297.81"</f>
        <v>297.81</v>
      </c>
      <c r="AD192" s="19" t="str">
        <f>"275.94"</f>
        <v>275.94</v>
      </c>
      <c r="AE192" s="19"/>
    </row>
    <row r="193" spans="1:31">
      <c r="A193" s="14">
        <v>191</v>
      </c>
      <c r="B193" s="14">
        <v>2187</v>
      </c>
      <c r="C193" s="14" t="s">
        <v>294</v>
      </c>
      <c r="D193" s="14" t="s">
        <v>103</v>
      </c>
      <c r="E193" s="15" t="str">
        <f>"258.92"</f>
        <v>258.92</v>
      </c>
      <c r="F193" s="15"/>
      <c r="G193" s="16" t="str">
        <f>"286.92"</f>
        <v>286.92</v>
      </c>
      <c r="H193" s="17">
        <f t="shared" si="2"/>
        <v>278.92</v>
      </c>
      <c r="I193" s="18" t="s">
        <v>36</v>
      </c>
      <c r="J193" s="19">
        <v>1</v>
      </c>
      <c r="K193" s="19">
        <v>2017</v>
      </c>
      <c r="L193" s="19" t="str">
        <f>"258.92"</f>
        <v>258.92</v>
      </c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</row>
    <row r="194" spans="1:31">
      <c r="A194" s="14">
        <v>192</v>
      </c>
      <c r="B194" s="14">
        <v>1814</v>
      </c>
      <c r="C194" s="14" t="s">
        <v>295</v>
      </c>
      <c r="D194" s="14" t="s">
        <v>156</v>
      </c>
      <c r="E194" s="15" t="str">
        <f>"260.94"</f>
        <v>260.94</v>
      </c>
      <c r="F194" s="15"/>
      <c r="G194" s="16" t="str">
        <f>"288.94"</f>
        <v>288.94</v>
      </c>
      <c r="H194" s="17">
        <f t="shared" si="2"/>
        <v>280.94</v>
      </c>
      <c r="I194" s="18" t="s">
        <v>36</v>
      </c>
      <c r="J194" s="19">
        <v>1</v>
      </c>
      <c r="K194" s="19">
        <v>2016</v>
      </c>
      <c r="L194" s="19" t="str">
        <f>"260.94"</f>
        <v>260.94</v>
      </c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</row>
    <row r="195" spans="1:31">
      <c r="A195" s="14">
        <v>193</v>
      </c>
      <c r="B195" s="14">
        <v>3094</v>
      </c>
      <c r="C195" s="14" t="s">
        <v>296</v>
      </c>
      <c r="D195" s="14" t="s">
        <v>297</v>
      </c>
      <c r="E195" s="15" t="str">
        <f>"262.00"</f>
        <v>262.00</v>
      </c>
      <c r="F195" s="15"/>
      <c r="G195" s="16" t="str">
        <f>"290.00"</f>
        <v>290.00</v>
      </c>
      <c r="H195" s="17">
        <f t="shared" ref="H195:H258" si="3">G195-8</f>
        <v>282</v>
      </c>
      <c r="I195" s="18" t="s">
        <v>36</v>
      </c>
      <c r="J195" s="19">
        <v>1</v>
      </c>
      <c r="K195" s="19">
        <v>2016</v>
      </c>
      <c r="L195" s="19" t="str">
        <f>"262.00"</f>
        <v>262.00</v>
      </c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</row>
    <row r="196" spans="1:31">
      <c r="A196" s="14">
        <v>194</v>
      </c>
      <c r="B196" s="14">
        <v>2208</v>
      </c>
      <c r="C196" s="14" t="s">
        <v>298</v>
      </c>
      <c r="D196" s="14" t="s">
        <v>40</v>
      </c>
      <c r="E196" s="15" t="str">
        <f>"290.52"</f>
        <v>290.52</v>
      </c>
      <c r="F196" s="15"/>
      <c r="G196" s="16" t="str">
        <f>"290.52"</f>
        <v>290.52</v>
      </c>
      <c r="H196" s="17">
        <f t="shared" si="3"/>
        <v>282.52</v>
      </c>
      <c r="I196" s="18"/>
      <c r="J196" s="19">
        <v>5</v>
      </c>
      <c r="K196" s="19">
        <v>2016</v>
      </c>
      <c r="L196" s="19"/>
      <c r="M196" s="19"/>
      <c r="N196" s="19"/>
      <c r="O196" s="19"/>
      <c r="P196" s="19"/>
      <c r="Q196" s="19"/>
      <c r="R196" s="19" t="str">
        <f>"330.82"</f>
        <v>330.82</v>
      </c>
      <c r="S196" s="19" t="str">
        <f>"296.95"</f>
        <v>296.95</v>
      </c>
      <c r="T196" s="19"/>
      <c r="U196" s="19"/>
      <c r="V196" s="19"/>
      <c r="W196" s="19"/>
      <c r="X196" s="19"/>
      <c r="Y196" s="19"/>
      <c r="Z196" s="19"/>
      <c r="AA196" s="19"/>
      <c r="AB196" s="19"/>
      <c r="AC196" s="19" t="str">
        <f>"284.09"</f>
        <v>284.09</v>
      </c>
      <c r="AD196" s="19" t="str">
        <f>"317.08"</f>
        <v>317.08</v>
      </c>
      <c r="AE196" s="19"/>
    </row>
    <row r="197" spans="1:31">
      <c r="A197" s="14">
        <v>195</v>
      </c>
      <c r="B197" s="14">
        <v>10330</v>
      </c>
      <c r="C197" s="14" t="s">
        <v>299</v>
      </c>
      <c r="D197" s="14" t="s">
        <v>229</v>
      </c>
      <c r="E197" s="15" t="str">
        <f>"244.34"</f>
        <v>244.34</v>
      </c>
      <c r="F197" s="15"/>
      <c r="G197" s="16" t="str">
        <f>"292.91"</f>
        <v>292.91</v>
      </c>
      <c r="H197" s="17">
        <f t="shared" si="3"/>
        <v>284.91000000000003</v>
      </c>
      <c r="I197" s="18" t="s">
        <v>38</v>
      </c>
      <c r="J197" s="19">
        <v>2</v>
      </c>
      <c r="K197" s="19">
        <v>2016</v>
      </c>
      <c r="L197" s="19" t="str">
        <f>"244.34"</f>
        <v>244.34</v>
      </c>
      <c r="M197" s="19"/>
      <c r="N197" s="19"/>
      <c r="O197" s="19" t="str">
        <f>"264.91"</f>
        <v>264.91</v>
      </c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</row>
    <row r="198" spans="1:31">
      <c r="A198" s="14">
        <v>196</v>
      </c>
      <c r="B198" s="14">
        <v>1886</v>
      </c>
      <c r="C198" s="14" t="s">
        <v>300</v>
      </c>
      <c r="D198" s="14" t="s">
        <v>40</v>
      </c>
      <c r="E198" s="15" t="str">
        <f>"268.93"</f>
        <v>268.93</v>
      </c>
      <c r="F198" s="15"/>
      <c r="G198" s="16" t="str">
        <f>"296.93"</f>
        <v>296.93</v>
      </c>
      <c r="H198" s="17">
        <f t="shared" si="3"/>
        <v>288.93</v>
      </c>
      <c r="I198" s="18" t="s">
        <v>36</v>
      </c>
      <c r="J198" s="19">
        <v>1</v>
      </c>
      <c r="K198" s="19">
        <v>2016</v>
      </c>
      <c r="L198" s="19" t="str">
        <f>"268.93"</f>
        <v>268.93</v>
      </c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</row>
    <row r="199" spans="1:31">
      <c r="A199" s="14">
        <v>197</v>
      </c>
      <c r="B199" s="14">
        <v>2223</v>
      </c>
      <c r="C199" s="14" t="s">
        <v>301</v>
      </c>
      <c r="D199" s="14" t="s">
        <v>51</v>
      </c>
      <c r="E199" s="15" t="str">
        <f>"261.85"</f>
        <v>261.85</v>
      </c>
      <c r="F199" s="15"/>
      <c r="G199" s="16" t="str">
        <f>"297.13"</f>
        <v>297.13</v>
      </c>
      <c r="H199" s="17">
        <f t="shared" si="3"/>
        <v>289.13</v>
      </c>
      <c r="I199" s="18"/>
      <c r="J199" s="19">
        <v>3</v>
      </c>
      <c r="K199" s="19">
        <v>2016</v>
      </c>
      <c r="L199" s="19" t="str">
        <f>"286.42"</f>
        <v>286.42</v>
      </c>
      <c r="M199" s="19"/>
      <c r="N199" s="19"/>
      <c r="O199" s="19"/>
      <c r="P199" s="19"/>
      <c r="Q199" s="19" t="str">
        <f>"237.27"</f>
        <v>237.27</v>
      </c>
      <c r="R199" s="19"/>
      <c r="S199" s="19"/>
      <c r="T199" s="19"/>
      <c r="U199" s="19" t="str">
        <f>"356.98"</f>
        <v>356.98</v>
      </c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</row>
    <row r="200" spans="1:31">
      <c r="A200" s="14">
        <v>198</v>
      </c>
      <c r="B200" s="14">
        <v>6486</v>
      </c>
      <c r="C200" s="14" t="s">
        <v>302</v>
      </c>
      <c r="D200" s="14" t="s">
        <v>303</v>
      </c>
      <c r="E200" s="15" t="str">
        <f>"252.91"</f>
        <v>252.91</v>
      </c>
      <c r="F200" s="15"/>
      <c r="G200" s="16" t="str">
        <f>"297.19"</f>
        <v>297.19</v>
      </c>
      <c r="H200" s="17">
        <f t="shared" si="3"/>
        <v>289.19</v>
      </c>
      <c r="I200" s="18"/>
      <c r="J200" s="19">
        <v>3</v>
      </c>
      <c r="K200" s="19">
        <v>2016</v>
      </c>
      <c r="L200" s="19" t="str">
        <f>"252.91"</f>
        <v>252.91</v>
      </c>
      <c r="M200" s="19"/>
      <c r="N200" s="19"/>
      <c r="O200" s="19"/>
      <c r="P200" s="19"/>
      <c r="Q200" s="19"/>
      <c r="R200" s="19"/>
      <c r="S200" s="19"/>
      <c r="T200" s="19"/>
      <c r="U200" s="19" t="str">
        <f>"325.17"</f>
        <v>325.17</v>
      </c>
      <c r="V200" s="19"/>
      <c r="W200" s="19"/>
      <c r="X200" s="19"/>
      <c r="Y200" s="19" t="str">
        <f>"286.52"</f>
        <v>286.52</v>
      </c>
      <c r="Z200" s="19" t="str">
        <f>"307.85"</f>
        <v>307.85</v>
      </c>
      <c r="AA200" s="19" t="str">
        <f>"324.15"</f>
        <v>324.15</v>
      </c>
      <c r="AB200" s="19"/>
      <c r="AC200" s="19"/>
      <c r="AD200" s="19"/>
      <c r="AE200" s="19"/>
    </row>
    <row r="201" spans="1:31">
      <c r="A201" s="14">
        <v>199</v>
      </c>
      <c r="B201" s="14">
        <v>10741</v>
      </c>
      <c r="C201" s="14" t="s">
        <v>304</v>
      </c>
      <c r="D201" s="14" t="s">
        <v>53</v>
      </c>
      <c r="E201" s="15" t="str">
        <f>"299.68"</f>
        <v>299.68</v>
      </c>
      <c r="F201" s="15"/>
      <c r="G201" s="16" t="str">
        <f>"299.68"</f>
        <v>299.68</v>
      </c>
      <c r="H201" s="17">
        <f t="shared" si="3"/>
        <v>291.68</v>
      </c>
      <c r="I201" s="18"/>
      <c r="J201" s="19">
        <v>5</v>
      </c>
      <c r="K201" s="19">
        <v>2016</v>
      </c>
      <c r="L201" s="19"/>
      <c r="M201" s="19"/>
      <c r="N201" s="19"/>
      <c r="O201" s="19"/>
      <c r="P201" s="19" t="str">
        <f>"347.39"</f>
        <v>347.39</v>
      </c>
      <c r="Q201" s="19"/>
      <c r="R201" s="19"/>
      <c r="S201" s="19"/>
      <c r="T201" s="19" t="str">
        <f>"673.32"</f>
        <v>673.32</v>
      </c>
      <c r="U201" s="19"/>
      <c r="V201" s="19"/>
      <c r="W201" s="19"/>
      <c r="X201" s="19"/>
      <c r="Y201" s="19" t="str">
        <f>"251.97"</f>
        <v>251.97</v>
      </c>
      <c r="Z201" s="19"/>
      <c r="AA201" s="19"/>
      <c r="AB201" s="19"/>
      <c r="AC201" s="19"/>
      <c r="AD201" s="19"/>
      <c r="AE201" s="19"/>
    </row>
    <row r="202" spans="1:31">
      <c r="A202" s="14">
        <v>200</v>
      </c>
      <c r="B202" s="14">
        <v>7605</v>
      </c>
      <c r="C202" s="14" t="s">
        <v>305</v>
      </c>
      <c r="D202" s="14" t="s">
        <v>125</v>
      </c>
      <c r="E202" s="15" t="str">
        <f>"271.72"</f>
        <v>271.72</v>
      </c>
      <c r="F202" s="15"/>
      <c r="G202" s="16" t="str">
        <f>"299.72"</f>
        <v>299.72</v>
      </c>
      <c r="H202" s="17">
        <f t="shared" si="3"/>
        <v>291.72000000000003</v>
      </c>
      <c r="I202" s="18" t="s">
        <v>36</v>
      </c>
      <c r="J202" s="19">
        <v>1</v>
      </c>
      <c r="K202" s="19">
        <v>2016</v>
      </c>
      <c r="L202" s="19" t="str">
        <f>"271.72"</f>
        <v>271.72</v>
      </c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</row>
    <row r="203" spans="1:31">
      <c r="A203" s="14">
        <v>201</v>
      </c>
      <c r="B203" s="14">
        <v>3047</v>
      </c>
      <c r="C203" s="14" t="s">
        <v>306</v>
      </c>
      <c r="D203" s="14" t="s">
        <v>181</v>
      </c>
      <c r="E203" s="15" t="str">
        <f>"279.64"</f>
        <v>279.64</v>
      </c>
      <c r="F203" s="15"/>
      <c r="G203" s="16" t="str">
        <f>"301.24"</f>
        <v>301.24</v>
      </c>
      <c r="H203" s="17">
        <f t="shared" si="3"/>
        <v>293.24</v>
      </c>
      <c r="I203" s="18" t="s">
        <v>38</v>
      </c>
      <c r="J203" s="19">
        <v>2</v>
      </c>
      <c r="K203" s="19">
        <v>2016</v>
      </c>
      <c r="L203" s="19" t="str">
        <f>"286.03"</f>
        <v>286.03</v>
      </c>
      <c r="M203" s="19"/>
      <c r="N203" s="19"/>
      <c r="O203" s="19"/>
      <c r="P203" s="19"/>
      <c r="Q203" s="19" t="str">
        <f>"273.24"</f>
        <v>273.24</v>
      </c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</row>
    <row r="204" spans="1:31">
      <c r="A204" s="14">
        <v>202</v>
      </c>
      <c r="B204" s="14">
        <v>10379</v>
      </c>
      <c r="C204" s="14" t="s">
        <v>307</v>
      </c>
      <c r="D204" s="14" t="s">
        <v>229</v>
      </c>
      <c r="E204" s="15" t="str">
        <f>"302.77"</f>
        <v>302.77</v>
      </c>
      <c r="F204" s="15"/>
      <c r="G204" s="16" t="str">
        <f>"302.77"</f>
        <v>302.77</v>
      </c>
      <c r="H204" s="17">
        <f t="shared" si="3"/>
        <v>294.77</v>
      </c>
      <c r="I204" s="18"/>
      <c r="J204" s="19">
        <v>3</v>
      </c>
      <c r="K204" s="19">
        <v>2016</v>
      </c>
      <c r="L204" s="19" t="str">
        <f>"687.90"</f>
        <v>687.90</v>
      </c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 t="str">
        <f>"293.97"</f>
        <v>293.97</v>
      </c>
      <c r="AA204" s="19" t="str">
        <f>"311.56"</f>
        <v>311.56</v>
      </c>
      <c r="AB204" s="19"/>
      <c r="AC204" s="19"/>
      <c r="AD204" s="19"/>
      <c r="AE204" s="19"/>
    </row>
    <row r="205" spans="1:31">
      <c r="A205" s="14">
        <v>203</v>
      </c>
      <c r="B205" s="14">
        <v>10952</v>
      </c>
      <c r="C205" s="14" t="s">
        <v>308</v>
      </c>
      <c r="D205" s="14" t="s">
        <v>229</v>
      </c>
      <c r="E205" s="15" t="str">
        <f>"303.26"</f>
        <v>303.26</v>
      </c>
      <c r="F205" s="15"/>
      <c r="G205" s="16" t="str">
        <f>"303.26"</f>
        <v>303.26</v>
      </c>
      <c r="H205" s="17">
        <f t="shared" si="3"/>
        <v>295.26</v>
      </c>
      <c r="I205" s="18"/>
      <c r="J205" s="19">
        <v>5</v>
      </c>
      <c r="K205" s="19">
        <v>2016</v>
      </c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 t="str">
        <f>"308.65"</f>
        <v>308.65</v>
      </c>
      <c r="AA205" s="19" t="str">
        <f>"297.86"</f>
        <v>297.86</v>
      </c>
      <c r="AB205" s="19"/>
      <c r="AC205" s="19"/>
      <c r="AD205" s="19"/>
      <c r="AE205" s="19"/>
    </row>
    <row r="206" spans="1:31">
      <c r="A206" s="14">
        <v>204</v>
      </c>
      <c r="B206" s="14">
        <v>10271</v>
      </c>
      <c r="C206" s="14" t="s">
        <v>309</v>
      </c>
      <c r="D206" s="14" t="s">
        <v>53</v>
      </c>
      <c r="E206" s="15" t="str">
        <f>"280.15"</f>
        <v>280.15</v>
      </c>
      <c r="F206" s="15"/>
      <c r="G206" s="16" t="str">
        <f>"308.15"</f>
        <v>308.15</v>
      </c>
      <c r="H206" s="17">
        <f t="shared" si="3"/>
        <v>300.14999999999998</v>
      </c>
      <c r="I206" s="18" t="s">
        <v>36</v>
      </c>
      <c r="J206" s="19">
        <v>1</v>
      </c>
      <c r="K206" s="19">
        <v>2016</v>
      </c>
      <c r="L206" s="19" t="str">
        <f>"280.15"</f>
        <v>280.15</v>
      </c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</row>
    <row r="207" spans="1:31">
      <c r="A207" s="14">
        <v>205</v>
      </c>
      <c r="B207" s="14">
        <v>1882</v>
      </c>
      <c r="C207" s="14" t="s">
        <v>310</v>
      </c>
      <c r="D207" s="14" t="s">
        <v>40</v>
      </c>
      <c r="E207" s="15" t="str">
        <f>"142.67"</f>
        <v>142.67</v>
      </c>
      <c r="F207" s="15"/>
      <c r="G207" s="16" t="str">
        <f>"308.71"</f>
        <v>308.71</v>
      </c>
      <c r="H207" s="17">
        <f t="shared" si="3"/>
        <v>300.70999999999998</v>
      </c>
      <c r="I207" s="18"/>
      <c r="J207" s="19">
        <v>3</v>
      </c>
      <c r="K207" s="19">
        <v>2016</v>
      </c>
      <c r="L207" s="19" t="str">
        <f>"142.67"</f>
        <v>142.67</v>
      </c>
      <c r="M207" s="19"/>
      <c r="N207" s="19"/>
      <c r="O207" s="19"/>
      <c r="P207" s="19"/>
      <c r="Q207" s="19"/>
      <c r="R207" s="19"/>
      <c r="S207" s="19" t="str">
        <f>"313.77"</f>
        <v>313.77</v>
      </c>
      <c r="T207" s="19"/>
      <c r="U207" s="19"/>
      <c r="V207" s="19"/>
      <c r="W207" s="19"/>
      <c r="X207" s="19" t="str">
        <f>"303.65"</f>
        <v>303.65</v>
      </c>
      <c r="Y207" s="19"/>
      <c r="Z207" s="19"/>
      <c r="AA207" s="19"/>
      <c r="AB207" s="19"/>
      <c r="AC207" s="19"/>
      <c r="AD207" s="19"/>
      <c r="AE207" s="19"/>
    </row>
    <row r="208" spans="1:31">
      <c r="A208" s="14">
        <v>206</v>
      </c>
      <c r="B208" s="14">
        <v>1385</v>
      </c>
      <c r="C208" s="14" t="s">
        <v>311</v>
      </c>
      <c r="D208" s="14" t="s">
        <v>156</v>
      </c>
      <c r="E208" s="15" t="str">
        <f>"264.81"</f>
        <v>264.81</v>
      </c>
      <c r="F208" s="15"/>
      <c r="G208" s="16" t="str">
        <f>"310.91"</f>
        <v>310.91</v>
      </c>
      <c r="H208" s="17">
        <f t="shared" si="3"/>
        <v>302.91000000000003</v>
      </c>
      <c r="I208" s="18" t="s">
        <v>38</v>
      </c>
      <c r="J208" s="19">
        <v>2</v>
      </c>
      <c r="K208" s="19">
        <v>2016</v>
      </c>
      <c r="L208" s="19" t="str">
        <f>"264.81"</f>
        <v>264.81</v>
      </c>
      <c r="M208" s="19"/>
      <c r="N208" s="19"/>
      <c r="O208" s="19"/>
      <c r="P208" s="19"/>
      <c r="Q208" s="19"/>
      <c r="R208" s="19"/>
      <c r="S208" s="19"/>
      <c r="T208" s="19"/>
      <c r="U208" s="19"/>
      <c r="V208" s="19" t="str">
        <f>"282.91"</f>
        <v>282.91</v>
      </c>
      <c r="W208" s="19"/>
      <c r="X208" s="19"/>
      <c r="Y208" s="19"/>
      <c r="Z208" s="19"/>
      <c r="AA208" s="19"/>
      <c r="AB208" s="19"/>
      <c r="AC208" s="19"/>
      <c r="AD208" s="19"/>
      <c r="AE208" s="19"/>
    </row>
    <row r="209" spans="1:31">
      <c r="A209" s="14">
        <v>207</v>
      </c>
      <c r="B209" s="14">
        <v>10846</v>
      </c>
      <c r="C209" s="14" t="s">
        <v>312</v>
      </c>
      <c r="D209" s="14" t="s">
        <v>40</v>
      </c>
      <c r="E209" s="15" t="str">
        <f>"313.36"</f>
        <v>313.36</v>
      </c>
      <c r="F209" s="15"/>
      <c r="G209" s="16" t="str">
        <f>"313.36"</f>
        <v>313.36</v>
      </c>
      <c r="H209" s="17">
        <f t="shared" si="3"/>
        <v>305.36</v>
      </c>
      <c r="I209" s="18"/>
      <c r="J209" s="19">
        <v>5</v>
      </c>
      <c r="K209" s="19">
        <v>2016</v>
      </c>
      <c r="L209" s="19"/>
      <c r="M209" s="19"/>
      <c r="N209" s="19"/>
      <c r="O209" s="19"/>
      <c r="P209" s="19"/>
      <c r="Q209" s="19"/>
      <c r="R209" s="19" t="str">
        <f>"357.99"</f>
        <v>357.99</v>
      </c>
      <c r="S209" s="19" t="str">
        <f>"393.29"</f>
        <v>393.29</v>
      </c>
      <c r="T209" s="19"/>
      <c r="U209" s="19"/>
      <c r="V209" s="19"/>
      <c r="W209" s="19"/>
      <c r="X209" s="19"/>
      <c r="Y209" s="19"/>
      <c r="Z209" s="19"/>
      <c r="AA209" s="19"/>
      <c r="AB209" s="19"/>
      <c r="AC209" s="19" t="str">
        <f>"309.18"</f>
        <v>309.18</v>
      </c>
      <c r="AD209" s="19" t="str">
        <f>"317.54"</f>
        <v>317.54</v>
      </c>
      <c r="AE209" s="19"/>
    </row>
    <row r="210" spans="1:31">
      <c r="A210" s="14">
        <v>208</v>
      </c>
      <c r="B210" s="14">
        <v>10358</v>
      </c>
      <c r="C210" s="14" t="s">
        <v>313</v>
      </c>
      <c r="D210" s="14" t="s">
        <v>51</v>
      </c>
      <c r="E210" s="15" t="str">
        <f>"370.68"</f>
        <v>370.68</v>
      </c>
      <c r="F210" s="15"/>
      <c r="G210" s="16" t="str">
        <f>"315.42"</f>
        <v>315.42</v>
      </c>
      <c r="H210" s="17">
        <f t="shared" si="3"/>
        <v>307.42</v>
      </c>
      <c r="I210" s="18" t="s">
        <v>38</v>
      </c>
      <c r="J210" s="19">
        <v>2</v>
      </c>
      <c r="K210" s="19">
        <v>2016</v>
      </c>
      <c r="L210" s="19" t="str">
        <f>"453.93"</f>
        <v>453.93</v>
      </c>
      <c r="M210" s="19" t="str">
        <f>"287.42"</f>
        <v>287.42</v>
      </c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</row>
    <row r="211" spans="1:31">
      <c r="A211" s="14">
        <v>209</v>
      </c>
      <c r="B211" s="14">
        <v>10331</v>
      </c>
      <c r="C211" s="14" t="s">
        <v>314</v>
      </c>
      <c r="D211" s="14" t="s">
        <v>315</v>
      </c>
      <c r="E211" s="15" t="str">
        <f>"300.57"</f>
        <v>300.57</v>
      </c>
      <c r="F211" s="15"/>
      <c r="G211" s="16" t="str">
        <f>"316.44"</f>
        <v>316.44</v>
      </c>
      <c r="H211" s="17">
        <f t="shared" si="3"/>
        <v>308.44</v>
      </c>
      <c r="I211" s="18" t="s">
        <v>38</v>
      </c>
      <c r="J211" s="19">
        <v>2</v>
      </c>
      <c r="K211" s="19">
        <v>2016</v>
      </c>
      <c r="L211" s="19" t="str">
        <f>"312.69"</f>
        <v>312.69</v>
      </c>
      <c r="M211" s="19"/>
      <c r="N211" s="19"/>
      <c r="O211" s="19"/>
      <c r="P211" s="19" t="str">
        <f>"288.44"</f>
        <v>288.44</v>
      </c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</row>
    <row r="212" spans="1:31">
      <c r="A212" s="14">
        <v>210</v>
      </c>
      <c r="B212" s="14">
        <v>1834</v>
      </c>
      <c r="C212" s="14" t="s">
        <v>316</v>
      </c>
      <c r="D212" s="14" t="s">
        <v>40</v>
      </c>
      <c r="E212" s="15" t="str">
        <f>"271.37"</f>
        <v>271.37</v>
      </c>
      <c r="F212" s="15"/>
      <c r="G212" s="16" t="str">
        <f>"317.24"</f>
        <v>317.24</v>
      </c>
      <c r="H212" s="17">
        <f t="shared" si="3"/>
        <v>309.24</v>
      </c>
      <c r="I212" s="18"/>
      <c r="J212" s="19">
        <v>3</v>
      </c>
      <c r="K212" s="19">
        <v>2016</v>
      </c>
      <c r="L212" s="19" t="str">
        <f>"271.37"</f>
        <v>271.37</v>
      </c>
      <c r="M212" s="19"/>
      <c r="N212" s="19"/>
      <c r="O212" s="19"/>
      <c r="P212" s="19"/>
      <c r="Q212" s="19"/>
      <c r="R212" s="19" t="str">
        <f>"315.50"</f>
        <v>315.50</v>
      </c>
      <c r="S212" s="19" t="str">
        <f>"357.89"</f>
        <v>357.89</v>
      </c>
      <c r="T212" s="19"/>
      <c r="U212" s="19"/>
      <c r="V212" s="19"/>
      <c r="W212" s="19" t="str">
        <f>"318.98"</f>
        <v>318.98</v>
      </c>
      <c r="X212" s="19" t="str">
        <f>"380.51"</f>
        <v>380.51</v>
      </c>
      <c r="Y212" s="19"/>
      <c r="Z212" s="19"/>
      <c r="AA212" s="19"/>
      <c r="AB212" s="19"/>
      <c r="AC212" s="19"/>
      <c r="AD212" s="19"/>
      <c r="AE212" s="19"/>
    </row>
    <row r="213" spans="1:31">
      <c r="A213" s="14">
        <v>211</v>
      </c>
      <c r="B213" s="14">
        <v>10742</v>
      </c>
      <c r="C213" s="14" t="s">
        <v>317</v>
      </c>
      <c r="D213" s="14" t="s">
        <v>53</v>
      </c>
      <c r="E213" s="15" t="str">
        <f>"317.62"</f>
        <v>317.62</v>
      </c>
      <c r="F213" s="15"/>
      <c r="G213" s="16" t="str">
        <f>"317.62"</f>
        <v>317.62</v>
      </c>
      <c r="H213" s="17">
        <f t="shared" si="3"/>
        <v>309.62</v>
      </c>
      <c r="I213" s="18"/>
      <c r="J213" s="19">
        <v>5</v>
      </c>
      <c r="K213" s="19">
        <v>2016</v>
      </c>
      <c r="L213" s="19"/>
      <c r="M213" s="19"/>
      <c r="N213" s="19"/>
      <c r="O213" s="19"/>
      <c r="P213" s="19" t="str">
        <f>"388.21"</f>
        <v>388.21</v>
      </c>
      <c r="Q213" s="19"/>
      <c r="R213" s="19"/>
      <c r="S213" s="19"/>
      <c r="T213" s="19" t="str">
        <f>"604.60"</f>
        <v>604.60</v>
      </c>
      <c r="U213" s="19"/>
      <c r="V213" s="19"/>
      <c r="W213" s="19"/>
      <c r="X213" s="19"/>
      <c r="Y213" s="19" t="str">
        <f>"262.46"</f>
        <v>262.46</v>
      </c>
      <c r="Z213" s="19"/>
      <c r="AA213" s="19"/>
      <c r="AB213" s="19" t="str">
        <f>"372.78"</f>
        <v>372.78</v>
      </c>
      <c r="AC213" s="19"/>
      <c r="AD213" s="19"/>
      <c r="AE213" s="19"/>
    </row>
    <row r="214" spans="1:31">
      <c r="A214" s="14">
        <v>212</v>
      </c>
      <c r="B214" s="14">
        <v>5923</v>
      </c>
      <c r="C214" s="14" t="s">
        <v>318</v>
      </c>
      <c r="D214" s="14" t="s">
        <v>319</v>
      </c>
      <c r="E214" s="15" t="str">
        <f>"289.74"</f>
        <v>289.74</v>
      </c>
      <c r="F214" s="15"/>
      <c r="G214" s="16" t="str">
        <f>"317.74"</f>
        <v>317.74</v>
      </c>
      <c r="H214" s="17">
        <f t="shared" si="3"/>
        <v>309.74</v>
      </c>
      <c r="I214" s="18" t="s">
        <v>36</v>
      </c>
      <c r="J214" s="19">
        <v>1</v>
      </c>
      <c r="K214" s="19">
        <v>2016</v>
      </c>
      <c r="L214" s="19" t="str">
        <f>"289.74"</f>
        <v>289.74</v>
      </c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</row>
    <row r="215" spans="1:31">
      <c r="A215" s="14">
        <v>213</v>
      </c>
      <c r="B215" s="14">
        <v>9985</v>
      </c>
      <c r="C215" s="14" t="s">
        <v>320</v>
      </c>
      <c r="D215" s="14" t="s">
        <v>51</v>
      </c>
      <c r="E215" s="15" t="str">
        <f>"312.84"</f>
        <v>312.84</v>
      </c>
      <c r="F215" s="15"/>
      <c r="G215" s="16" t="str">
        <f>"319.14"</f>
        <v>319.14</v>
      </c>
      <c r="H215" s="17">
        <f t="shared" si="3"/>
        <v>311.14</v>
      </c>
      <c r="I215" s="18" t="s">
        <v>38</v>
      </c>
      <c r="J215" s="19">
        <v>2</v>
      </c>
      <c r="K215" s="19">
        <v>2016</v>
      </c>
      <c r="L215" s="19" t="str">
        <f>"334.53"</f>
        <v>334.53</v>
      </c>
      <c r="M215" s="19" t="str">
        <f>"291.14"</f>
        <v>291.14</v>
      </c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</row>
    <row r="216" spans="1:31">
      <c r="A216" s="14">
        <v>214</v>
      </c>
      <c r="B216" s="14">
        <v>9955</v>
      </c>
      <c r="C216" s="14" t="s">
        <v>321</v>
      </c>
      <c r="D216" s="14" t="s">
        <v>322</v>
      </c>
      <c r="E216" s="15" t="str">
        <f>"292.75"</f>
        <v>292.75</v>
      </c>
      <c r="F216" s="15"/>
      <c r="G216" s="16" t="str">
        <f>"320.75"</f>
        <v>320.75</v>
      </c>
      <c r="H216" s="17">
        <f t="shared" si="3"/>
        <v>312.75</v>
      </c>
      <c r="I216" s="18" t="s">
        <v>36</v>
      </c>
      <c r="J216" s="19">
        <v>1</v>
      </c>
      <c r="K216" s="19">
        <v>2016</v>
      </c>
      <c r="L216" s="19" t="str">
        <f>"292.75"</f>
        <v>292.75</v>
      </c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</row>
    <row r="217" spans="1:31">
      <c r="A217" s="14">
        <v>215</v>
      </c>
      <c r="B217" s="14">
        <v>11048</v>
      </c>
      <c r="C217" s="14" t="s">
        <v>323</v>
      </c>
      <c r="D217" s="14" t="s">
        <v>51</v>
      </c>
      <c r="E217" s="15" t="str">
        <f>"321.33"</f>
        <v>321.33</v>
      </c>
      <c r="F217" s="15"/>
      <c r="G217" s="16" t="str">
        <f>"321.33"</f>
        <v>321.33</v>
      </c>
      <c r="H217" s="17">
        <f t="shared" si="3"/>
        <v>313.33</v>
      </c>
      <c r="I217" s="18"/>
      <c r="J217" s="19">
        <v>5</v>
      </c>
      <c r="K217" s="19">
        <v>2016</v>
      </c>
      <c r="L217" s="19"/>
      <c r="M217" s="19"/>
      <c r="N217" s="19" t="str">
        <f>"329.40"</f>
        <v>329.40</v>
      </c>
      <c r="O217" s="19"/>
      <c r="P217" s="19" t="str">
        <f>"313.26"</f>
        <v>313.26</v>
      </c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</row>
    <row r="218" spans="1:31">
      <c r="A218" s="14">
        <v>216</v>
      </c>
      <c r="B218" s="14">
        <v>10877</v>
      </c>
      <c r="C218" s="14" t="s">
        <v>324</v>
      </c>
      <c r="D218" s="14" t="s">
        <v>40</v>
      </c>
      <c r="E218" s="15" t="str">
        <f>"321.44"</f>
        <v>321.44</v>
      </c>
      <c r="F218" s="15"/>
      <c r="G218" s="16" t="str">
        <f>"321.44"</f>
        <v>321.44</v>
      </c>
      <c r="H218" s="17">
        <f t="shared" si="3"/>
        <v>313.44</v>
      </c>
      <c r="I218" s="18"/>
      <c r="J218" s="19">
        <v>5</v>
      </c>
      <c r="K218" s="19">
        <v>2016</v>
      </c>
      <c r="L218" s="19"/>
      <c r="M218" s="19"/>
      <c r="N218" s="19"/>
      <c r="O218" s="19"/>
      <c r="P218" s="19"/>
      <c r="Q218" s="19"/>
      <c r="R218" s="19" t="str">
        <f>"317.55"</f>
        <v>317.55</v>
      </c>
      <c r="S218" s="19" t="str">
        <f>"359.50"</f>
        <v>359.50</v>
      </c>
      <c r="T218" s="19"/>
      <c r="U218" s="19"/>
      <c r="V218" s="19"/>
      <c r="W218" s="19" t="str">
        <f>"325.33"</f>
        <v>325.33</v>
      </c>
      <c r="X218" s="19" t="str">
        <f>"386.50"</f>
        <v>386.50</v>
      </c>
      <c r="Y218" s="19"/>
      <c r="Z218" s="19"/>
      <c r="AA218" s="19"/>
      <c r="AB218" s="19"/>
      <c r="AC218" s="19"/>
      <c r="AD218" s="19"/>
      <c r="AE218" s="19"/>
    </row>
    <row r="219" spans="1:31">
      <c r="A219" s="14">
        <v>217</v>
      </c>
      <c r="B219" s="14">
        <v>8344</v>
      </c>
      <c r="C219" s="14" t="s">
        <v>325</v>
      </c>
      <c r="D219" s="14" t="s">
        <v>53</v>
      </c>
      <c r="E219" s="15" t="str">
        <f>"281.37"</f>
        <v>281.37</v>
      </c>
      <c r="F219" s="15"/>
      <c r="G219" s="16" t="str">
        <f>"330.47"</f>
        <v>330.47</v>
      </c>
      <c r="H219" s="17">
        <f t="shared" si="3"/>
        <v>322.47000000000003</v>
      </c>
      <c r="I219" s="18"/>
      <c r="J219" s="19">
        <v>3</v>
      </c>
      <c r="K219" s="19">
        <v>2016</v>
      </c>
      <c r="L219" s="19" t="str">
        <f>"281.37"</f>
        <v>281.37</v>
      </c>
      <c r="M219" s="19"/>
      <c r="N219" s="19"/>
      <c r="O219" s="19"/>
      <c r="P219" s="19" t="str">
        <f>"284.07"</f>
        <v>284.07</v>
      </c>
      <c r="Q219" s="19"/>
      <c r="R219" s="19"/>
      <c r="S219" s="19"/>
      <c r="T219" s="19" t="str">
        <f>"376.86"</f>
        <v>376.86</v>
      </c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</row>
    <row r="220" spans="1:31">
      <c r="A220" s="14">
        <v>218</v>
      </c>
      <c r="B220" s="14">
        <v>10029</v>
      </c>
      <c r="C220" s="14" t="s">
        <v>326</v>
      </c>
      <c r="D220" s="14" t="s">
        <v>40</v>
      </c>
      <c r="E220" s="15" t="str">
        <f>"323.78"</f>
        <v>323.78</v>
      </c>
      <c r="F220" s="15"/>
      <c r="G220" s="16" t="str">
        <f>"331.43"</f>
        <v>331.43</v>
      </c>
      <c r="H220" s="17">
        <f t="shared" si="3"/>
        <v>323.43</v>
      </c>
      <c r="I220" s="18"/>
      <c r="J220" s="19">
        <v>3</v>
      </c>
      <c r="K220" s="19">
        <v>2016</v>
      </c>
      <c r="L220" s="19" t="str">
        <f>"323.78"</f>
        <v>323.78</v>
      </c>
      <c r="M220" s="19"/>
      <c r="N220" s="19"/>
      <c r="O220" s="19"/>
      <c r="P220" s="19"/>
      <c r="Q220" s="19"/>
      <c r="R220" s="19" t="str">
        <f>"328.23"</f>
        <v>328.23</v>
      </c>
      <c r="S220" s="19" t="str">
        <f>"334.63"</f>
        <v>334.63</v>
      </c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</row>
    <row r="221" spans="1:31">
      <c r="A221" s="14">
        <v>219</v>
      </c>
      <c r="B221" s="14">
        <v>10879</v>
      </c>
      <c r="C221" s="14" t="s">
        <v>327</v>
      </c>
      <c r="D221" s="14" t="s">
        <v>40</v>
      </c>
      <c r="E221" s="15" t="str">
        <f>"332.12"</f>
        <v>332.12</v>
      </c>
      <c r="F221" s="15"/>
      <c r="G221" s="16" t="str">
        <f>"332.12"</f>
        <v>332.12</v>
      </c>
      <c r="H221" s="17">
        <f t="shared" si="3"/>
        <v>324.12</v>
      </c>
      <c r="I221" s="18"/>
      <c r="J221" s="19">
        <v>5</v>
      </c>
      <c r="K221" s="19">
        <v>2016</v>
      </c>
      <c r="L221" s="19"/>
      <c r="M221" s="19"/>
      <c r="N221" s="19"/>
      <c r="O221" s="19"/>
      <c r="P221" s="19"/>
      <c r="Q221" s="19"/>
      <c r="R221" s="19" t="str">
        <f>"379.67"</f>
        <v>379.67</v>
      </c>
      <c r="S221" s="19"/>
      <c r="T221" s="19"/>
      <c r="U221" s="19"/>
      <c r="V221" s="19"/>
      <c r="W221" s="19" t="str">
        <f>"352.89"</f>
        <v>352.89</v>
      </c>
      <c r="X221" s="19" t="str">
        <f>"390.27"</f>
        <v>390.27</v>
      </c>
      <c r="Y221" s="19"/>
      <c r="Z221" s="19"/>
      <c r="AA221" s="19"/>
      <c r="AB221" s="19"/>
      <c r="AC221" s="19" t="str">
        <f>"584.71"</f>
        <v>584.71</v>
      </c>
      <c r="AD221" s="19" t="str">
        <f>"311.34"</f>
        <v>311.34</v>
      </c>
      <c r="AE221" s="19"/>
    </row>
    <row r="222" spans="1:31">
      <c r="A222" s="14">
        <v>220</v>
      </c>
      <c r="B222" s="14">
        <v>10319</v>
      </c>
      <c r="C222" s="14" t="s">
        <v>328</v>
      </c>
      <c r="D222" s="14" t="s">
        <v>329</v>
      </c>
      <c r="E222" s="15" t="str">
        <f>"304.44"</f>
        <v>304.44</v>
      </c>
      <c r="F222" s="15"/>
      <c r="G222" s="16" t="str">
        <f>"332.44"</f>
        <v>332.44</v>
      </c>
      <c r="H222" s="17">
        <f t="shared" si="3"/>
        <v>324.44</v>
      </c>
      <c r="I222" s="18" t="s">
        <v>36</v>
      </c>
      <c r="J222" s="19">
        <v>1</v>
      </c>
      <c r="K222" s="19">
        <v>2016</v>
      </c>
      <c r="L222" s="19" t="str">
        <f>"304.44"</f>
        <v>304.44</v>
      </c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</row>
    <row r="223" spans="1:31">
      <c r="A223" s="14">
        <v>221</v>
      </c>
      <c r="B223" s="14">
        <v>11108</v>
      </c>
      <c r="C223" s="14" t="s">
        <v>330</v>
      </c>
      <c r="D223" s="14" t="s">
        <v>40</v>
      </c>
      <c r="E223" s="15" t="str">
        <f>"336.67"</f>
        <v>336.67</v>
      </c>
      <c r="F223" s="15"/>
      <c r="G223" s="16" t="str">
        <f>"336.67"</f>
        <v>336.67</v>
      </c>
      <c r="H223" s="17">
        <f t="shared" si="3"/>
        <v>328.67</v>
      </c>
      <c r="I223" s="18"/>
      <c r="J223" s="19">
        <v>5</v>
      </c>
      <c r="K223" s="19">
        <v>2016</v>
      </c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 t="str">
        <f>"325.39"</f>
        <v>325.39</v>
      </c>
      <c r="AD223" s="19" t="str">
        <f>"347.94"</f>
        <v>347.94</v>
      </c>
      <c r="AE223" s="19"/>
    </row>
    <row r="224" spans="1:31">
      <c r="A224" s="14">
        <v>222</v>
      </c>
      <c r="B224" s="14">
        <v>10294</v>
      </c>
      <c r="C224" s="14" t="s">
        <v>331</v>
      </c>
      <c r="D224" s="14" t="s">
        <v>275</v>
      </c>
      <c r="E224" s="15" t="str">
        <f>"435.56"</f>
        <v>435.56</v>
      </c>
      <c r="F224" s="15"/>
      <c r="G224" s="16" t="str">
        <f>"338.77"</f>
        <v>338.77</v>
      </c>
      <c r="H224" s="17">
        <f t="shared" si="3"/>
        <v>330.77</v>
      </c>
      <c r="I224" s="18" t="s">
        <v>38</v>
      </c>
      <c r="J224" s="19">
        <v>2</v>
      </c>
      <c r="K224" s="19">
        <v>2016</v>
      </c>
      <c r="L224" s="19" t="str">
        <f>"560.35"</f>
        <v>560.35</v>
      </c>
      <c r="M224" s="19" t="str">
        <f>"310.77"</f>
        <v>310.77</v>
      </c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</row>
    <row r="225" spans="1:31">
      <c r="A225" s="14">
        <v>223</v>
      </c>
      <c r="B225" s="14">
        <v>10338</v>
      </c>
      <c r="C225" s="14" t="s">
        <v>332</v>
      </c>
      <c r="D225" s="14" t="s">
        <v>333</v>
      </c>
      <c r="E225" s="15" t="str">
        <f>"313.98"</f>
        <v>313.98</v>
      </c>
      <c r="F225" s="15"/>
      <c r="G225" s="16" t="str">
        <f>"341.98"</f>
        <v>341.98</v>
      </c>
      <c r="H225" s="17">
        <f t="shared" si="3"/>
        <v>333.98</v>
      </c>
      <c r="I225" s="18" t="s">
        <v>36</v>
      </c>
      <c r="J225" s="19">
        <v>1</v>
      </c>
      <c r="K225" s="19">
        <v>2016</v>
      </c>
      <c r="L225" s="19" t="str">
        <f>"313.98"</f>
        <v>313.98</v>
      </c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</row>
    <row r="226" spans="1:31">
      <c r="A226" s="14">
        <v>224</v>
      </c>
      <c r="B226" s="14">
        <v>1217</v>
      </c>
      <c r="C226" s="14" t="s">
        <v>334</v>
      </c>
      <c r="D226" s="14" t="s">
        <v>335</v>
      </c>
      <c r="E226" s="15" t="str">
        <f>"327.75"</f>
        <v>327.75</v>
      </c>
      <c r="F226" s="15"/>
      <c r="G226" s="16" t="str">
        <f>"343.27"</f>
        <v>343.27</v>
      </c>
      <c r="H226" s="17">
        <f t="shared" si="3"/>
        <v>335.27</v>
      </c>
      <c r="I226" s="18" t="s">
        <v>38</v>
      </c>
      <c r="J226" s="19">
        <v>2</v>
      </c>
      <c r="K226" s="19">
        <v>2016</v>
      </c>
      <c r="L226" s="19" t="str">
        <f>"340.22"</f>
        <v>340.22</v>
      </c>
      <c r="M226" s="19"/>
      <c r="N226" s="19"/>
      <c r="O226" s="19"/>
      <c r="P226" s="19"/>
      <c r="Q226" s="19"/>
      <c r="R226" s="19"/>
      <c r="S226" s="19"/>
      <c r="T226" s="19"/>
      <c r="U226" s="19"/>
      <c r="V226" s="19" t="str">
        <f>"315.27"</f>
        <v>315.27</v>
      </c>
      <c r="W226" s="19"/>
      <c r="X226" s="19"/>
      <c r="Y226" s="19"/>
      <c r="Z226" s="19"/>
      <c r="AA226" s="19"/>
      <c r="AB226" s="19"/>
      <c r="AC226" s="19"/>
      <c r="AD226" s="19"/>
      <c r="AE226" s="19"/>
    </row>
    <row r="227" spans="1:31">
      <c r="A227" s="14">
        <v>225</v>
      </c>
      <c r="B227" s="14">
        <v>11014</v>
      </c>
      <c r="C227" s="14" t="s">
        <v>336</v>
      </c>
      <c r="D227" s="14" t="s">
        <v>73</v>
      </c>
      <c r="E227" s="15" t="str">
        <f>"343.76"</f>
        <v>343.76</v>
      </c>
      <c r="F227" s="15"/>
      <c r="G227" s="16" t="str">
        <f>"343.76"</f>
        <v>343.76</v>
      </c>
      <c r="H227" s="17">
        <f t="shared" si="3"/>
        <v>335.76</v>
      </c>
      <c r="I227" s="18" t="s">
        <v>38</v>
      </c>
      <c r="J227" s="19">
        <v>4</v>
      </c>
      <c r="K227" s="19">
        <v>2016</v>
      </c>
      <c r="L227" s="19"/>
      <c r="M227" s="19" t="str">
        <f>"315.76"</f>
        <v>315.76</v>
      </c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</row>
    <row r="228" spans="1:31">
      <c r="A228" s="14">
        <v>226</v>
      </c>
      <c r="B228" s="14">
        <v>479</v>
      </c>
      <c r="C228" s="14" t="s">
        <v>337</v>
      </c>
      <c r="D228" s="14" t="s">
        <v>278</v>
      </c>
      <c r="E228" s="15" t="str">
        <f>"327.13"</f>
        <v>327.13</v>
      </c>
      <c r="F228" s="15"/>
      <c r="G228" s="16" t="str">
        <f>"344.29"</f>
        <v>344.29</v>
      </c>
      <c r="H228" s="17">
        <f t="shared" si="3"/>
        <v>336.29</v>
      </c>
      <c r="I228" s="18"/>
      <c r="J228" s="19">
        <v>3</v>
      </c>
      <c r="K228" s="19">
        <v>2016</v>
      </c>
      <c r="L228" s="19" t="str">
        <f>"333.63"</f>
        <v>333.63</v>
      </c>
      <c r="M228" s="19"/>
      <c r="N228" s="19"/>
      <c r="O228" s="19"/>
      <c r="P228" s="19"/>
      <c r="Q228" s="19"/>
      <c r="R228" s="19"/>
      <c r="S228" s="19"/>
      <c r="T228" s="19"/>
      <c r="U228" s="19" t="str">
        <f>"367.95"</f>
        <v>367.95</v>
      </c>
      <c r="V228" s="19"/>
      <c r="W228" s="19"/>
      <c r="X228" s="19"/>
      <c r="Y228" s="19"/>
      <c r="Z228" s="19"/>
      <c r="AA228" s="19"/>
      <c r="AB228" s="19" t="str">
        <f>"320.62"</f>
        <v>320.62</v>
      </c>
      <c r="AC228" s="19"/>
      <c r="AD228" s="19"/>
      <c r="AE228" s="19"/>
    </row>
    <row r="229" spans="1:31">
      <c r="A229" s="14">
        <v>227</v>
      </c>
      <c r="B229" s="14">
        <v>10255</v>
      </c>
      <c r="C229" s="14" t="s">
        <v>338</v>
      </c>
      <c r="D229" s="14" t="s">
        <v>339</v>
      </c>
      <c r="E229" s="15" t="str">
        <f>"317.76"</f>
        <v>317.76</v>
      </c>
      <c r="F229" s="15"/>
      <c r="G229" s="16" t="str">
        <f>"345.76"</f>
        <v>345.76</v>
      </c>
      <c r="H229" s="17">
        <f t="shared" si="3"/>
        <v>337.76</v>
      </c>
      <c r="I229" s="18" t="s">
        <v>36</v>
      </c>
      <c r="J229" s="19">
        <v>1</v>
      </c>
      <c r="K229" s="19">
        <v>2016</v>
      </c>
      <c r="L229" s="19" t="str">
        <f>"317.76"</f>
        <v>317.76</v>
      </c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</row>
    <row r="230" spans="1:31">
      <c r="A230" s="14">
        <v>228</v>
      </c>
      <c r="B230" s="14">
        <v>10322</v>
      </c>
      <c r="C230" s="14" t="s">
        <v>340</v>
      </c>
      <c r="D230" s="14" t="s">
        <v>110</v>
      </c>
      <c r="E230" s="15" t="str">
        <f>"319.80"</f>
        <v>319.80</v>
      </c>
      <c r="F230" s="15"/>
      <c r="G230" s="16" t="str">
        <f>"347.80"</f>
        <v>347.80</v>
      </c>
      <c r="H230" s="17">
        <f t="shared" si="3"/>
        <v>339.8</v>
      </c>
      <c r="I230" s="18" t="s">
        <v>36</v>
      </c>
      <c r="J230" s="19">
        <v>1</v>
      </c>
      <c r="K230" s="19">
        <v>2016</v>
      </c>
      <c r="L230" s="19" t="str">
        <f>"319.80"</f>
        <v>319.80</v>
      </c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</row>
    <row r="231" spans="1:31">
      <c r="A231" s="14">
        <v>229</v>
      </c>
      <c r="B231" s="14">
        <v>3988</v>
      </c>
      <c r="C231" s="14" t="s">
        <v>341</v>
      </c>
      <c r="D231" s="14" t="s">
        <v>154</v>
      </c>
      <c r="E231" s="15" t="str">
        <f>"243.64"</f>
        <v>243.64</v>
      </c>
      <c r="F231" s="15"/>
      <c r="G231" s="16" t="str">
        <f>"349.54"</f>
        <v>349.54</v>
      </c>
      <c r="H231" s="17">
        <f t="shared" si="3"/>
        <v>341.54</v>
      </c>
      <c r="I231" s="18" t="s">
        <v>38</v>
      </c>
      <c r="J231" s="19">
        <v>2</v>
      </c>
      <c r="K231" s="19">
        <v>2016</v>
      </c>
      <c r="L231" s="19" t="str">
        <f>"243.64"</f>
        <v>243.64</v>
      </c>
      <c r="M231" s="19"/>
      <c r="N231" s="19"/>
      <c r="O231" s="19"/>
      <c r="P231" s="19"/>
      <c r="Q231" s="19"/>
      <c r="R231" s="19"/>
      <c r="S231" s="19"/>
      <c r="T231" s="19"/>
      <c r="U231" s="19" t="str">
        <f>"321.54"</f>
        <v>321.54</v>
      </c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</row>
    <row r="232" spans="1:31">
      <c r="A232" s="14">
        <v>230</v>
      </c>
      <c r="B232" s="14">
        <v>3109</v>
      </c>
      <c r="C232" s="14" t="s">
        <v>342</v>
      </c>
      <c r="D232" s="14" t="s">
        <v>141</v>
      </c>
      <c r="E232" s="15" t="str">
        <f>"328.36"</f>
        <v>328.36</v>
      </c>
      <c r="F232" s="15"/>
      <c r="G232" s="16" t="str">
        <f>"349.64"</f>
        <v>349.64</v>
      </c>
      <c r="H232" s="17">
        <f t="shared" si="3"/>
        <v>341.64</v>
      </c>
      <c r="I232" s="18" t="s">
        <v>38</v>
      </c>
      <c r="J232" s="19">
        <v>2</v>
      </c>
      <c r="K232" s="19">
        <v>2016</v>
      </c>
      <c r="L232" s="19" t="str">
        <f>"335.07"</f>
        <v>335.07</v>
      </c>
      <c r="M232" s="19"/>
      <c r="N232" s="19"/>
      <c r="O232" s="19"/>
      <c r="P232" s="19"/>
      <c r="Q232" s="19" t="str">
        <f>"321.64"</f>
        <v>321.64</v>
      </c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</row>
    <row r="233" spans="1:31">
      <c r="A233" s="14">
        <v>231</v>
      </c>
      <c r="B233" s="14">
        <v>5916</v>
      </c>
      <c r="C233" s="14" t="s">
        <v>343</v>
      </c>
      <c r="D233" s="14" t="s">
        <v>137</v>
      </c>
      <c r="E233" s="15" t="str">
        <f>"322.91"</f>
        <v>322.91</v>
      </c>
      <c r="F233" s="15"/>
      <c r="G233" s="16" t="str">
        <f>"350.91"</f>
        <v>350.91</v>
      </c>
      <c r="H233" s="17">
        <f t="shared" si="3"/>
        <v>342.91</v>
      </c>
      <c r="I233" s="18" t="s">
        <v>36</v>
      </c>
      <c r="J233" s="19">
        <v>1</v>
      </c>
      <c r="K233" s="19">
        <v>2016</v>
      </c>
      <c r="L233" s="19" t="str">
        <f>"322.91"</f>
        <v>322.91</v>
      </c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</row>
    <row r="234" spans="1:31">
      <c r="A234" s="14">
        <v>232</v>
      </c>
      <c r="B234" s="14">
        <v>5355</v>
      </c>
      <c r="C234" s="14" t="s">
        <v>344</v>
      </c>
      <c r="D234" s="14" t="s">
        <v>175</v>
      </c>
      <c r="E234" s="15" t="str">
        <f>"323.57"</f>
        <v>323.57</v>
      </c>
      <c r="F234" s="15"/>
      <c r="G234" s="16" t="str">
        <f>"351.57"</f>
        <v>351.57</v>
      </c>
      <c r="H234" s="17">
        <f t="shared" si="3"/>
        <v>343.57</v>
      </c>
      <c r="I234" s="18" t="s">
        <v>36</v>
      </c>
      <c r="J234" s="19">
        <v>1</v>
      </c>
      <c r="K234" s="19">
        <v>2016</v>
      </c>
      <c r="L234" s="19" t="str">
        <f>"323.57"</f>
        <v>323.57</v>
      </c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</row>
    <row r="235" spans="1:31">
      <c r="A235" s="14">
        <v>233</v>
      </c>
      <c r="B235" s="14">
        <v>7075</v>
      </c>
      <c r="C235" s="14" t="s">
        <v>345</v>
      </c>
      <c r="D235" s="14" t="s">
        <v>346</v>
      </c>
      <c r="E235" s="15" t="str">
        <f>"330.00"</f>
        <v>330.00</v>
      </c>
      <c r="F235" s="15"/>
      <c r="G235" s="16" t="str">
        <f>"358.00"</f>
        <v>358.00</v>
      </c>
      <c r="H235" s="17">
        <f t="shared" si="3"/>
        <v>350</v>
      </c>
      <c r="I235" s="18" t="s">
        <v>36</v>
      </c>
      <c r="J235" s="19">
        <v>1</v>
      </c>
      <c r="K235" s="19">
        <v>2016</v>
      </c>
      <c r="L235" s="19" t="str">
        <f>"330.00"</f>
        <v>330.00</v>
      </c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</row>
    <row r="236" spans="1:31">
      <c r="A236" s="14">
        <v>234</v>
      </c>
      <c r="B236" s="14">
        <v>10197</v>
      </c>
      <c r="C236" s="14" t="s">
        <v>347</v>
      </c>
      <c r="D236" s="14" t="s">
        <v>53</v>
      </c>
      <c r="E236" s="15" t="str">
        <f>"331.40"</f>
        <v>331.40</v>
      </c>
      <c r="F236" s="15"/>
      <c r="G236" s="16" t="str">
        <f>"359.40"</f>
        <v>359.40</v>
      </c>
      <c r="H236" s="17">
        <f t="shared" si="3"/>
        <v>351.4</v>
      </c>
      <c r="I236" s="18" t="s">
        <v>36</v>
      </c>
      <c r="J236" s="19">
        <v>1</v>
      </c>
      <c r="K236" s="19">
        <v>2016</v>
      </c>
      <c r="L236" s="19" t="str">
        <f>"331.40"</f>
        <v>331.40</v>
      </c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</row>
    <row r="237" spans="1:31">
      <c r="A237" s="14">
        <v>235</v>
      </c>
      <c r="B237" s="14">
        <v>8355</v>
      </c>
      <c r="C237" s="14" t="s">
        <v>348</v>
      </c>
      <c r="D237" s="14" t="s">
        <v>275</v>
      </c>
      <c r="E237" s="15" t="str">
        <f>"352.24"</f>
        <v>352.24</v>
      </c>
      <c r="F237" s="15"/>
      <c r="G237" s="16" t="str">
        <f>"359.60"</f>
        <v>359.60</v>
      </c>
      <c r="H237" s="17">
        <f t="shared" si="3"/>
        <v>351.6</v>
      </c>
      <c r="I237" s="18"/>
      <c r="J237" s="19">
        <v>3</v>
      </c>
      <c r="K237" s="19">
        <v>2016</v>
      </c>
      <c r="L237" s="19" t="str">
        <f>"357.73"</f>
        <v>357.73</v>
      </c>
      <c r="M237" s="19" t="str">
        <f>"372.45"</f>
        <v>372.45</v>
      </c>
      <c r="N237" s="19"/>
      <c r="O237" s="19" t="str">
        <f>"346.74"</f>
        <v>346.74</v>
      </c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</row>
    <row r="238" spans="1:31">
      <c r="A238" s="14">
        <v>236</v>
      </c>
      <c r="B238" s="14">
        <v>10687</v>
      </c>
      <c r="C238" s="14" t="s">
        <v>349</v>
      </c>
      <c r="D238" s="14" t="s">
        <v>51</v>
      </c>
      <c r="E238" s="15" t="str">
        <f>"420.31"</f>
        <v>420.31</v>
      </c>
      <c r="F238" s="15"/>
      <c r="G238" s="16" t="str">
        <f>"360.64"</f>
        <v>360.64</v>
      </c>
      <c r="H238" s="17">
        <f t="shared" si="3"/>
        <v>352.64</v>
      </c>
      <c r="I238" s="18" t="s">
        <v>38</v>
      </c>
      <c r="J238" s="19">
        <v>2</v>
      </c>
      <c r="K238" s="19">
        <v>2016</v>
      </c>
      <c r="L238" s="19" t="str">
        <f>"507.97"</f>
        <v>507.97</v>
      </c>
      <c r="M238" s="19" t="str">
        <f>"332.64"</f>
        <v>332.64</v>
      </c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</row>
    <row r="239" spans="1:31">
      <c r="A239" s="14">
        <v>237</v>
      </c>
      <c r="B239" s="14">
        <v>10847</v>
      </c>
      <c r="C239" s="14" t="s">
        <v>350</v>
      </c>
      <c r="D239" s="14" t="s">
        <v>40</v>
      </c>
      <c r="E239" s="15" t="str">
        <f>"370.56"</f>
        <v>370.56</v>
      </c>
      <c r="F239" s="15"/>
      <c r="G239" s="16" t="str">
        <f>"370.56"</f>
        <v>370.56</v>
      </c>
      <c r="H239" s="17">
        <f t="shared" si="3"/>
        <v>362.56</v>
      </c>
      <c r="I239" s="18"/>
      <c r="J239" s="19">
        <v>5</v>
      </c>
      <c r="K239" s="19">
        <v>2016</v>
      </c>
      <c r="L239" s="19"/>
      <c r="M239" s="19"/>
      <c r="N239" s="19"/>
      <c r="O239" s="19"/>
      <c r="P239" s="19"/>
      <c r="Q239" s="19"/>
      <c r="R239" s="19" t="str">
        <f>"389.70"</f>
        <v>389.70</v>
      </c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 t="str">
        <f>"351.42"</f>
        <v>351.42</v>
      </c>
      <c r="AE239" s="19"/>
    </row>
    <row r="240" spans="1:31">
      <c r="A240" s="14">
        <v>238</v>
      </c>
      <c r="B240" s="14">
        <v>10601</v>
      </c>
      <c r="C240" s="14" t="s">
        <v>351</v>
      </c>
      <c r="D240" s="14" t="s">
        <v>40</v>
      </c>
      <c r="E240" s="15" t="str">
        <f>"371.33"</f>
        <v>371.33</v>
      </c>
      <c r="F240" s="15"/>
      <c r="G240" s="16" t="str">
        <f>"371.33"</f>
        <v>371.33</v>
      </c>
      <c r="H240" s="17">
        <f t="shared" si="3"/>
        <v>363.33</v>
      </c>
      <c r="I240" s="18"/>
      <c r="J240" s="19">
        <v>3</v>
      </c>
      <c r="K240" s="19">
        <v>2016</v>
      </c>
      <c r="L240" s="19" t="str">
        <f>"450.29"</f>
        <v>450.29</v>
      </c>
      <c r="M240" s="19"/>
      <c r="N240" s="19"/>
      <c r="O240" s="19"/>
      <c r="P240" s="19"/>
      <c r="Q240" s="19"/>
      <c r="R240" s="19" t="str">
        <f>"365.11"</f>
        <v>365.11</v>
      </c>
      <c r="S240" s="19"/>
      <c r="T240" s="19"/>
      <c r="U240" s="19"/>
      <c r="V240" s="19"/>
      <c r="W240" s="19" t="str">
        <f>"377.54"</f>
        <v>377.54</v>
      </c>
      <c r="X240" s="19" t="str">
        <f>"532.19"</f>
        <v>532.19</v>
      </c>
      <c r="Y240" s="19"/>
      <c r="Z240" s="19"/>
      <c r="AA240" s="19"/>
      <c r="AB240" s="19"/>
      <c r="AC240" s="19"/>
      <c r="AD240" s="19" t="str">
        <f>"397.40"</f>
        <v>397.40</v>
      </c>
      <c r="AE240" s="19"/>
    </row>
    <row r="241" spans="1:31">
      <c r="A241" s="14">
        <v>239</v>
      </c>
      <c r="B241" s="14">
        <v>11070</v>
      </c>
      <c r="C241" s="14" t="s">
        <v>352</v>
      </c>
      <c r="D241" s="14" t="s">
        <v>51</v>
      </c>
      <c r="E241" s="15" t="str">
        <f>"371.96"</f>
        <v>371.96</v>
      </c>
      <c r="F241" s="15"/>
      <c r="G241" s="16" t="str">
        <f>"371.96"</f>
        <v>371.96</v>
      </c>
      <c r="H241" s="17">
        <f t="shared" si="3"/>
        <v>363.96</v>
      </c>
      <c r="I241" s="18" t="s">
        <v>38</v>
      </c>
      <c r="J241" s="19">
        <v>4</v>
      </c>
      <c r="K241" s="19">
        <v>2016</v>
      </c>
      <c r="L241" s="19"/>
      <c r="M241" s="19" t="str">
        <f>"343.96"</f>
        <v>343.96</v>
      </c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</row>
    <row r="242" spans="1:31">
      <c r="A242" s="14">
        <v>240</v>
      </c>
      <c r="B242" s="14">
        <v>9737</v>
      </c>
      <c r="C242" s="14" t="s">
        <v>353</v>
      </c>
      <c r="D242" s="14" t="s">
        <v>129</v>
      </c>
      <c r="E242" s="15" t="str">
        <f>"344.16"</f>
        <v>344.16</v>
      </c>
      <c r="F242" s="15"/>
      <c r="G242" s="16" t="str">
        <f>"372.16"</f>
        <v>372.16</v>
      </c>
      <c r="H242" s="17">
        <f t="shared" si="3"/>
        <v>364.16</v>
      </c>
      <c r="I242" s="18" t="s">
        <v>36</v>
      </c>
      <c r="J242" s="19">
        <v>1</v>
      </c>
      <c r="K242" s="19">
        <v>2016</v>
      </c>
      <c r="L242" s="19" t="str">
        <f>"344.16"</f>
        <v>344.16</v>
      </c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</row>
    <row r="243" spans="1:31">
      <c r="A243" s="14">
        <v>241</v>
      </c>
      <c r="B243" s="14">
        <v>10712</v>
      </c>
      <c r="C243" s="14" t="s">
        <v>354</v>
      </c>
      <c r="D243" s="14" t="s">
        <v>51</v>
      </c>
      <c r="E243" s="15" t="str">
        <f>"344.89"</f>
        <v>344.89</v>
      </c>
      <c r="F243" s="15"/>
      <c r="G243" s="16" t="str">
        <f>"372.89"</f>
        <v>372.89</v>
      </c>
      <c r="H243" s="17">
        <f t="shared" si="3"/>
        <v>364.89</v>
      </c>
      <c r="I243" s="18" t="s">
        <v>36</v>
      </c>
      <c r="J243" s="19">
        <v>1</v>
      </c>
      <c r="K243" s="19">
        <v>2016</v>
      </c>
      <c r="L243" s="19" t="str">
        <f>"344.89"</f>
        <v>344.89</v>
      </c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</row>
    <row r="244" spans="1:31">
      <c r="A244" s="14">
        <v>242</v>
      </c>
      <c r="B244" s="14">
        <v>11027</v>
      </c>
      <c r="C244" s="14" t="s">
        <v>355</v>
      </c>
      <c r="D244" s="14" t="s">
        <v>315</v>
      </c>
      <c r="E244" s="15" t="str">
        <f>"372.95"</f>
        <v>372.95</v>
      </c>
      <c r="F244" s="15"/>
      <c r="G244" s="16" t="str">
        <f>"372.95"</f>
        <v>372.95</v>
      </c>
      <c r="H244" s="17">
        <f t="shared" si="3"/>
        <v>364.95</v>
      </c>
      <c r="I244" s="18" t="s">
        <v>38</v>
      </c>
      <c r="J244" s="19">
        <v>4</v>
      </c>
      <c r="K244" s="19">
        <v>2016</v>
      </c>
      <c r="L244" s="19"/>
      <c r="M244" s="19" t="str">
        <f>"344.95"</f>
        <v>344.95</v>
      </c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</row>
    <row r="245" spans="1:31">
      <c r="A245" s="14">
        <v>243</v>
      </c>
      <c r="B245" s="14">
        <v>2163</v>
      </c>
      <c r="C245" s="14" t="s">
        <v>356</v>
      </c>
      <c r="D245" s="14" t="s">
        <v>125</v>
      </c>
      <c r="E245" s="15" t="str">
        <f>"353.83"</f>
        <v>353.83</v>
      </c>
      <c r="F245" s="15"/>
      <c r="G245" s="16" t="str">
        <f>"381.83"</f>
        <v>381.83</v>
      </c>
      <c r="H245" s="17">
        <f t="shared" si="3"/>
        <v>373.83</v>
      </c>
      <c r="I245" s="18" t="s">
        <v>36</v>
      </c>
      <c r="J245" s="19">
        <v>1</v>
      </c>
      <c r="K245" s="19">
        <v>2016</v>
      </c>
      <c r="L245" s="19" t="str">
        <f>"353.83"</f>
        <v>353.83</v>
      </c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</row>
    <row r="246" spans="1:31">
      <c r="A246" s="14">
        <v>244</v>
      </c>
      <c r="B246" s="14">
        <v>10287</v>
      </c>
      <c r="C246" s="14" t="s">
        <v>357</v>
      </c>
      <c r="D246" s="14" t="s">
        <v>53</v>
      </c>
      <c r="E246" s="15" t="str">
        <f>"191.52"</f>
        <v>191.52</v>
      </c>
      <c r="F246" s="15"/>
      <c r="G246" s="16" t="str">
        <f>"390.05"</f>
        <v>390.05</v>
      </c>
      <c r="H246" s="17">
        <f t="shared" si="3"/>
        <v>382.05</v>
      </c>
      <c r="I246" s="18"/>
      <c r="J246" s="19">
        <v>3</v>
      </c>
      <c r="K246" s="19">
        <v>2016</v>
      </c>
      <c r="L246" s="19" t="str">
        <f>"191.52"</f>
        <v>191.52</v>
      </c>
      <c r="M246" s="19"/>
      <c r="N246" s="19"/>
      <c r="O246" s="19"/>
      <c r="P246" s="19" t="str">
        <f>"316.76"</f>
        <v>316.76</v>
      </c>
      <c r="Q246" s="19"/>
      <c r="R246" s="19"/>
      <c r="S246" s="19"/>
      <c r="T246" s="19" t="str">
        <f>"463.34"</f>
        <v>463.34</v>
      </c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</row>
    <row r="247" spans="1:31">
      <c r="A247" s="14">
        <v>245</v>
      </c>
      <c r="B247" s="14">
        <v>10366</v>
      </c>
      <c r="C247" s="14" t="s">
        <v>358</v>
      </c>
      <c r="D247" s="14" t="s">
        <v>315</v>
      </c>
      <c r="E247" s="15" t="str">
        <f>"424.11"</f>
        <v>424.11</v>
      </c>
      <c r="F247" s="15"/>
      <c r="G247" s="16" t="str">
        <f>"392.01"</f>
        <v>392.01</v>
      </c>
      <c r="H247" s="17">
        <f t="shared" si="3"/>
        <v>384.01</v>
      </c>
      <c r="I247" s="18" t="s">
        <v>38</v>
      </c>
      <c r="J247" s="19">
        <v>2</v>
      </c>
      <c r="K247" s="19">
        <v>2016</v>
      </c>
      <c r="L247" s="19" t="str">
        <f>"484.21"</f>
        <v>484.21</v>
      </c>
      <c r="M247" s="19" t="str">
        <f>"364.01"</f>
        <v>364.01</v>
      </c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</row>
    <row r="248" spans="1:31">
      <c r="A248" s="14">
        <v>246</v>
      </c>
      <c r="B248" s="14">
        <v>10542</v>
      </c>
      <c r="C248" s="14" t="s">
        <v>359</v>
      </c>
      <c r="D248" s="14" t="s">
        <v>40</v>
      </c>
      <c r="E248" s="15" t="str">
        <f>"370.24"</f>
        <v>370.24</v>
      </c>
      <c r="F248" s="15"/>
      <c r="G248" s="16" t="str">
        <f>"396.21"</f>
        <v>396.21</v>
      </c>
      <c r="H248" s="17">
        <f t="shared" si="3"/>
        <v>388.21</v>
      </c>
      <c r="I248" s="18" t="s">
        <v>38</v>
      </c>
      <c r="J248" s="19">
        <v>2</v>
      </c>
      <c r="K248" s="19">
        <v>2016</v>
      </c>
      <c r="L248" s="19" t="str">
        <f>"372.26"</f>
        <v>372.26</v>
      </c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 t="str">
        <f>"368.21"</f>
        <v>368.21</v>
      </c>
      <c r="AE248" s="19"/>
    </row>
    <row r="249" spans="1:31">
      <c r="A249" s="14">
        <v>247</v>
      </c>
      <c r="B249" s="14">
        <v>10607</v>
      </c>
      <c r="C249" s="14" t="s">
        <v>360</v>
      </c>
      <c r="D249" s="14" t="s">
        <v>40</v>
      </c>
      <c r="E249" s="15" t="str">
        <f>"380.08"</f>
        <v>380.08</v>
      </c>
      <c r="F249" s="15"/>
      <c r="G249" s="16" t="str">
        <f>"397.72"</f>
        <v>397.72</v>
      </c>
      <c r="H249" s="17">
        <f t="shared" si="3"/>
        <v>389.72</v>
      </c>
      <c r="I249" s="18" t="s">
        <v>38</v>
      </c>
      <c r="J249" s="19">
        <v>2</v>
      </c>
      <c r="K249" s="19">
        <v>2016</v>
      </c>
      <c r="L249" s="19" t="str">
        <f>"390.43"</f>
        <v>390.43</v>
      </c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 t="str">
        <f>"369.72"</f>
        <v>369.72</v>
      </c>
      <c r="AE249" s="19"/>
    </row>
    <row r="250" spans="1:31">
      <c r="A250" s="14">
        <v>248</v>
      </c>
      <c r="B250" s="14">
        <v>10562</v>
      </c>
      <c r="C250" s="14" t="s">
        <v>361</v>
      </c>
      <c r="D250" s="14" t="s">
        <v>40</v>
      </c>
      <c r="E250" s="15" t="str">
        <f>"397.28"</f>
        <v>397.28</v>
      </c>
      <c r="F250" s="15"/>
      <c r="G250" s="16" t="str">
        <f>"398.95"</f>
        <v>398.95</v>
      </c>
      <c r="H250" s="17">
        <f t="shared" si="3"/>
        <v>390.95</v>
      </c>
      <c r="I250" s="18"/>
      <c r="J250" s="19">
        <v>3</v>
      </c>
      <c r="K250" s="19">
        <v>2016</v>
      </c>
      <c r="L250" s="19" t="str">
        <f>"403.95"</f>
        <v>403.95</v>
      </c>
      <c r="M250" s="19"/>
      <c r="N250" s="19"/>
      <c r="O250" s="19"/>
      <c r="P250" s="19"/>
      <c r="Q250" s="19"/>
      <c r="R250" s="19" t="str">
        <f>"408.58"</f>
        <v>408.58</v>
      </c>
      <c r="S250" s="19"/>
      <c r="T250" s="19"/>
      <c r="U250" s="19"/>
      <c r="V250" s="19"/>
      <c r="W250" s="19" t="str">
        <f>"407.29"</f>
        <v>407.29</v>
      </c>
      <c r="X250" s="19"/>
      <c r="Y250" s="19"/>
      <c r="Z250" s="19"/>
      <c r="AA250" s="19"/>
      <c r="AB250" s="19"/>
      <c r="AC250" s="19"/>
      <c r="AD250" s="19" t="str">
        <f>"390.60"</f>
        <v>390.60</v>
      </c>
      <c r="AE250" s="19"/>
    </row>
    <row r="251" spans="1:31">
      <c r="A251" s="14">
        <v>249</v>
      </c>
      <c r="B251" s="14">
        <v>11051</v>
      </c>
      <c r="C251" s="14" t="s">
        <v>362</v>
      </c>
      <c r="D251" s="14" t="s">
        <v>51</v>
      </c>
      <c r="E251" s="15" t="str">
        <f>"404.32"</f>
        <v>404.32</v>
      </c>
      <c r="F251" s="15"/>
      <c r="G251" s="16" t="str">
        <f>"404.32"</f>
        <v>404.32</v>
      </c>
      <c r="H251" s="17">
        <f t="shared" si="3"/>
        <v>396.32</v>
      </c>
      <c r="I251" s="18" t="s">
        <v>38</v>
      </c>
      <c r="J251" s="19">
        <v>4</v>
      </c>
      <c r="K251" s="19">
        <v>2016</v>
      </c>
      <c r="L251" s="19"/>
      <c r="M251" s="19" t="str">
        <f>"376.32"</f>
        <v>376.32</v>
      </c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</row>
    <row r="252" spans="1:31">
      <c r="A252" s="14">
        <v>250</v>
      </c>
      <c r="B252" s="14">
        <v>10878</v>
      </c>
      <c r="C252" s="14" t="s">
        <v>363</v>
      </c>
      <c r="D252" s="14" t="s">
        <v>40</v>
      </c>
      <c r="E252" s="15" t="str">
        <f>"406.53"</f>
        <v>406.53</v>
      </c>
      <c r="F252" s="15"/>
      <c r="G252" s="16" t="str">
        <f>"406.53"</f>
        <v>406.53</v>
      </c>
      <c r="H252" s="17">
        <f t="shared" si="3"/>
        <v>398.53</v>
      </c>
      <c r="I252" s="18"/>
      <c r="J252" s="19">
        <v>5</v>
      </c>
      <c r="K252" s="19">
        <v>2016</v>
      </c>
      <c r="L252" s="19"/>
      <c r="M252" s="19"/>
      <c r="N252" s="19"/>
      <c r="O252" s="19"/>
      <c r="P252" s="19"/>
      <c r="Q252" s="19"/>
      <c r="R252" s="19" t="str">
        <f>"415.80"</f>
        <v>415.80</v>
      </c>
      <c r="S252" s="19"/>
      <c r="T252" s="19"/>
      <c r="U252" s="19"/>
      <c r="V252" s="19"/>
      <c r="W252" s="19" t="str">
        <f>"492.48"</f>
        <v>492.48</v>
      </c>
      <c r="X252" s="19"/>
      <c r="Y252" s="19"/>
      <c r="Z252" s="19"/>
      <c r="AA252" s="19"/>
      <c r="AB252" s="19"/>
      <c r="AC252" s="19"/>
      <c r="AD252" s="19" t="str">
        <f>"397.25"</f>
        <v>397.25</v>
      </c>
      <c r="AE252" s="19"/>
    </row>
    <row r="253" spans="1:31">
      <c r="A253" s="14">
        <v>251</v>
      </c>
      <c r="B253" s="14">
        <v>11088</v>
      </c>
      <c r="C253" s="14" t="s">
        <v>364</v>
      </c>
      <c r="D253" s="14" t="s">
        <v>73</v>
      </c>
      <c r="E253" s="15" t="str">
        <f>"406.88"</f>
        <v>406.88</v>
      </c>
      <c r="F253" s="15"/>
      <c r="G253" s="16" t="str">
        <f>"406.88"</f>
        <v>406.88</v>
      </c>
      <c r="H253" s="17">
        <f t="shared" si="3"/>
        <v>398.88</v>
      </c>
      <c r="I253" s="18"/>
      <c r="J253" s="19">
        <v>5</v>
      </c>
      <c r="K253" s="19">
        <v>2016</v>
      </c>
      <c r="L253" s="19"/>
      <c r="M253" s="19" t="str">
        <f>"398.82"</f>
        <v>398.82</v>
      </c>
      <c r="N253" s="19"/>
      <c r="O253" s="19" t="str">
        <f>"414.93"</f>
        <v>414.93</v>
      </c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</row>
    <row r="254" spans="1:31">
      <c r="A254" s="14">
        <v>252</v>
      </c>
      <c r="B254" s="14">
        <v>10848</v>
      </c>
      <c r="C254" s="14" t="s">
        <v>365</v>
      </c>
      <c r="D254" s="14" t="s">
        <v>40</v>
      </c>
      <c r="E254" s="15" t="str">
        <f>"408.80"</f>
        <v>408.80</v>
      </c>
      <c r="F254" s="15"/>
      <c r="G254" s="16" t="str">
        <f>"408.80"</f>
        <v>408.80</v>
      </c>
      <c r="H254" s="17">
        <f t="shared" si="3"/>
        <v>400.8</v>
      </c>
      <c r="I254" s="18"/>
      <c r="J254" s="19">
        <v>5</v>
      </c>
      <c r="K254" s="19">
        <v>2016</v>
      </c>
      <c r="L254" s="19"/>
      <c r="M254" s="19"/>
      <c r="N254" s="19"/>
      <c r="O254" s="19"/>
      <c r="P254" s="19"/>
      <c r="Q254" s="19"/>
      <c r="R254" s="19" t="str">
        <f>"462.39"</f>
        <v>462.39</v>
      </c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 t="str">
        <f>"355.20"</f>
        <v>355.20</v>
      </c>
      <c r="AE254" s="19"/>
    </row>
    <row r="255" spans="1:31">
      <c r="A255" s="14">
        <v>253</v>
      </c>
      <c r="B255" s="14">
        <v>10421</v>
      </c>
      <c r="C255" s="14" t="s">
        <v>366</v>
      </c>
      <c r="D255" s="14" t="s">
        <v>53</v>
      </c>
      <c r="E255" s="15" t="str">
        <f>"409.33"</f>
        <v>409.33</v>
      </c>
      <c r="F255" s="15"/>
      <c r="G255" s="16" t="str">
        <f>"409.33"</f>
        <v>409.33</v>
      </c>
      <c r="H255" s="17">
        <f t="shared" si="3"/>
        <v>401.33</v>
      </c>
      <c r="I255" s="18"/>
      <c r="J255" s="19">
        <v>5</v>
      </c>
      <c r="K255" s="19">
        <v>2016</v>
      </c>
      <c r="L255" s="19"/>
      <c r="M255" s="19"/>
      <c r="N255" s="19"/>
      <c r="O255" s="19"/>
      <c r="P255" s="19" t="str">
        <f>"316.39"</f>
        <v>316.39</v>
      </c>
      <c r="Q255" s="19"/>
      <c r="R255" s="19"/>
      <c r="S255" s="19"/>
      <c r="T255" s="19" t="str">
        <f>"502.26"</f>
        <v>502.26</v>
      </c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</row>
    <row r="256" spans="1:31">
      <c r="A256" s="14">
        <v>254</v>
      </c>
      <c r="B256" s="14">
        <v>5369</v>
      </c>
      <c r="C256" s="14" t="s">
        <v>367</v>
      </c>
      <c r="D256" s="14" t="s">
        <v>203</v>
      </c>
      <c r="E256" s="15" t="str">
        <f>"413.38"</f>
        <v>413.38</v>
      </c>
      <c r="F256" s="15"/>
      <c r="G256" s="16" t="str">
        <f>"413.73"</f>
        <v>413.73</v>
      </c>
      <c r="H256" s="17">
        <f t="shared" si="3"/>
        <v>405.73</v>
      </c>
      <c r="I256" s="18"/>
      <c r="J256" s="19">
        <v>3</v>
      </c>
      <c r="K256" s="19">
        <v>2016</v>
      </c>
      <c r="L256" s="19" t="str">
        <f>"423.04"</f>
        <v>423.04</v>
      </c>
      <c r="M256" s="19"/>
      <c r="N256" s="19"/>
      <c r="O256" s="19"/>
      <c r="P256" s="19"/>
      <c r="Q256" s="19" t="str">
        <f>"403.72"</f>
        <v>403.72</v>
      </c>
      <c r="R256" s="19"/>
      <c r="S256" s="19"/>
      <c r="T256" s="19"/>
      <c r="U256" s="19" t="str">
        <f>"587.34"</f>
        <v>587.34</v>
      </c>
      <c r="V256" s="19"/>
      <c r="W256" s="19"/>
      <c r="X256" s="19"/>
      <c r="Y256" s="19" t="str">
        <f>"423.73"</f>
        <v>423.73</v>
      </c>
      <c r="Z256" s="19"/>
      <c r="AA256" s="19"/>
      <c r="AB256" s="19"/>
      <c r="AC256" s="19"/>
      <c r="AD256" s="19"/>
      <c r="AE256" s="19"/>
    </row>
    <row r="257" spans="1:31">
      <c r="A257" s="14">
        <v>255</v>
      </c>
      <c r="B257" s="14">
        <v>10480</v>
      </c>
      <c r="C257" s="14" t="s">
        <v>368</v>
      </c>
      <c r="D257" s="14" t="s">
        <v>53</v>
      </c>
      <c r="E257" s="15" t="str">
        <f>"293.66"</f>
        <v>293.66</v>
      </c>
      <c r="F257" s="15"/>
      <c r="G257" s="16" t="str">
        <f>"417.86"</f>
        <v>417.86</v>
      </c>
      <c r="H257" s="17">
        <f t="shared" si="3"/>
        <v>409.86</v>
      </c>
      <c r="I257" s="18"/>
      <c r="J257" s="19">
        <v>3</v>
      </c>
      <c r="K257" s="19">
        <v>2016</v>
      </c>
      <c r="L257" s="19" t="str">
        <f>"321.12"</f>
        <v>321.12</v>
      </c>
      <c r="M257" s="19"/>
      <c r="N257" s="19"/>
      <c r="O257" s="19"/>
      <c r="P257" s="19"/>
      <c r="Q257" s="19"/>
      <c r="R257" s="19"/>
      <c r="S257" s="19"/>
      <c r="T257" s="19" t="str">
        <f>"569.52"</f>
        <v>569.52</v>
      </c>
      <c r="U257" s="19"/>
      <c r="V257" s="19"/>
      <c r="W257" s="19"/>
      <c r="X257" s="19"/>
      <c r="Y257" s="19"/>
      <c r="Z257" s="19"/>
      <c r="AA257" s="19"/>
      <c r="AB257" s="19" t="str">
        <f>"266.19"</f>
        <v>266.19</v>
      </c>
      <c r="AC257" s="19"/>
      <c r="AD257" s="19"/>
      <c r="AE257" s="19"/>
    </row>
    <row r="258" spans="1:31">
      <c r="A258" s="14">
        <v>256</v>
      </c>
      <c r="B258" s="14">
        <v>10041</v>
      </c>
      <c r="C258" s="14" t="s">
        <v>369</v>
      </c>
      <c r="D258" s="14" t="s">
        <v>40</v>
      </c>
      <c r="E258" s="15" t="str">
        <f>"361.47"</f>
        <v>361.47</v>
      </c>
      <c r="F258" s="15"/>
      <c r="G258" s="16" t="str">
        <f>"418.23"</f>
        <v>418.23</v>
      </c>
      <c r="H258" s="17">
        <f t="shared" si="3"/>
        <v>410.23</v>
      </c>
      <c r="I258" s="18" t="s">
        <v>38</v>
      </c>
      <c r="J258" s="19">
        <v>2</v>
      </c>
      <c r="K258" s="19">
        <v>2016</v>
      </c>
      <c r="L258" s="19" t="str">
        <f>"361.47"</f>
        <v>361.47</v>
      </c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 t="str">
        <f>"390.23"</f>
        <v>390.23</v>
      </c>
      <c r="X258" s="19"/>
      <c r="Y258" s="19"/>
      <c r="Z258" s="19"/>
      <c r="AA258" s="19"/>
      <c r="AB258" s="19"/>
      <c r="AC258" s="19"/>
      <c r="AD258" s="19"/>
      <c r="AE258" s="19"/>
    </row>
    <row r="259" spans="1:31">
      <c r="A259" s="14">
        <v>257</v>
      </c>
      <c r="B259" s="14">
        <v>11065</v>
      </c>
      <c r="C259" s="14" t="s">
        <v>370</v>
      </c>
      <c r="D259" s="14" t="s">
        <v>275</v>
      </c>
      <c r="E259" s="15" t="str">
        <f>"419.16"</f>
        <v>419.16</v>
      </c>
      <c r="F259" s="15"/>
      <c r="G259" s="16" t="str">
        <f>"419.16"</f>
        <v>419.16</v>
      </c>
      <c r="H259" s="17">
        <f t="shared" ref="H259:H322" si="4">G259-8</f>
        <v>411.16</v>
      </c>
      <c r="I259" s="18" t="s">
        <v>38</v>
      </c>
      <c r="J259" s="19">
        <v>4</v>
      </c>
      <c r="K259" s="19">
        <v>2016</v>
      </c>
      <c r="L259" s="19"/>
      <c r="M259" s="19" t="str">
        <f>"391.16"</f>
        <v>391.16</v>
      </c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</row>
    <row r="260" spans="1:31">
      <c r="A260" s="14">
        <v>258</v>
      </c>
      <c r="B260" s="14">
        <v>10596</v>
      </c>
      <c r="C260" s="14" t="s">
        <v>371</v>
      </c>
      <c r="D260" s="14" t="s">
        <v>40</v>
      </c>
      <c r="E260" s="15" t="str">
        <f>"420.66"</f>
        <v>420.66</v>
      </c>
      <c r="F260" s="15"/>
      <c r="G260" s="16" t="str">
        <f>"420.66"</f>
        <v>420.66</v>
      </c>
      <c r="H260" s="17">
        <f t="shared" si="4"/>
        <v>412.66</v>
      </c>
      <c r="I260" s="18"/>
      <c r="J260" s="19">
        <v>3</v>
      </c>
      <c r="K260" s="19">
        <v>2016</v>
      </c>
      <c r="L260" s="19" t="str">
        <f>"519.97"</f>
        <v>519.97</v>
      </c>
      <c r="M260" s="19"/>
      <c r="N260" s="19"/>
      <c r="O260" s="19"/>
      <c r="P260" s="19"/>
      <c r="Q260" s="19"/>
      <c r="R260" s="19" t="str">
        <f>"476.74"</f>
        <v>476.74</v>
      </c>
      <c r="S260" s="19"/>
      <c r="T260" s="19"/>
      <c r="U260" s="19"/>
      <c r="V260" s="19"/>
      <c r="W260" s="19" t="str">
        <f>"592.86"</f>
        <v>592.86</v>
      </c>
      <c r="X260" s="19"/>
      <c r="Y260" s="19"/>
      <c r="Z260" s="19"/>
      <c r="AA260" s="19"/>
      <c r="AB260" s="19"/>
      <c r="AC260" s="19"/>
      <c r="AD260" s="19" t="str">
        <f>"364.58"</f>
        <v>364.58</v>
      </c>
      <c r="AE260" s="19"/>
    </row>
    <row r="261" spans="1:31">
      <c r="A261" s="14">
        <v>259</v>
      </c>
      <c r="B261" s="14">
        <v>3980</v>
      </c>
      <c r="C261" s="14" t="s">
        <v>372</v>
      </c>
      <c r="D261" s="14" t="s">
        <v>112</v>
      </c>
      <c r="E261" s="15" t="str">
        <f>"394.84"</f>
        <v>394.84</v>
      </c>
      <c r="F261" s="15"/>
      <c r="G261" s="16" t="str">
        <f>"422.84"</f>
        <v>422.84</v>
      </c>
      <c r="H261" s="17">
        <f t="shared" si="4"/>
        <v>414.84</v>
      </c>
      <c r="I261" s="18" t="s">
        <v>36</v>
      </c>
      <c r="J261" s="19">
        <v>1</v>
      </c>
      <c r="K261" s="19">
        <v>2016</v>
      </c>
      <c r="L261" s="19" t="str">
        <f>"394.84"</f>
        <v>394.84</v>
      </c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</row>
    <row r="262" spans="1:31">
      <c r="A262" s="14">
        <v>260</v>
      </c>
      <c r="B262" s="14">
        <v>10700</v>
      </c>
      <c r="C262" s="14" t="s">
        <v>373</v>
      </c>
      <c r="D262" s="14" t="s">
        <v>73</v>
      </c>
      <c r="E262" s="15" t="str">
        <f>"495.93"</f>
        <v>495.93</v>
      </c>
      <c r="F262" s="15"/>
      <c r="G262" s="16" t="str">
        <f>"424.08"</f>
        <v>424.08</v>
      </c>
      <c r="H262" s="17">
        <f t="shared" si="4"/>
        <v>416.08</v>
      </c>
      <c r="I262" s="18" t="s">
        <v>38</v>
      </c>
      <c r="J262" s="19">
        <v>2</v>
      </c>
      <c r="K262" s="19">
        <v>2016</v>
      </c>
      <c r="L262" s="19" t="str">
        <f>"595.77"</f>
        <v>595.77</v>
      </c>
      <c r="M262" s="19" t="str">
        <f>"396.08"</f>
        <v>396.08</v>
      </c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</row>
    <row r="263" spans="1:31">
      <c r="A263" s="14">
        <v>261</v>
      </c>
      <c r="B263" s="14">
        <v>10583</v>
      </c>
      <c r="C263" s="14" t="s">
        <v>374</v>
      </c>
      <c r="D263" s="14" t="s">
        <v>40</v>
      </c>
      <c r="E263" s="15" t="str">
        <f>"486.78"</f>
        <v>486.78</v>
      </c>
      <c r="F263" s="15"/>
      <c r="G263" s="16" t="str">
        <f>"431.83"</f>
        <v>431.83</v>
      </c>
      <c r="H263" s="17">
        <f t="shared" si="4"/>
        <v>423.83</v>
      </c>
      <c r="I263" s="18" t="s">
        <v>38</v>
      </c>
      <c r="J263" s="19">
        <v>2</v>
      </c>
      <c r="K263" s="19">
        <v>2016</v>
      </c>
      <c r="L263" s="19" t="str">
        <f>"569.73"</f>
        <v>569.73</v>
      </c>
      <c r="M263" s="19"/>
      <c r="N263" s="19"/>
      <c r="O263" s="19"/>
      <c r="P263" s="19"/>
      <c r="Q263" s="19"/>
      <c r="R263" s="19" t="str">
        <f>"403.83"</f>
        <v>403.83</v>
      </c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</row>
    <row r="264" spans="1:31">
      <c r="A264" s="14">
        <v>262</v>
      </c>
      <c r="B264" s="14">
        <v>8444</v>
      </c>
      <c r="C264" s="14" t="s">
        <v>375</v>
      </c>
      <c r="D264" s="14" t="s">
        <v>376</v>
      </c>
      <c r="E264" s="15" t="str">
        <f>"292.04"</f>
        <v>292.04</v>
      </c>
      <c r="F264" s="15"/>
      <c r="G264" s="16" t="str">
        <f>"434.18"</f>
        <v>434.18</v>
      </c>
      <c r="H264" s="17">
        <f t="shared" si="4"/>
        <v>426.18</v>
      </c>
      <c r="I264" s="18"/>
      <c r="J264" s="19">
        <v>3</v>
      </c>
      <c r="K264" s="19">
        <v>2016</v>
      </c>
      <c r="L264" s="19" t="str">
        <f>"292.04"</f>
        <v>292.04</v>
      </c>
      <c r="M264" s="19"/>
      <c r="N264" s="19"/>
      <c r="O264" s="19"/>
      <c r="P264" s="19"/>
      <c r="Q264" s="19" t="str">
        <f>"426.70"</f>
        <v>426.70</v>
      </c>
      <c r="R264" s="19"/>
      <c r="S264" s="19"/>
      <c r="T264" s="19"/>
      <c r="U264" s="19"/>
      <c r="V264" s="19"/>
      <c r="W264" s="19"/>
      <c r="X264" s="19"/>
      <c r="Y264" s="19"/>
      <c r="Z264" s="19" t="str">
        <f>"441.66"</f>
        <v>441.66</v>
      </c>
      <c r="AA264" s="19" t="str">
        <f>"470.25"</f>
        <v>470.25</v>
      </c>
      <c r="AB264" s="19" t="str">
        <f>"455.11"</f>
        <v>455.11</v>
      </c>
      <c r="AC264" s="19"/>
      <c r="AD264" s="19"/>
      <c r="AE264" s="19"/>
    </row>
    <row r="265" spans="1:31">
      <c r="A265" s="14">
        <v>263</v>
      </c>
      <c r="B265" s="14">
        <v>2719</v>
      </c>
      <c r="C265" s="14" t="s">
        <v>377</v>
      </c>
      <c r="D265" s="14" t="s">
        <v>378</v>
      </c>
      <c r="E265" s="15" t="str">
        <f>"421.35"</f>
        <v>421.35</v>
      </c>
      <c r="F265" s="15"/>
      <c r="G265" s="16" t="str">
        <f>"449.35"</f>
        <v>449.35</v>
      </c>
      <c r="H265" s="17">
        <f t="shared" si="4"/>
        <v>441.35</v>
      </c>
      <c r="I265" s="18" t="s">
        <v>36</v>
      </c>
      <c r="J265" s="19">
        <v>1</v>
      </c>
      <c r="K265" s="19">
        <v>2016</v>
      </c>
      <c r="L265" s="19" t="str">
        <f>"421.35"</f>
        <v>421.35</v>
      </c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</row>
    <row r="266" spans="1:31">
      <c r="A266" s="14">
        <v>264</v>
      </c>
      <c r="B266" s="14">
        <v>10611</v>
      </c>
      <c r="C266" s="14" t="s">
        <v>379</v>
      </c>
      <c r="D266" s="14" t="s">
        <v>40</v>
      </c>
      <c r="E266" s="15" t="str">
        <f>"456.80"</f>
        <v>456.80</v>
      </c>
      <c r="F266" s="15"/>
      <c r="G266" s="16" t="str">
        <f>"456.80"</f>
        <v>456.80</v>
      </c>
      <c r="H266" s="17">
        <f t="shared" si="4"/>
        <v>448.8</v>
      </c>
      <c r="I266" s="18"/>
      <c r="J266" s="19">
        <v>3</v>
      </c>
      <c r="K266" s="19">
        <v>2016</v>
      </c>
      <c r="L266" s="19" t="str">
        <f>"690.88"</f>
        <v>690.88</v>
      </c>
      <c r="M266" s="19"/>
      <c r="N266" s="19"/>
      <c r="O266" s="19"/>
      <c r="P266" s="19"/>
      <c r="Q266" s="19"/>
      <c r="R266" s="19" t="str">
        <f>"487.31"</f>
        <v>487.31</v>
      </c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 t="str">
        <f>"426.29"</f>
        <v>426.29</v>
      </c>
      <c r="AE266" s="19"/>
    </row>
    <row r="267" spans="1:31">
      <c r="A267" s="14">
        <v>265</v>
      </c>
      <c r="B267" s="14">
        <v>1432</v>
      </c>
      <c r="C267" s="14" t="s">
        <v>380</v>
      </c>
      <c r="D267" s="14" t="s">
        <v>105</v>
      </c>
      <c r="E267" s="15" t="str">
        <f>"434.37"</f>
        <v>434.37</v>
      </c>
      <c r="F267" s="15"/>
      <c r="G267" s="16" t="str">
        <f>"462.37"</f>
        <v>462.37</v>
      </c>
      <c r="H267" s="17">
        <f t="shared" si="4"/>
        <v>454.37</v>
      </c>
      <c r="I267" s="18" t="s">
        <v>36</v>
      </c>
      <c r="J267" s="19">
        <v>1</v>
      </c>
      <c r="K267" s="19">
        <v>2016</v>
      </c>
      <c r="L267" s="19" t="str">
        <f>"434.37"</f>
        <v>434.37</v>
      </c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</row>
    <row r="268" spans="1:31">
      <c r="A268" s="14">
        <v>266</v>
      </c>
      <c r="B268" s="14">
        <v>10612</v>
      </c>
      <c r="C268" s="14" t="s">
        <v>381</v>
      </c>
      <c r="D268" s="14" t="s">
        <v>40</v>
      </c>
      <c r="E268" s="15" t="str">
        <f>"460.74"</f>
        <v>460.74</v>
      </c>
      <c r="F268" s="15"/>
      <c r="G268" s="16" t="str">
        <f>"463.52"</f>
        <v>463.52</v>
      </c>
      <c r="H268" s="17">
        <f t="shared" si="4"/>
        <v>455.52</v>
      </c>
      <c r="I268" s="18" t="s">
        <v>38</v>
      </c>
      <c r="J268" s="19">
        <v>2</v>
      </c>
      <c r="K268" s="19">
        <v>2016</v>
      </c>
      <c r="L268" s="19" t="str">
        <f>"485.96"</f>
        <v>485.96</v>
      </c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 t="str">
        <f>"435.52"</f>
        <v>435.52</v>
      </c>
      <c r="AE268" s="19"/>
    </row>
    <row r="269" spans="1:31">
      <c r="A269" s="14">
        <v>267</v>
      </c>
      <c r="B269" s="14">
        <v>10873</v>
      </c>
      <c r="C269" s="14" t="s">
        <v>382</v>
      </c>
      <c r="D269" s="14" t="s">
        <v>40</v>
      </c>
      <c r="E269" s="15" t="str">
        <f>"467.62"</f>
        <v>467.62</v>
      </c>
      <c r="F269" s="15"/>
      <c r="G269" s="16" t="str">
        <f>"467.62"</f>
        <v>467.62</v>
      </c>
      <c r="H269" s="17">
        <f t="shared" si="4"/>
        <v>459.62</v>
      </c>
      <c r="I269" s="18"/>
      <c r="J269" s="19">
        <v>5</v>
      </c>
      <c r="K269" s="19">
        <v>2016</v>
      </c>
      <c r="L269" s="19"/>
      <c r="M269" s="19"/>
      <c r="N269" s="19"/>
      <c r="O269" s="19"/>
      <c r="P269" s="19"/>
      <c r="Q269" s="19"/>
      <c r="R269" s="19" t="str">
        <f>"477.17"</f>
        <v>477.17</v>
      </c>
      <c r="S269" s="19"/>
      <c r="T269" s="19"/>
      <c r="U269" s="19"/>
      <c r="V269" s="19"/>
      <c r="W269" s="19" t="str">
        <f>"639.66"</f>
        <v>639.66</v>
      </c>
      <c r="X269" s="19"/>
      <c r="Y269" s="19"/>
      <c r="Z269" s="19"/>
      <c r="AA269" s="19"/>
      <c r="AB269" s="19"/>
      <c r="AC269" s="19"/>
      <c r="AD269" s="19" t="str">
        <f>"458.06"</f>
        <v>458.06</v>
      </c>
      <c r="AE269" s="19"/>
    </row>
    <row r="270" spans="1:31">
      <c r="A270" s="14">
        <v>268</v>
      </c>
      <c r="B270" s="14">
        <v>10658</v>
      </c>
      <c r="C270" s="14" t="s">
        <v>383</v>
      </c>
      <c r="D270" s="14" t="s">
        <v>73</v>
      </c>
      <c r="E270" s="15" t="str">
        <f>"440.56"</f>
        <v>440.56</v>
      </c>
      <c r="F270" s="15"/>
      <c r="G270" s="16" t="str">
        <f>"468.56"</f>
        <v>468.56</v>
      </c>
      <c r="H270" s="17">
        <f t="shared" si="4"/>
        <v>460.56</v>
      </c>
      <c r="I270" s="18" t="s">
        <v>36</v>
      </c>
      <c r="J270" s="19">
        <v>1</v>
      </c>
      <c r="K270" s="19">
        <v>2016</v>
      </c>
      <c r="L270" s="19" t="str">
        <f>"440.56"</f>
        <v>440.56</v>
      </c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</row>
    <row r="271" spans="1:31">
      <c r="A271" s="14">
        <v>269</v>
      </c>
      <c r="B271" s="14">
        <v>1000</v>
      </c>
      <c r="C271" s="14" t="s">
        <v>384</v>
      </c>
      <c r="D271" s="14" t="s">
        <v>385</v>
      </c>
      <c r="E271" s="15" t="str">
        <f>"299.83"</f>
        <v>299.83</v>
      </c>
      <c r="F271" s="15"/>
      <c r="G271" s="16" t="str">
        <f>"470.25"</f>
        <v>470.25</v>
      </c>
      <c r="H271" s="17">
        <f t="shared" si="4"/>
        <v>462.25</v>
      </c>
      <c r="I271" s="18" t="s">
        <v>38</v>
      </c>
      <c r="J271" s="19">
        <v>2</v>
      </c>
      <c r="K271" s="19">
        <v>2016</v>
      </c>
      <c r="L271" s="19" t="str">
        <f>"299.83"</f>
        <v>299.83</v>
      </c>
      <c r="M271" s="19"/>
      <c r="N271" s="19"/>
      <c r="O271" s="19"/>
      <c r="P271" s="19"/>
      <c r="Q271" s="19" t="str">
        <f>"442.25"</f>
        <v>442.25</v>
      </c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</row>
    <row r="272" spans="1:31">
      <c r="A272" s="14">
        <v>270</v>
      </c>
      <c r="B272" s="14">
        <v>10085</v>
      </c>
      <c r="C272" s="14" t="s">
        <v>386</v>
      </c>
      <c r="D272" s="14" t="s">
        <v>40</v>
      </c>
      <c r="E272" s="15" t="str">
        <f>"410.62"</f>
        <v>410.62</v>
      </c>
      <c r="F272" s="15"/>
      <c r="G272" s="16" t="str">
        <f>"477.85"</f>
        <v>477.85</v>
      </c>
      <c r="H272" s="17">
        <f t="shared" si="4"/>
        <v>469.85</v>
      </c>
      <c r="I272" s="18"/>
      <c r="J272" s="19">
        <v>3</v>
      </c>
      <c r="K272" s="19">
        <v>2016</v>
      </c>
      <c r="L272" s="19" t="str">
        <f>"410.62"</f>
        <v>410.62</v>
      </c>
      <c r="M272" s="19"/>
      <c r="N272" s="19"/>
      <c r="O272" s="19"/>
      <c r="P272" s="19"/>
      <c r="Q272" s="19"/>
      <c r="R272" s="19" t="str">
        <f>"459.16"</f>
        <v>459.16</v>
      </c>
      <c r="S272" s="19"/>
      <c r="T272" s="19"/>
      <c r="U272" s="19"/>
      <c r="V272" s="19"/>
      <c r="W272" s="19" t="str">
        <f>"496.54"</f>
        <v>496.54</v>
      </c>
      <c r="X272" s="19"/>
      <c r="Y272" s="19"/>
      <c r="Z272" s="19"/>
      <c r="AA272" s="19"/>
      <c r="AB272" s="19"/>
      <c r="AC272" s="19"/>
      <c r="AD272" s="19"/>
      <c r="AE272" s="19"/>
    </row>
    <row r="273" spans="1:31">
      <c r="A273" s="14">
        <v>271</v>
      </c>
      <c r="B273" s="14">
        <v>10027</v>
      </c>
      <c r="C273" s="14" t="s">
        <v>387</v>
      </c>
      <c r="D273" s="14" t="s">
        <v>40</v>
      </c>
      <c r="E273" s="15" t="str">
        <f>"396.12"</f>
        <v>396.12</v>
      </c>
      <c r="F273" s="15"/>
      <c r="G273" s="16" t="str">
        <f>"488.45"</f>
        <v>488.45</v>
      </c>
      <c r="H273" s="17">
        <f t="shared" si="4"/>
        <v>480.45</v>
      </c>
      <c r="I273" s="18" t="s">
        <v>38</v>
      </c>
      <c r="J273" s="19">
        <v>2</v>
      </c>
      <c r="K273" s="19">
        <v>2016</v>
      </c>
      <c r="L273" s="19" t="str">
        <f>"396.12"</f>
        <v>396.12</v>
      </c>
      <c r="M273" s="19"/>
      <c r="N273" s="19"/>
      <c r="O273" s="19"/>
      <c r="P273" s="19"/>
      <c r="Q273" s="19"/>
      <c r="R273" s="19" t="str">
        <f>"460.45"</f>
        <v>460.45</v>
      </c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</row>
    <row r="274" spans="1:31">
      <c r="A274" s="14">
        <v>272</v>
      </c>
      <c r="B274" s="14">
        <v>10559</v>
      </c>
      <c r="C274" s="14" t="s">
        <v>388</v>
      </c>
      <c r="D274" s="14" t="s">
        <v>40</v>
      </c>
      <c r="E274" s="15" t="str">
        <f>"478.60"</f>
        <v>478.60</v>
      </c>
      <c r="F274" s="15"/>
      <c r="G274" s="16" t="str">
        <f>"506.60"</f>
        <v>506.60</v>
      </c>
      <c r="H274" s="17">
        <f t="shared" si="4"/>
        <v>498.6</v>
      </c>
      <c r="I274" s="18" t="s">
        <v>36</v>
      </c>
      <c r="J274" s="19">
        <v>1</v>
      </c>
      <c r="K274" s="19">
        <v>2016</v>
      </c>
      <c r="L274" s="19" t="str">
        <f>"478.60"</f>
        <v>478.60</v>
      </c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</row>
    <row r="275" spans="1:31">
      <c r="A275" s="14">
        <v>273</v>
      </c>
      <c r="B275" s="14">
        <v>11105</v>
      </c>
      <c r="C275" s="14" t="s">
        <v>389</v>
      </c>
      <c r="D275" s="14" t="s">
        <v>40</v>
      </c>
      <c r="E275" s="15" t="str">
        <f>"508.75"</f>
        <v>508.75</v>
      </c>
      <c r="F275" s="15"/>
      <c r="G275" s="16" t="str">
        <f>"508.75"</f>
        <v>508.75</v>
      </c>
      <c r="H275" s="17">
        <f t="shared" si="4"/>
        <v>500.75</v>
      </c>
      <c r="I275" s="18" t="s">
        <v>38</v>
      </c>
      <c r="J275" s="19">
        <v>4</v>
      </c>
      <c r="K275" s="19">
        <v>2016</v>
      </c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 t="str">
        <f>"480.75"</f>
        <v>480.75</v>
      </c>
      <c r="AE275" s="19"/>
    </row>
    <row r="276" spans="1:31">
      <c r="A276" s="14">
        <v>274</v>
      </c>
      <c r="B276" s="14">
        <v>7202</v>
      </c>
      <c r="C276" s="14" t="s">
        <v>390</v>
      </c>
      <c r="D276" s="14" t="s">
        <v>229</v>
      </c>
      <c r="E276" s="15" t="str">
        <f>"513.05"</f>
        <v>513.05</v>
      </c>
      <c r="F276" s="15"/>
      <c r="G276" s="16" t="str">
        <f>"513.05"</f>
        <v>513.05</v>
      </c>
      <c r="H276" s="17">
        <f t="shared" si="4"/>
        <v>505.04999999999995</v>
      </c>
      <c r="I276" s="18" t="s">
        <v>38</v>
      </c>
      <c r="J276" s="19">
        <v>4</v>
      </c>
      <c r="K276" s="19">
        <v>2016</v>
      </c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 t="str">
        <f>"485.05"</f>
        <v>485.05</v>
      </c>
      <c r="AB276" s="19"/>
      <c r="AC276" s="19"/>
      <c r="AD276" s="19"/>
      <c r="AE276" s="19"/>
    </row>
    <row r="277" spans="1:31">
      <c r="A277" s="14">
        <v>275</v>
      </c>
      <c r="B277" s="14">
        <v>10359</v>
      </c>
      <c r="C277" s="14" t="s">
        <v>391</v>
      </c>
      <c r="D277" s="14" t="s">
        <v>51</v>
      </c>
      <c r="E277" s="15" t="str">
        <f>"489.19"</f>
        <v>489.19</v>
      </c>
      <c r="F277" s="15"/>
      <c r="G277" s="16" t="str">
        <f>"517.19"</f>
        <v>517.19</v>
      </c>
      <c r="H277" s="17">
        <f t="shared" si="4"/>
        <v>509.19000000000005</v>
      </c>
      <c r="I277" s="18" t="s">
        <v>36</v>
      </c>
      <c r="J277" s="19">
        <v>1</v>
      </c>
      <c r="K277" s="19">
        <v>2016</v>
      </c>
      <c r="L277" s="19" t="str">
        <f>"489.19"</f>
        <v>489.19</v>
      </c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</row>
    <row r="278" spans="1:31">
      <c r="A278" s="14">
        <v>276</v>
      </c>
      <c r="B278" s="14">
        <v>10953</v>
      </c>
      <c r="C278" s="14" t="s">
        <v>392</v>
      </c>
      <c r="D278" s="14" t="s">
        <v>229</v>
      </c>
      <c r="E278" s="15" t="str">
        <f>"523.15"</f>
        <v>523.15</v>
      </c>
      <c r="F278" s="15"/>
      <c r="G278" s="16" t="str">
        <f>"523.15"</f>
        <v>523.15</v>
      </c>
      <c r="H278" s="17">
        <f t="shared" si="4"/>
        <v>515.15</v>
      </c>
      <c r="I278" s="18" t="s">
        <v>38</v>
      </c>
      <c r="J278" s="19">
        <v>4</v>
      </c>
      <c r="K278" s="19">
        <v>2016</v>
      </c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 t="str">
        <f>"495.15"</f>
        <v>495.15</v>
      </c>
      <c r="AB278" s="19"/>
      <c r="AC278" s="19"/>
      <c r="AD278" s="19"/>
      <c r="AE278" s="19"/>
    </row>
    <row r="279" spans="1:31">
      <c r="A279" s="14">
        <v>277</v>
      </c>
      <c r="B279" s="14">
        <v>7900</v>
      </c>
      <c r="C279" s="14" t="s">
        <v>393</v>
      </c>
      <c r="D279" s="14" t="s">
        <v>394</v>
      </c>
      <c r="E279" s="15" t="str">
        <f>"501.42"</f>
        <v>501.42</v>
      </c>
      <c r="F279" s="15"/>
      <c r="G279" s="16" t="str">
        <f>"529.42"</f>
        <v>529.42</v>
      </c>
      <c r="H279" s="17">
        <f t="shared" si="4"/>
        <v>521.41999999999996</v>
      </c>
      <c r="I279" s="18" t="s">
        <v>36</v>
      </c>
      <c r="J279" s="19">
        <v>1</v>
      </c>
      <c r="K279" s="19">
        <v>2016</v>
      </c>
      <c r="L279" s="19" t="str">
        <f>"501.42"</f>
        <v>501.42</v>
      </c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</row>
    <row r="280" spans="1:31">
      <c r="A280" s="14">
        <v>278</v>
      </c>
      <c r="B280" s="14">
        <v>10874</v>
      </c>
      <c r="C280" s="14" t="s">
        <v>395</v>
      </c>
      <c r="D280" s="14" t="s">
        <v>40</v>
      </c>
      <c r="E280" s="15" t="str">
        <f>"533.92"</f>
        <v>533.92</v>
      </c>
      <c r="F280" s="15"/>
      <c r="G280" s="16" t="str">
        <f>"533.92"</f>
        <v>533.92</v>
      </c>
      <c r="H280" s="17">
        <f t="shared" si="4"/>
        <v>525.91999999999996</v>
      </c>
      <c r="I280" s="18"/>
      <c r="J280" s="19">
        <v>5</v>
      </c>
      <c r="K280" s="19">
        <v>2016</v>
      </c>
      <c r="L280" s="19"/>
      <c r="M280" s="19"/>
      <c r="N280" s="19"/>
      <c r="O280" s="19"/>
      <c r="P280" s="19"/>
      <c r="Q280" s="19"/>
      <c r="R280" s="19" t="str">
        <f>"540.80"</f>
        <v>540.80</v>
      </c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 t="str">
        <f>"527.03"</f>
        <v>527.03</v>
      </c>
      <c r="AE280" s="19"/>
    </row>
    <row r="281" spans="1:31">
      <c r="A281" s="14">
        <v>279</v>
      </c>
      <c r="B281" s="14">
        <v>10563</v>
      </c>
      <c r="C281" s="14" t="s">
        <v>396</v>
      </c>
      <c r="D281" s="14" t="s">
        <v>40</v>
      </c>
      <c r="E281" s="15" t="str">
        <f>"538.26"</f>
        <v>538.26</v>
      </c>
      <c r="F281" s="15"/>
      <c r="G281" s="16" t="str">
        <f>"558.12"</f>
        <v>558.12</v>
      </c>
      <c r="H281" s="17">
        <f t="shared" si="4"/>
        <v>550.12</v>
      </c>
      <c r="I281" s="18" t="s">
        <v>38</v>
      </c>
      <c r="J281" s="19">
        <v>2</v>
      </c>
      <c r="K281" s="19">
        <v>2016</v>
      </c>
      <c r="L281" s="19" t="str">
        <f>"546.40"</f>
        <v>546.40</v>
      </c>
      <c r="M281" s="19"/>
      <c r="N281" s="19"/>
      <c r="O281" s="19"/>
      <c r="P281" s="19"/>
      <c r="Q281" s="19"/>
      <c r="R281" s="19" t="str">
        <f>"530.12"</f>
        <v>530.12</v>
      </c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</row>
    <row r="282" spans="1:31">
      <c r="A282" s="14">
        <v>280</v>
      </c>
      <c r="B282" s="14">
        <v>10637</v>
      </c>
      <c r="C282" s="14" t="s">
        <v>397</v>
      </c>
      <c r="D282" s="14" t="s">
        <v>40</v>
      </c>
      <c r="E282" s="15" t="str">
        <f>"573.60"</f>
        <v>573.60</v>
      </c>
      <c r="F282" s="15"/>
      <c r="G282" s="16" t="str">
        <f>"572.68"</f>
        <v>572.68</v>
      </c>
      <c r="H282" s="17">
        <f t="shared" si="4"/>
        <v>564.67999999999995</v>
      </c>
      <c r="I282" s="18" t="s">
        <v>38</v>
      </c>
      <c r="J282" s="19">
        <v>2</v>
      </c>
      <c r="K282" s="19">
        <v>2016</v>
      </c>
      <c r="L282" s="19" t="str">
        <f>"602.52"</f>
        <v>602.52</v>
      </c>
      <c r="M282" s="19"/>
      <c r="N282" s="19"/>
      <c r="O282" s="19"/>
      <c r="P282" s="19"/>
      <c r="Q282" s="19"/>
      <c r="R282" s="19" t="str">
        <f>"544.68"</f>
        <v>544.68</v>
      </c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</row>
    <row r="283" spans="1:31">
      <c r="A283" s="14">
        <v>281</v>
      </c>
      <c r="B283" s="14">
        <v>2891</v>
      </c>
      <c r="C283" s="14" t="s">
        <v>398</v>
      </c>
      <c r="D283" s="14" t="s">
        <v>156</v>
      </c>
      <c r="E283" s="15" t="str">
        <f>"554.20"</f>
        <v>554.20</v>
      </c>
      <c r="F283" s="15"/>
      <c r="G283" s="16" t="str">
        <f>"582.20"</f>
        <v>582.20</v>
      </c>
      <c r="H283" s="17">
        <f t="shared" si="4"/>
        <v>574.20000000000005</v>
      </c>
      <c r="I283" s="18" t="s">
        <v>36</v>
      </c>
      <c r="J283" s="19">
        <v>1</v>
      </c>
      <c r="K283" s="19">
        <v>2016</v>
      </c>
      <c r="L283" s="19" t="str">
        <f>"554.20"</f>
        <v>554.20</v>
      </c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</row>
    <row r="284" spans="1:31">
      <c r="A284" s="14">
        <v>282</v>
      </c>
      <c r="B284" s="14">
        <v>10142</v>
      </c>
      <c r="C284" s="14" t="s">
        <v>399</v>
      </c>
      <c r="D284" s="14" t="s">
        <v>53</v>
      </c>
      <c r="E284" s="15" t="str">
        <f>"483.79"</f>
        <v>483.79</v>
      </c>
      <c r="F284" s="15"/>
      <c r="G284" s="16" t="str">
        <f>"597.52"</f>
        <v>597.52</v>
      </c>
      <c r="H284" s="17">
        <f t="shared" si="4"/>
        <v>589.52</v>
      </c>
      <c r="I284" s="18" t="s">
        <v>38</v>
      </c>
      <c r="J284" s="19">
        <v>2</v>
      </c>
      <c r="K284" s="19">
        <v>2016</v>
      </c>
      <c r="L284" s="19" t="str">
        <f>"483.79"</f>
        <v>483.79</v>
      </c>
      <c r="M284" s="19"/>
      <c r="N284" s="19"/>
      <c r="O284" s="19"/>
      <c r="P284" s="19"/>
      <c r="Q284" s="19"/>
      <c r="R284" s="19"/>
      <c r="S284" s="19"/>
      <c r="T284" s="19" t="str">
        <f>"569.52"</f>
        <v>569.52</v>
      </c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</row>
    <row r="285" spans="1:31">
      <c r="A285" s="14">
        <v>283</v>
      </c>
      <c r="B285" s="14">
        <v>3657</v>
      </c>
      <c r="C285" s="14" t="s">
        <v>400</v>
      </c>
      <c r="D285" s="14" t="s">
        <v>156</v>
      </c>
      <c r="E285" s="15" t="str">
        <f>"591.77"</f>
        <v>591.77</v>
      </c>
      <c r="F285" s="15"/>
      <c r="G285" s="16" t="str">
        <f>"619.77"</f>
        <v>619.77</v>
      </c>
      <c r="H285" s="17">
        <f t="shared" si="4"/>
        <v>611.77</v>
      </c>
      <c r="I285" s="18" t="s">
        <v>36</v>
      </c>
      <c r="J285" s="19">
        <v>1</v>
      </c>
      <c r="K285" s="19">
        <v>2016</v>
      </c>
      <c r="L285" s="19" t="str">
        <f>"591.77"</f>
        <v>591.77</v>
      </c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</row>
    <row r="286" spans="1:31">
      <c r="A286" s="14">
        <v>284</v>
      </c>
      <c r="B286" s="14">
        <v>10814</v>
      </c>
      <c r="C286" s="14" t="s">
        <v>401</v>
      </c>
      <c r="D286" s="14" t="s">
        <v>53</v>
      </c>
      <c r="E286" s="15" t="str">
        <f>"623.96"</f>
        <v>623.96</v>
      </c>
      <c r="F286" s="15"/>
      <c r="G286" s="16" t="str">
        <f>"623.96"</f>
        <v>623.96</v>
      </c>
      <c r="H286" s="17">
        <f t="shared" si="4"/>
        <v>615.96</v>
      </c>
      <c r="I286" s="18" t="s">
        <v>38</v>
      </c>
      <c r="J286" s="19">
        <v>4</v>
      </c>
      <c r="K286" s="19">
        <v>2016</v>
      </c>
      <c r="L286" s="19"/>
      <c r="M286" s="19"/>
      <c r="N286" s="19"/>
      <c r="O286" s="19"/>
      <c r="P286" s="19"/>
      <c r="Q286" s="19"/>
      <c r="R286" s="19"/>
      <c r="S286" s="19"/>
      <c r="T286" s="19" t="str">
        <f>"595.96"</f>
        <v>595.96</v>
      </c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</row>
    <row r="287" spans="1:31">
      <c r="A287" s="14">
        <v>285</v>
      </c>
      <c r="B287" s="14">
        <v>10353</v>
      </c>
      <c r="C287" s="14" t="s">
        <v>402</v>
      </c>
      <c r="D287" s="14" t="s">
        <v>53</v>
      </c>
      <c r="E287" s="15" t="str">
        <f>"355.35"</f>
        <v>355.35</v>
      </c>
      <c r="F287" s="15"/>
      <c r="G287" s="16" t="str">
        <f>"624.44"</f>
        <v>624.44</v>
      </c>
      <c r="H287" s="17">
        <f t="shared" si="4"/>
        <v>616.44000000000005</v>
      </c>
      <c r="I287" s="18" t="s">
        <v>38</v>
      </c>
      <c r="J287" s="19">
        <v>2</v>
      </c>
      <c r="K287" s="19">
        <v>2016</v>
      </c>
      <c r="L287" s="19" t="str">
        <f>"355.35"</f>
        <v>355.35</v>
      </c>
      <c r="M287" s="19"/>
      <c r="N287" s="19"/>
      <c r="O287" s="19"/>
      <c r="P287" s="19"/>
      <c r="Q287" s="19"/>
      <c r="R287" s="19"/>
      <c r="S287" s="19"/>
      <c r="T287" s="19" t="str">
        <f>"596.44"</f>
        <v>596.44</v>
      </c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</row>
    <row r="288" spans="1:31">
      <c r="A288" s="14">
        <v>286</v>
      </c>
      <c r="B288" s="14">
        <v>10746</v>
      </c>
      <c r="C288" s="14" t="s">
        <v>403</v>
      </c>
      <c r="D288" s="14" t="s">
        <v>53</v>
      </c>
      <c r="E288" s="15" t="str">
        <f>"625.99"</f>
        <v>625.99</v>
      </c>
      <c r="F288" s="15"/>
      <c r="G288" s="16" t="str">
        <f>"625.99"</f>
        <v>625.99</v>
      </c>
      <c r="H288" s="17">
        <f t="shared" si="4"/>
        <v>617.99</v>
      </c>
      <c r="I288" s="18"/>
      <c r="J288" s="19">
        <v>5</v>
      </c>
      <c r="K288" s="19">
        <v>2016</v>
      </c>
      <c r="L288" s="19"/>
      <c r="M288" s="19"/>
      <c r="N288" s="19"/>
      <c r="O288" s="19"/>
      <c r="P288" s="19" t="str">
        <f>"504.67"</f>
        <v>504.67</v>
      </c>
      <c r="Q288" s="19"/>
      <c r="R288" s="19"/>
      <c r="S288" s="19"/>
      <c r="T288" s="19" t="str">
        <f>"747.30"</f>
        <v>747.30</v>
      </c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</row>
    <row r="289" spans="1:31">
      <c r="A289" s="14">
        <v>287</v>
      </c>
      <c r="B289" s="14">
        <v>10738</v>
      </c>
      <c r="C289" s="14" t="s">
        <v>404</v>
      </c>
      <c r="D289" s="14" t="s">
        <v>53</v>
      </c>
      <c r="E289" s="15" t="str">
        <f>"641.74"</f>
        <v>641.74</v>
      </c>
      <c r="F289" s="15"/>
      <c r="G289" s="16" t="str">
        <f>"641.74"</f>
        <v>641.74</v>
      </c>
      <c r="H289" s="17">
        <f t="shared" si="4"/>
        <v>633.74</v>
      </c>
      <c r="I289" s="18"/>
      <c r="J289" s="19">
        <v>5</v>
      </c>
      <c r="K289" s="19">
        <v>2016</v>
      </c>
      <c r="L289" s="19"/>
      <c r="M289" s="19"/>
      <c r="N289" s="19"/>
      <c r="O289" s="19"/>
      <c r="P289" s="19"/>
      <c r="Q289" s="19"/>
      <c r="R289" s="19"/>
      <c r="S289" s="19"/>
      <c r="T289" s="19" t="str">
        <f>"788.62"</f>
        <v>788.62</v>
      </c>
      <c r="U289" s="19"/>
      <c r="V289" s="19"/>
      <c r="W289" s="19"/>
      <c r="X289" s="19"/>
      <c r="Y289" s="19"/>
      <c r="Z289" s="19"/>
      <c r="AA289" s="19"/>
      <c r="AB289" s="19" t="str">
        <f>"494.85"</f>
        <v>494.85</v>
      </c>
      <c r="AC289" s="19"/>
      <c r="AD289" s="19"/>
      <c r="AE289" s="19"/>
    </row>
    <row r="290" spans="1:31">
      <c r="A290" s="14">
        <v>288</v>
      </c>
      <c r="B290" s="14">
        <v>10880</v>
      </c>
      <c r="C290" s="14" t="s">
        <v>405</v>
      </c>
      <c r="D290" s="14" t="s">
        <v>40</v>
      </c>
      <c r="E290" s="15" t="str">
        <f>"649.88"</f>
        <v>649.88</v>
      </c>
      <c r="F290" s="15"/>
      <c r="G290" s="16" t="str">
        <f>"649.88"</f>
        <v>649.88</v>
      </c>
      <c r="H290" s="17">
        <f t="shared" si="4"/>
        <v>641.88</v>
      </c>
      <c r="I290" s="18"/>
      <c r="J290" s="19">
        <v>5</v>
      </c>
      <c r="K290" s="19">
        <v>2016</v>
      </c>
      <c r="L290" s="19"/>
      <c r="M290" s="19"/>
      <c r="N290" s="19"/>
      <c r="O290" s="19"/>
      <c r="P290" s="19"/>
      <c r="Q290" s="19"/>
      <c r="R290" s="19" t="str">
        <f>"727.05"</f>
        <v>727.05</v>
      </c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 t="str">
        <f>"572.71"</f>
        <v>572.71</v>
      </c>
      <c r="AE290" s="19"/>
    </row>
    <row r="291" spans="1:31">
      <c r="A291" s="14">
        <v>289</v>
      </c>
      <c r="B291" s="14">
        <v>10597</v>
      </c>
      <c r="C291" s="14" t="s">
        <v>406</v>
      </c>
      <c r="D291" s="14" t="s">
        <v>40</v>
      </c>
      <c r="E291" s="15" t="str">
        <f>"625.04"</f>
        <v>625.04</v>
      </c>
      <c r="F291" s="15"/>
      <c r="G291" s="16" t="str">
        <f>"653.04"</f>
        <v>653.04</v>
      </c>
      <c r="H291" s="17">
        <f t="shared" si="4"/>
        <v>645.04</v>
      </c>
      <c r="I291" s="18" t="s">
        <v>36</v>
      </c>
      <c r="J291" s="19">
        <v>1</v>
      </c>
      <c r="K291" s="19">
        <v>2016</v>
      </c>
      <c r="L291" s="19" t="str">
        <f>"625.04"</f>
        <v>625.04</v>
      </c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</row>
    <row r="292" spans="1:31">
      <c r="A292" s="14">
        <v>290</v>
      </c>
      <c r="B292" s="14">
        <v>10769</v>
      </c>
      <c r="C292" s="14" t="s">
        <v>407</v>
      </c>
      <c r="D292" s="14" t="s">
        <v>53</v>
      </c>
      <c r="E292" s="15" t="str">
        <f>"670.08"</f>
        <v>670.08</v>
      </c>
      <c r="F292" s="15"/>
      <c r="G292" s="16" t="str">
        <f>"670.08"</f>
        <v>670.08</v>
      </c>
      <c r="H292" s="17">
        <f t="shared" si="4"/>
        <v>662.08</v>
      </c>
      <c r="I292" s="18" t="s">
        <v>38</v>
      </c>
      <c r="J292" s="19">
        <v>4</v>
      </c>
      <c r="K292" s="19">
        <v>2016</v>
      </c>
      <c r="L292" s="19"/>
      <c r="M292" s="19"/>
      <c r="N292" s="19"/>
      <c r="O292" s="19"/>
      <c r="P292" s="19"/>
      <c r="Q292" s="19"/>
      <c r="R292" s="19"/>
      <c r="S292" s="19"/>
      <c r="T292" s="19" t="str">
        <f>"642.08"</f>
        <v>642.08</v>
      </c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</row>
    <row r="293" spans="1:31">
      <c r="A293" s="14">
        <v>291</v>
      </c>
      <c r="B293" s="14">
        <v>10802</v>
      </c>
      <c r="C293" s="14" t="s">
        <v>408</v>
      </c>
      <c r="D293" s="14" t="s">
        <v>53</v>
      </c>
      <c r="E293" s="15" t="str">
        <f>"680.64"</f>
        <v>680.64</v>
      </c>
      <c r="F293" s="15"/>
      <c r="G293" s="16" t="str">
        <f>"680.64"</f>
        <v>680.64</v>
      </c>
      <c r="H293" s="17">
        <f t="shared" si="4"/>
        <v>672.64</v>
      </c>
      <c r="I293" s="18" t="s">
        <v>38</v>
      </c>
      <c r="J293" s="19">
        <v>4</v>
      </c>
      <c r="K293" s="19">
        <v>2016</v>
      </c>
      <c r="L293" s="19"/>
      <c r="M293" s="19"/>
      <c r="N293" s="19"/>
      <c r="O293" s="19"/>
      <c r="P293" s="19"/>
      <c r="Q293" s="19"/>
      <c r="R293" s="19"/>
      <c r="S293" s="19"/>
      <c r="T293" s="19" t="str">
        <f>"652.64"</f>
        <v>652.64</v>
      </c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</row>
    <row r="294" spans="1:31">
      <c r="A294" s="14">
        <v>292</v>
      </c>
      <c r="B294" s="14">
        <v>10466</v>
      </c>
      <c r="C294" s="14" t="s">
        <v>409</v>
      </c>
      <c r="D294" s="14" t="s">
        <v>53</v>
      </c>
      <c r="E294" s="15" t="str">
        <f>"708.52"</f>
        <v>708.52</v>
      </c>
      <c r="F294" s="15"/>
      <c r="G294" s="16" t="str">
        <f>"708.52"</f>
        <v>708.52</v>
      </c>
      <c r="H294" s="17">
        <f t="shared" si="4"/>
        <v>700.52</v>
      </c>
      <c r="I294" s="18" t="s">
        <v>38</v>
      </c>
      <c r="J294" s="19">
        <v>4</v>
      </c>
      <c r="K294" s="19">
        <v>2016</v>
      </c>
      <c r="L294" s="19"/>
      <c r="M294" s="19"/>
      <c r="N294" s="19"/>
      <c r="O294" s="19"/>
      <c r="P294" s="19"/>
      <c r="Q294" s="19"/>
      <c r="R294" s="19"/>
      <c r="S294" s="19"/>
      <c r="T294" s="19" t="str">
        <f>"680.52"</f>
        <v>680.52</v>
      </c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</row>
    <row r="295" spans="1:31">
      <c r="A295" s="14">
        <v>293</v>
      </c>
      <c r="B295" s="14">
        <v>10144</v>
      </c>
      <c r="C295" s="14" t="s">
        <v>410</v>
      </c>
      <c r="D295" s="14" t="s">
        <v>53</v>
      </c>
      <c r="E295" s="15" t="str">
        <f>"712.36"</f>
        <v>712.36</v>
      </c>
      <c r="F295" s="15"/>
      <c r="G295" s="16" t="str">
        <f>"712.36"</f>
        <v>712.36</v>
      </c>
      <c r="H295" s="17">
        <f t="shared" si="4"/>
        <v>704.36</v>
      </c>
      <c r="I295" s="18" t="s">
        <v>38</v>
      </c>
      <c r="J295" s="19">
        <v>4</v>
      </c>
      <c r="K295" s="19">
        <v>2016</v>
      </c>
      <c r="L295" s="19"/>
      <c r="M295" s="19"/>
      <c r="N295" s="19"/>
      <c r="O295" s="19"/>
      <c r="P295" s="19"/>
      <c r="Q295" s="19"/>
      <c r="R295" s="19"/>
      <c r="S295" s="19"/>
      <c r="T295" s="19" t="str">
        <f>"684.36"</f>
        <v>684.36</v>
      </c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</row>
    <row r="296" spans="1:31">
      <c r="A296" s="14">
        <v>294</v>
      </c>
      <c r="B296" s="14">
        <v>10501</v>
      </c>
      <c r="C296" s="14" t="s">
        <v>411</v>
      </c>
      <c r="D296" s="14" t="s">
        <v>53</v>
      </c>
      <c r="E296" s="15" t="str">
        <f>"717.64"</f>
        <v>717.64</v>
      </c>
      <c r="F296" s="15"/>
      <c r="G296" s="16" t="str">
        <f>"717.64"</f>
        <v>717.64</v>
      </c>
      <c r="H296" s="17">
        <f t="shared" si="4"/>
        <v>709.64</v>
      </c>
      <c r="I296" s="18" t="s">
        <v>38</v>
      </c>
      <c r="J296" s="19">
        <v>4</v>
      </c>
      <c r="K296" s="19">
        <v>2016</v>
      </c>
      <c r="L296" s="19"/>
      <c r="M296" s="19"/>
      <c r="N296" s="19"/>
      <c r="O296" s="19"/>
      <c r="P296" s="19"/>
      <c r="Q296" s="19"/>
      <c r="R296" s="19"/>
      <c r="S296" s="19"/>
      <c r="T296" s="19" t="str">
        <f>"689.64"</f>
        <v>689.64</v>
      </c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</row>
    <row r="297" spans="1:31">
      <c r="A297" s="14">
        <v>295</v>
      </c>
      <c r="B297" s="14">
        <v>10716</v>
      </c>
      <c r="C297" s="14" t="s">
        <v>412</v>
      </c>
      <c r="D297" s="14" t="s">
        <v>40</v>
      </c>
      <c r="E297" s="15" t="str">
        <f>"708.44"</f>
        <v>708.44</v>
      </c>
      <c r="F297" s="15"/>
      <c r="G297" s="16" t="str">
        <f>"736.44"</f>
        <v>736.44</v>
      </c>
      <c r="H297" s="17">
        <f t="shared" si="4"/>
        <v>728.44</v>
      </c>
      <c r="I297" s="18" t="s">
        <v>36</v>
      </c>
      <c r="J297" s="19">
        <v>1</v>
      </c>
      <c r="K297" s="19">
        <v>2016</v>
      </c>
      <c r="L297" s="19" t="str">
        <f>"708.44"</f>
        <v>708.44</v>
      </c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</row>
    <row r="298" spans="1:31">
      <c r="A298" s="14">
        <v>296</v>
      </c>
      <c r="B298" s="14">
        <v>10143</v>
      </c>
      <c r="C298" s="14" t="s">
        <v>413</v>
      </c>
      <c r="D298" s="14" t="s">
        <v>53</v>
      </c>
      <c r="E298" s="15" t="str">
        <f>"740.70"</f>
        <v>740.70</v>
      </c>
      <c r="F298" s="15"/>
      <c r="G298" s="16" t="str">
        <f>"740.70"</f>
        <v>740.70</v>
      </c>
      <c r="H298" s="17">
        <f t="shared" si="4"/>
        <v>732.7</v>
      </c>
      <c r="I298" s="18" t="s">
        <v>38</v>
      </c>
      <c r="J298" s="19">
        <v>4</v>
      </c>
      <c r="K298" s="19">
        <v>2016</v>
      </c>
      <c r="L298" s="19"/>
      <c r="M298" s="19"/>
      <c r="N298" s="19"/>
      <c r="O298" s="19"/>
      <c r="P298" s="19"/>
      <c r="Q298" s="19"/>
      <c r="R298" s="19"/>
      <c r="S298" s="19"/>
      <c r="T298" s="19" t="str">
        <f>"712.70"</f>
        <v>712.70</v>
      </c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</row>
    <row r="299" spans="1:31">
      <c r="A299" s="14">
        <v>297</v>
      </c>
      <c r="B299" s="14">
        <v>10429</v>
      </c>
      <c r="C299" s="14" t="s">
        <v>414</v>
      </c>
      <c r="D299" s="14" t="s">
        <v>53</v>
      </c>
      <c r="E299" s="15" t="str">
        <f>"740.70"</f>
        <v>740.70</v>
      </c>
      <c r="F299" s="15"/>
      <c r="G299" s="16" t="str">
        <f>"740.70"</f>
        <v>740.70</v>
      </c>
      <c r="H299" s="17">
        <f t="shared" si="4"/>
        <v>732.7</v>
      </c>
      <c r="I299" s="18" t="s">
        <v>38</v>
      </c>
      <c r="J299" s="19">
        <v>4</v>
      </c>
      <c r="K299" s="19">
        <v>2016</v>
      </c>
      <c r="L299" s="19"/>
      <c r="M299" s="19"/>
      <c r="N299" s="19"/>
      <c r="O299" s="19"/>
      <c r="P299" s="19"/>
      <c r="Q299" s="19"/>
      <c r="R299" s="19"/>
      <c r="S299" s="19"/>
      <c r="T299" s="19" t="str">
        <f>"712.70"</f>
        <v>712.70</v>
      </c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</row>
    <row r="300" spans="1:31">
      <c r="A300" s="14">
        <v>298</v>
      </c>
      <c r="B300" s="14">
        <v>10697</v>
      </c>
      <c r="C300" s="14" t="s">
        <v>415</v>
      </c>
      <c r="D300" s="14" t="s">
        <v>53</v>
      </c>
      <c r="E300" s="15" t="str">
        <f>"673.54"</f>
        <v>673.54</v>
      </c>
      <c r="F300" s="15"/>
      <c r="G300" s="16" t="str">
        <f>"770.98"</f>
        <v>770.98</v>
      </c>
      <c r="H300" s="17">
        <f t="shared" si="4"/>
        <v>762.98</v>
      </c>
      <c r="I300" s="18" t="s">
        <v>38</v>
      </c>
      <c r="J300" s="19">
        <v>2</v>
      </c>
      <c r="K300" s="19">
        <v>2016</v>
      </c>
      <c r="L300" s="19" t="str">
        <f>"673.54"</f>
        <v>673.54</v>
      </c>
      <c r="M300" s="19"/>
      <c r="N300" s="19"/>
      <c r="O300" s="19"/>
      <c r="P300" s="19"/>
      <c r="Q300" s="19"/>
      <c r="R300" s="19"/>
      <c r="S300" s="19"/>
      <c r="T300" s="19" t="str">
        <f>"742.98"</f>
        <v>742.98</v>
      </c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</row>
    <row r="301" spans="1:31">
      <c r="A301" s="14">
        <v>299</v>
      </c>
      <c r="B301" s="14">
        <v>10196</v>
      </c>
      <c r="C301" s="14" t="s">
        <v>416</v>
      </c>
      <c r="D301" s="14" t="s">
        <v>53</v>
      </c>
      <c r="E301" s="15" t="str">
        <f>"795.48"</f>
        <v>795.48</v>
      </c>
      <c r="F301" s="15"/>
      <c r="G301" s="16" t="str">
        <f>"795.48"</f>
        <v>795.48</v>
      </c>
      <c r="H301" s="17">
        <f t="shared" si="4"/>
        <v>787.48</v>
      </c>
      <c r="I301" s="18" t="s">
        <v>38</v>
      </c>
      <c r="J301" s="19">
        <v>4</v>
      </c>
      <c r="K301" s="19">
        <v>2016</v>
      </c>
      <c r="L301" s="19"/>
      <c r="M301" s="19"/>
      <c r="N301" s="19"/>
      <c r="O301" s="19"/>
      <c r="P301" s="19"/>
      <c r="Q301" s="19"/>
      <c r="R301" s="19"/>
      <c r="S301" s="19"/>
      <c r="T301" s="19" t="str">
        <f>"767.48"</f>
        <v>767.48</v>
      </c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</row>
    <row r="302" spans="1:31">
      <c r="A302" s="14">
        <v>300</v>
      </c>
      <c r="B302" s="14">
        <v>10768</v>
      </c>
      <c r="C302" s="14" t="s">
        <v>417</v>
      </c>
      <c r="D302" s="14" t="s">
        <v>53</v>
      </c>
      <c r="E302" s="15" t="str">
        <f>"800.76"</f>
        <v>800.76</v>
      </c>
      <c r="F302" s="15"/>
      <c r="G302" s="16" t="str">
        <f>"800.76"</f>
        <v>800.76</v>
      </c>
      <c r="H302" s="17">
        <f t="shared" si="4"/>
        <v>792.76</v>
      </c>
      <c r="I302" s="18" t="s">
        <v>38</v>
      </c>
      <c r="J302" s="19">
        <v>4</v>
      </c>
      <c r="K302" s="19">
        <v>2016</v>
      </c>
      <c r="L302" s="19"/>
      <c r="M302" s="19"/>
      <c r="N302" s="19"/>
      <c r="O302" s="19"/>
      <c r="P302" s="19"/>
      <c r="Q302" s="19"/>
      <c r="R302" s="19"/>
      <c r="S302" s="19"/>
      <c r="T302" s="19" t="str">
        <f>"772.76"</f>
        <v>772.76</v>
      </c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</row>
    <row r="303" spans="1:31">
      <c r="A303" s="14">
        <v>301</v>
      </c>
      <c r="B303" s="14">
        <v>10145</v>
      </c>
      <c r="C303" s="14" t="s">
        <v>418</v>
      </c>
      <c r="D303" s="14" t="s">
        <v>53</v>
      </c>
      <c r="E303" s="15" t="str">
        <f>"619.28"</f>
        <v>619.28</v>
      </c>
      <c r="F303" s="15"/>
      <c r="G303" s="16" t="str">
        <f>"801.74"</f>
        <v>801.74</v>
      </c>
      <c r="H303" s="17">
        <f t="shared" si="4"/>
        <v>793.74</v>
      </c>
      <c r="I303" s="18" t="s">
        <v>38</v>
      </c>
      <c r="J303" s="19">
        <v>2</v>
      </c>
      <c r="K303" s="19">
        <v>2016</v>
      </c>
      <c r="L303" s="19" t="str">
        <f>"619.28"</f>
        <v>619.28</v>
      </c>
      <c r="M303" s="19"/>
      <c r="N303" s="19"/>
      <c r="O303" s="19"/>
      <c r="P303" s="19"/>
      <c r="Q303" s="19"/>
      <c r="R303" s="19"/>
      <c r="S303" s="19"/>
      <c r="T303" s="19" t="str">
        <f>"773.74"</f>
        <v>773.74</v>
      </c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</row>
    <row r="304" spans="1:31">
      <c r="A304" s="14">
        <v>302</v>
      </c>
      <c r="B304" s="14">
        <v>10808</v>
      </c>
      <c r="C304" s="14" t="s">
        <v>419</v>
      </c>
      <c r="D304" s="14" t="s">
        <v>53</v>
      </c>
      <c r="E304" s="15" t="str">
        <f>"809.90"</f>
        <v>809.90</v>
      </c>
      <c r="F304" s="15"/>
      <c r="G304" s="16" t="str">
        <f>"809.90"</f>
        <v>809.90</v>
      </c>
      <c r="H304" s="17">
        <f t="shared" si="4"/>
        <v>801.9</v>
      </c>
      <c r="I304" s="18" t="s">
        <v>38</v>
      </c>
      <c r="J304" s="19">
        <v>4</v>
      </c>
      <c r="K304" s="19">
        <v>2016</v>
      </c>
      <c r="L304" s="19"/>
      <c r="M304" s="19"/>
      <c r="N304" s="19"/>
      <c r="O304" s="19"/>
      <c r="P304" s="19"/>
      <c r="Q304" s="19"/>
      <c r="R304" s="19"/>
      <c r="S304" s="19"/>
      <c r="T304" s="19" t="str">
        <f>"781.90"</f>
        <v>781.90</v>
      </c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</row>
    <row r="305" spans="1:31">
      <c r="A305" s="14">
        <v>303</v>
      </c>
      <c r="B305" s="14">
        <v>10822</v>
      </c>
      <c r="C305" s="14" t="s">
        <v>420</v>
      </c>
      <c r="D305" s="14" t="s">
        <v>53</v>
      </c>
      <c r="E305" s="15" t="str">
        <f>"873.32"</f>
        <v>873.32</v>
      </c>
      <c r="F305" s="15"/>
      <c r="G305" s="16" t="str">
        <f>"873.32"</f>
        <v>873.32</v>
      </c>
      <c r="H305" s="17">
        <f t="shared" si="4"/>
        <v>865.32</v>
      </c>
      <c r="I305" s="18" t="s">
        <v>38</v>
      </c>
      <c r="J305" s="19">
        <v>4</v>
      </c>
      <c r="K305" s="19">
        <v>2016</v>
      </c>
      <c r="L305" s="19"/>
      <c r="M305" s="19"/>
      <c r="N305" s="19"/>
      <c r="O305" s="19"/>
      <c r="P305" s="19"/>
      <c r="Q305" s="19"/>
      <c r="R305" s="19"/>
      <c r="S305" s="19"/>
      <c r="T305" s="19" t="str">
        <f>"845.32"</f>
        <v>845.32</v>
      </c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</row>
    <row r="306" spans="1:31">
      <c r="A306" s="14">
        <v>304</v>
      </c>
      <c r="B306" s="14">
        <v>10959</v>
      </c>
      <c r="C306" s="14" t="s">
        <v>421</v>
      </c>
      <c r="D306" s="14" t="s">
        <v>53</v>
      </c>
      <c r="E306" s="15" t="str">
        <f>"877.64"</f>
        <v>877.64</v>
      </c>
      <c r="F306" s="15"/>
      <c r="G306" s="16" t="str">
        <f>"877.64"</f>
        <v>877.64</v>
      </c>
      <c r="H306" s="17">
        <f t="shared" si="4"/>
        <v>869.64</v>
      </c>
      <c r="I306" s="18" t="s">
        <v>38</v>
      </c>
      <c r="J306" s="19">
        <v>4</v>
      </c>
      <c r="K306" s="19">
        <v>2016</v>
      </c>
      <c r="L306" s="19"/>
      <c r="M306" s="19"/>
      <c r="N306" s="19"/>
      <c r="O306" s="19"/>
      <c r="P306" s="19"/>
      <c r="Q306" s="19"/>
      <c r="R306" s="19"/>
      <c r="S306" s="19"/>
      <c r="T306" s="19" t="str">
        <f>"849.64"</f>
        <v>849.64</v>
      </c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</row>
    <row r="307" spans="1:31">
      <c r="A307" s="14">
        <v>305</v>
      </c>
      <c r="B307" s="14">
        <v>10465</v>
      </c>
      <c r="C307" s="14" t="s">
        <v>422</v>
      </c>
      <c r="D307" s="14" t="s">
        <v>53</v>
      </c>
      <c r="E307" s="15" t="str">
        <f>"885.34"</f>
        <v>885.34</v>
      </c>
      <c r="F307" s="15"/>
      <c r="G307" s="16" t="str">
        <f>"885.34"</f>
        <v>885.34</v>
      </c>
      <c r="H307" s="17">
        <f t="shared" si="4"/>
        <v>877.34</v>
      </c>
      <c r="I307" s="18" t="s">
        <v>38</v>
      </c>
      <c r="J307" s="19">
        <v>4</v>
      </c>
      <c r="K307" s="19">
        <v>2016</v>
      </c>
      <c r="L307" s="19"/>
      <c r="M307" s="19"/>
      <c r="N307" s="19"/>
      <c r="O307" s="19"/>
      <c r="P307" s="19"/>
      <c r="Q307" s="19"/>
      <c r="R307" s="19"/>
      <c r="S307" s="19"/>
      <c r="T307" s="19" t="str">
        <f>"857.34"</f>
        <v>857.34</v>
      </c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</row>
    <row r="308" spans="1:31">
      <c r="A308" s="14">
        <v>306</v>
      </c>
      <c r="B308" s="14">
        <v>10500</v>
      </c>
      <c r="C308" s="14" t="s">
        <v>423</v>
      </c>
      <c r="D308" s="14" t="s">
        <v>53</v>
      </c>
      <c r="E308" s="15" t="str">
        <f>"949.24"</f>
        <v>949.24</v>
      </c>
      <c r="F308" s="15"/>
      <c r="G308" s="16" t="str">
        <f>"949.24"</f>
        <v>949.24</v>
      </c>
      <c r="H308" s="17">
        <f t="shared" si="4"/>
        <v>941.24</v>
      </c>
      <c r="I308" s="18" t="s">
        <v>38</v>
      </c>
      <c r="J308" s="19">
        <v>4</v>
      </c>
      <c r="K308" s="19">
        <v>2016</v>
      </c>
      <c r="L308" s="19"/>
      <c r="M308" s="19"/>
      <c r="N308" s="19"/>
      <c r="O308" s="19"/>
      <c r="P308" s="19"/>
      <c r="Q308" s="19"/>
      <c r="R308" s="19"/>
      <c r="S308" s="19"/>
      <c r="T308" s="19" t="str">
        <f>"921.24"</f>
        <v>921.24</v>
      </c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</row>
    <row r="309" spans="1:31">
      <c r="A309" s="14">
        <v>307</v>
      </c>
      <c r="B309" s="14">
        <v>10431</v>
      </c>
      <c r="C309" s="14" t="s">
        <v>424</v>
      </c>
      <c r="D309" s="14" t="s">
        <v>53</v>
      </c>
      <c r="E309" s="15" t="str">
        <f>"733.63"</f>
        <v>733.63</v>
      </c>
      <c r="F309" s="15"/>
      <c r="G309" s="16" t="str">
        <f>"950.68"</f>
        <v>950.68</v>
      </c>
      <c r="H309" s="17">
        <f t="shared" si="4"/>
        <v>942.68</v>
      </c>
      <c r="I309" s="18" t="s">
        <v>38</v>
      </c>
      <c r="J309" s="19">
        <v>2</v>
      </c>
      <c r="K309" s="19">
        <v>2016</v>
      </c>
      <c r="L309" s="19" t="str">
        <f>"733.63"</f>
        <v>733.63</v>
      </c>
      <c r="M309" s="19"/>
      <c r="N309" s="19"/>
      <c r="O309" s="19"/>
      <c r="P309" s="19"/>
      <c r="Q309" s="19"/>
      <c r="R309" s="19"/>
      <c r="S309" s="19"/>
      <c r="T309" s="19" t="str">
        <f>"922.68"</f>
        <v>922.68</v>
      </c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</row>
    <row r="310" spans="1:31">
      <c r="A310" s="14">
        <v>308</v>
      </c>
      <c r="B310" s="14">
        <v>10767</v>
      </c>
      <c r="C310" s="14" t="s">
        <v>425</v>
      </c>
      <c r="D310" s="14" t="s">
        <v>53</v>
      </c>
      <c r="E310" s="15" t="str">
        <f>"1028.52"</f>
        <v>1028.52</v>
      </c>
      <c r="F310" s="15"/>
      <c r="G310" s="16" t="str">
        <f>"1028.52"</f>
        <v>1028.52</v>
      </c>
      <c r="H310" s="17">
        <f t="shared" si="4"/>
        <v>1020.52</v>
      </c>
      <c r="I310" s="18" t="s">
        <v>38</v>
      </c>
      <c r="J310" s="19">
        <v>4</v>
      </c>
      <c r="K310" s="19">
        <v>2016</v>
      </c>
      <c r="L310" s="19"/>
      <c r="M310" s="19"/>
      <c r="N310" s="19"/>
      <c r="O310" s="19"/>
      <c r="P310" s="19"/>
      <c r="Q310" s="19"/>
      <c r="R310" s="19"/>
      <c r="S310" s="19"/>
      <c r="T310" s="19" t="str">
        <f>"1000.52"</f>
        <v>1000.52</v>
      </c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</row>
    <row r="311" spans="1:31">
      <c r="A311" s="14">
        <v>309</v>
      </c>
      <c r="B311" s="14">
        <v>10420</v>
      </c>
      <c r="C311" s="14" t="s">
        <v>426</v>
      </c>
      <c r="D311" s="14" t="s">
        <v>53</v>
      </c>
      <c r="E311" s="15" t="str">
        <f>"1040.52"</f>
        <v>1040.52</v>
      </c>
      <c r="F311" s="15"/>
      <c r="G311" s="16" t="str">
        <f>"1040.52"</f>
        <v>1040.52</v>
      </c>
      <c r="H311" s="17">
        <f t="shared" si="4"/>
        <v>1032.52</v>
      </c>
      <c r="I311" s="18" t="s">
        <v>38</v>
      </c>
      <c r="J311" s="19">
        <v>4</v>
      </c>
      <c r="K311" s="19">
        <v>2016</v>
      </c>
      <c r="L311" s="19"/>
      <c r="M311" s="19"/>
      <c r="N311" s="19"/>
      <c r="O311" s="19"/>
      <c r="P311" s="19"/>
      <c r="Q311" s="19"/>
      <c r="R311" s="19"/>
      <c r="S311" s="19"/>
      <c r="T311" s="19" t="str">
        <f>"1012.52"</f>
        <v>1012.52</v>
      </c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</row>
    <row r="312" spans="1:31">
      <c r="A312" s="14">
        <v>310</v>
      </c>
      <c r="B312" s="14">
        <v>10782</v>
      </c>
      <c r="C312" s="14" t="s">
        <v>427</v>
      </c>
      <c r="D312" s="14" t="s">
        <v>53</v>
      </c>
      <c r="E312" s="15" t="str">
        <f>"1135.66"</f>
        <v>1135.66</v>
      </c>
      <c r="F312" s="15"/>
      <c r="G312" s="16" t="str">
        <f>"1135.66"</f>
        <v>1135.66</v>
      </c>
      <c r="H312" s="17">
        <f t="shared" si="4"/>
        <v>1127.6600000000001</v>
      </c>
      <c r="I312" s="18" t="s">
        <v>38</v>
      </c>
      <c r="J312" s="19">
        <v>4</v>
      </c>
      <c r="K312" s="19">
        <v>2016</v>
      </c>
      <c r="L312" s="19"/>
      <c r="M312" s="19"/>
      <c r="N312" s="19"/>
      <c r="O312" s="19"/>
      <c r="P312" s="19"/>
      <c r="Q312" s="19"/>
      <c r="R312" s="19"/>
      <c r="S312" s="19"/>
      <c r="T312" s="19" t="str">
        <f>"1107.66"</f>
        <v>1107.66</v>
      </c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</row>
    <row r="313" spans="1:31">
      <c r="A313" s="14">
        <v>311</v>
      </c>
      <c r="B313" s="14">
        <v>10821</v>
      </c>
      <c r="C313" s="14" t="s">
        <v>428</v>
      </c>
      <c r="D313" s="14" t="s">
        <v>53</v>
      </c>
      <c r="E313" s="15" t="str">
        <f>"1157.76"</f>
        <v>1157.76</v>
      </c>
      <c r="F313" s="15"/>
      <c r="G313" s="16" t="str">
        <f>"1157.76"</f>
        <v>1157.76</v>
      </c>
      <c r="H313" s="17">
        <f t="shared" si="4"/>
        <v>1149.76</v>
      </c>
      <c r="I313" s="18" t="s">
        <v>38</v>
      </c>
      <c r="J313" s="19">
        <v>4</v>
      </c>
      <c r="K313" s="19">
        <v>2016</v>
      </c>
      <c r="L313" s="19"/>
      <c r="M313" s="19"/>
      <c r="N313" s="19"/>
      <c r="O313" s="19"/>
      <c r="P313" s="19"/>
      <c r="Q313" s="19"/>
      <c r="R313" s="19"/>
      <c r="S313" s="19"/>
      <c r="T313" s="19" t="str">
        <f>"1129.76"</f>
        <v>1129.76</v>
      </c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</row>
    <row r="314" spans="1:31">
      <c r="A314" s="14">
        <v>312</v>
      </c>
      <c r="B314" s="14">
        <v>10784</v>
      </c>
      <c r="C314" s="14" t="s">
        <v>429</v>
      </c>
      <c r="D314" s="14" t="s">
        <v>53</v>
      </c>
      <c r="E314" s="15" t="str">
        <f>"1250.98"</f>
        <v>1250.98</v>
      </c>
      <c r="F314" s="15"/>
      <c r="G314" s="16" t="str">
        <f>"1250.98"</f>
        <v>1250.98</v>
      </c>
      <c r="H314" s="17">
        <f t="shared" si="4"/>
        <v>1242.98</v>
      </c>
      <c r="I314" s="18" t="s">
        <v>38</v>
      </c>
      <c r="J314" s="19">
        <v>4</v>
      </c>
      <c r="K314" s="19">
        <v>2016</v>
      </c>
      <c r="L314" s="19"/>
      <c r="M314" s="19"/>
      <c r="N314" s="19"/>
      <c r="O314" s="19"/>
      <c r="P314" s="19"/>
      <c r="Q314" s="19"/>
      <c r="R314" s="19"/>
      <c r="S314" s="19"/>
      <c r="T314" s="19" t="str">
        <f>"1222.98"</f>
        <v>1222.98</v>
      </c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</row>
    <row r="315" spans="1:31">
      <c r="A315" s="14">
        <v>313</v>
      </c>
      <c r="B315" s="14">
        <v>10781</v>
      </c>
      <c r="C315" s="14" t="s">
        <v>430</v>
      </c>
      <c r="D315" s="14" t="s">
        <v>53</v>
      </c>
      <c r="E315" s="15" t="str">
        <f>"1261.56"</f>
        <v>1261.56</v>
      </c>
      <c r="F315" s="15"/>
      <c r="G315" s="16" t="str">
        <f>"1261.56"</f>
        <v>1261.56</v>
      </c>
      <c r="H315" s="17">
        <f t="shared" si="4"/>
        <v>1253.56</v>
      </c>
      <c r="I315" s="18" t="s">
        <v>38</v>
      </c>
      <c r="J315" s="19">
        <v>4</v>
      </c>
      <c r="K315" s="19">
        <v>2016</v>
      </c>
      <c r="L315" s="19"/>
      <c r="M315" s="19"/>
      <c r="N315" s="19"/>
      <c r="O315" s="19"/>
      <c r="P315" s="19"/>
      <c r="Q315" s="19"/>
      <c r="R315" s="19"/>
      <c r="S315" s="19"/>
      <c r="T315" s="19" t="str">
        <f>"1233.56"</f>
        <v>1233.56</v>
      </c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</row>
    <row r="316" spans="1:31">
      <c r="A316" s="14">
        <v>314</v>
      </c>
      <c r="B316" s="14">
        <v>10775</v>
      </c>
      <c r="C316" s="14" t="s">
        <v>431</v>
      </c>
      <c r="D316" s="14" t="s">
        <v>53</v>
      </c>
      <c r="E316" s="15" t="str">
        <f>"1426.36"</f>
        <v>1426.36</v>
      </c>
      <c r="F316" s="15"/>
      <c r="G316" s="16" t="str">
        <f>"1426.36"</f>
        <v>1426.36</v>
      </c>
      <c r="H316" s="17">
        <f t="shared" si="4"/>
        <v>1418.36</v>
      </c>
      <c r="I316" s="18" t="s">
        <v>38</v>
      </c>
      <c r="J316" s="19">
        <v>4</v>
      </c>
      <c r="K316" s="19">
        <v>2016</v>
      </c>
      <c r="L316" s="19"/>
      <c r="M316" s="19"/>
      <c r="N316" s="19"/>
      <c r="O316" s="19"/>
      <c r="P316" s="19"/>
      <c r="Q316" s="19"/>
      <c r="R316" s="19"/>
      <c r="S316" s="19"/>
      <c r="T316" s="19" t="str">
        <f>"1398.36"</f>
        <v>1398.36</v>
      </c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</row>
    <row r="317" spans="1:31">
      <c r="A317" s="14">
        <v>315</v>
      </c>
      <c r="B317" s="14">
        <v>10766</v>
      </c>
      <c r="C317" s="14" t="s">
        <v>432</v>
      </c>
      <c r="D317" s="14" t="s">
        <v>53</v>
      </c>
      <c r="E317" s="15" t="str">
        <f>"1429.24"</f>
        <v>1429.24</v>
      </c>
      <c r="F317" s="15"/>
      <c r="G317" s="16" t="str">
        <f>"1429.24"</f>
        <v>1429.24</v>
      </c>
      <c r="H317" s="17">
        <f t="shared" si="4"/>
        <v>1421.24</v>
      </c>
      <c r="I317" s="18" t="s">
        <v>38</v>
      </c>
      <c r="J317" s="19">
        <v>4</v>
      </c>
      <c r="K317" s="19">
        <v>2016</v>
      </c>
      <c r="L317" s="19"/>
      <c r="M317" s="19"/>
      <c r="N317" s="19"/>
      <c r="O317" s="19"/>
      <c r="P317" s="19"/>
      <c r="Q317" s="19"/>
      <c r="R317" s="19"/>
      <c r="S317" s="19"/>
      <c r="T317" s="19" t="str">
        <f>"1401.24"</f>
        <v>1401.24</v>
      </c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</row>
    <row r="318" spans="1:31">
      <c r="A318" s="14">
        <v>316</v>
      </c>
      <c r="B318" s="14">
        <v>10777</v>
      </c>
      <c r="C318" s="14" t="s">
        <v>433</v>
      </c>
      <c r="D318" s="14" t="s">
        <v>53</v>
      </c>
      <c r="E318" s="15" t="str">
        <f>"1444.62"</f>
        <v>1444.62</v>
      </c>
      <c r="F318" s="15"/>
      <c r="G318" s="16" t="str">
        <f>"1444.62"</f>
        <v>1444.62</v>
      </c>
      <c r="H318" s="17">
        <f t="shared" si="4"/>
        <v>1436.62</v>
      </c>
      <c r="I318" s="18" t="s">
        <v>38</v>
      </c>
      <c r="J318" s="19">
        <v>4</v>
      </c>
      <c r="K318" s="19">
        <v>2016</v>
      </c>
      <c r="L318" s="19"/>
      <c r="M318" s="19"/>
      <c r="N318" s="19"/>
      <c r="O318" s="19"/>
      <c r="P318" s="19"/>
      <c r="Q318" s="19"/>
      <c r="R318" s="19"/>
      <c r="S318" s="19"/>
      <c r="T318" s="19" t="str">
        <f>"1416.62"</f>
        <v>1416.62</v>
      </c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</row>
    <row r="319" spans="1:31">
      <c r="A319" s="14">
        <v>317</v>
      </c>
      <c r="B319" s="14">
        <v>10783</v>
      </c>
      <c r="C319" s="14" t="s">
        <v>434</v>
      </c>
      <c r="D319" s="14" t="s">
        <v>53</v>
      </c>
      <c r="E319" s="15" t="str">
        <f>"1488.82"</f>
        <v>1488.82</v>
      </c>
      <c r="F319" s="15"/>
      <c r="G319" s="16" t="str">
        <f>"1488.82"</f>
        <v>1488.82</v>
      </c>
      <c r="H319" s="17">
        <f t="shared" si="4"/>
        <v>1480.82</v>
      </c>
      <c r="I319" s="18" t="s">
        <v>38</v>
      </c>
      <c r="J319" s="19">
        <v>4</v>
      </c>
      <c r="K319" s="19">
        <v>2016</v>
      </c>
      <c r="L319" s="19"/>
      <c r="M319" s="19"/>
      <c r="N319" s="19"/>
      <c r="O319" s="19"/>
      <c r="P319" s="19"/>
      <c r="Q319" s="19"/>
      <c r="R319" s="19"/>
      <c r="S319" s="19"/>
      <c r="T319" s="19" t="str">
        <f>"1460.82"</f>
        <v>1460.82</v>
      </c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</row>
    <row r="320" spans="1:31">
      <c r="A320" s="14">
        <v>318</v>
      </c>
      <c r="B320" s="14">
        <v>10776</v>
      </c>
      <c r="C320" s="14" t="s">
        <v>435</v>
      </c>
      <c r="D320" s="14" t="s">
        <v>53</v>
      </c>
      <c r="E320" s="15" t="str">
        <f>"1614.22"</f>
        <v>1614.22</v>
      </c>
      <c r="F320" s="15"/>
      <c r="G320" s="16" t="str">
        <f>"1614.22"</f>
        <v>1614.22</v>
      </c>
      <c r="H320" s="17">
        <f t="shared" si="4"/>
        <v>1606.22</v>
      </c>
      <c r="I320" s="18" t="s">
        <v>38</v>
      </c>
      <c r="J320" s="19">
        <v>4</v>
      </c>
      <c r="K320" s="19">
        <v>2016</v>
      </c>
      <c r="L320" s="19"/>
      <c r="M320" s="19"/>
      <c r="N320" s="19"/>
      <c r="O320" s="19"/>
      <c r="P320" s="19"/>
      <c r="Q320" s="19"/>
      <c r="R320" s="19"/>
      <c r="S320" s="19"/>
      <c r="T320" s="19" t="str">
        <f>"1586.22"</f>
        <v>1586.22</v>
      </c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</row>
    <row r="321" spans="1:31">
      <c r="A321" s="14">
        <v>319</v>
      </c>
      <c r="B321" s="14">
        <v>10698</v>
      </c>
      <c r="C321" s="14" t="s">
        <v>436</v>
      </c>
      <c r="D321" s="14" t="s">
        <v>165</v>
      </c>
      <c r="E321" s="15" t="str">
        <f>"1743.21"</f>
        <v>1743.21</v>
      </c>
      <c r="F321" s="15"/>
      <c r="G321" s="16" t="str">
        <f>"1771.21"</f>
        <v>1771.21</v>
      </c>
      <c r="H321" s="17">
        <f t="shared" si="4"/>
        <v>1763.21</v>
      </c>
      <c r="I321" s="18" t="s">
        <v>36</v>
      </c>
      <c r="J321" s="19">
        <v>1</v>
      </c>
      <c r="K321" s="19">
        <v>2016</v>
      </c>
      <c r="L321" s="19" t="str">
        <f>"1743.21"</f>
        <v>1743.21</v>
      </c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</row>
    <row r="322" spans="1:31">
      <c r="A322" s="14">
        <v>320</v>
      </c>
      <c r="B322" s="14">
        <v>10432</v>
      </c>
      <c r="C322" s="14" t="s">
        <v>437</v>
      </c>
      <c r="D322" s="14" t="s">
        <v>53</v>
      </c>
      <c r="E322" s="15" t="str">
        <f>"1113.16"</f>
        <v>1113.16</v>
      </c>
      <c r="F322" s="15"/>
      <c r="G322" s="16" t="str">
        <f>"2008.70"</f>
        <v>2008.70</v>
      </c>
      <c r="H322" s="17">
        <f t="shared" si="4"/>
        <v>2000.7</v>
      </c>
      <c r="I322" s="18" t="s">
        <v>38</v>
      </c>
      <c r="J322" s="19">
        <v>2</v>
      </c>
      <c r="K322" s="19">
        <v>2016</v>
      </c>
      <c r="L322" s="19" t="str">
        <f>"1113.16"</f>
        <v>1113.16</v>
      </c>
      <c r="M322" s="19"/>
      <c r="N322" s="19"/>
      <c r="O322" s="19"/>
      <c r="P322" s="19"/>
      <c r="Q322" s="19"/>
      <c r="R322" s="19"/>
      <c r="S322" s="19"/>
      <c r="T322" s="19" t="str">
        <f>"1980.70"</f>
        <v>1980.70</v>
      </c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</row>
  </sheetData>
  <sheetProtection algorithmName="SHA-512" hashValue="qkrdWts/AddW0tuKnFTwfDgioJlyQ1Ny1KLyNswKMmpoLPueOyOhmCMnJcZRIv51ee5UJrxnjwTeoobBKZ+Arg==" saltValue="x8fBZSXlaojihDtL9/4nuQ==" spinCount="100000" sheet="1" objects="1" scenarios="1" selectLockedCells="1" sort="0" autoFilter="0" selectUnlockedCells="1"/>
  <autoFilter ref="A2:AE322"/>
  <phoneticPr fontId="2"/>
  <pageMargins left="0.23622047244094491" right="0.23622047244094491" top="0.15748031496062992" bottom="0.15748031496062992" header="0.31496062992125984" footer="0.31496062992125984"/>
  <pageSetup paperSize="9" scale="35" fitToHeight="0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女子SL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</dc:creator>
  <cp:lastModifiedBy>OST</cp:lastModifiedBy>
  <dcterms:created xsi:type="dcterms:W3CDTF">2016-08-31T07:12:15Z</dcterms:created>
  <dcterms:modified xsi:type="dcterms:W3CDTF">2016-08-31T07:13:43Z</dcterms:modified>
</cp:coreProperties>
</file>