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322"/>
  <workbookPr showInkAnnotation="0" autoCompressPictures="0"/>
  <bookViews>
    <workbookView xWindow="3280" yWindow="560" windowWidth="25040" windowHeight="17820" tabRatio="500"/>
  </bookViews>
  <sheets>
    <sheet name="女子GS" sheetId="1" r:id="rId1"/>
  </sheets>
  <definedNames>
    <definedName name="_xlnm._FilterDatabase" localSheetId="0" hidden="1">女子GS!$A$2:$AE$356</definedName>
    <definedName name="_xlnm.Print_Titles" localSheetId="0">女子GS!$1:$2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56" i="1" l="1"/>
  <c r="G356" i="1"/>
  <c r="E356" i="1"/>
  <c r="W355" i="1"/>
  <c r="G355" i="1"/>
  <c r="E355" i="1"/>
  <c r="W354" i="1"/>
  <c r="G354" i="1"/>
  <c r="E354" i="1"/>
  <c r="W353" i="1"/>
  <c r="G353" i="1"/>
  <c r="E353" i="1"/>
  <c r="K352" i="1"/>
  <c r="G352" i="1"/>
  <c r="E352" i="1"/>
  <c r="K351" i="1"/>
  <c r="G351" i="1"/>
  <c r="E351" i="1"/>
  <c r="W350" i="1"/>
  <c r="G350" i="1"/>
  <c r="E350" i="1"/>
  <c r="N349" i="1"/>
  <c r="G349" i="1"/>
  <c r="E349" i="1"/>
  <c r="K348" i="1"/>
  <c r="G348" i="1"/>
  <c r="E348" i="1"/>
  <c r="T347" i="1"/>
  <c r="K347" i="1"/>
  <c r="G347" i="1"/>
  <c r="E347" i="1"/>
  <c r="P346" i="1"/>
  <c r="G346" i="1"/>
  <c r="E346" i="1"/>
  <c r="W345" i="1"/>
  <c r="G345" i="1"/>
  <c r="E345" i="1"/>
  <c r="Z344" i="1"/>
  <c r="U344" i="1"/>
  <c r="G344" i="1"/>
  <c r="E344" i="1"/>
  <c r="W343" i="1"/>
  <c r="G343" i="1"/>
  <c r="E343" i="1"/>
  <c r="W342" i="1"/>
  <c r="G342" i="1"/>
  <c r="E342" i="1"/>
  <c r="K341" i="1"/>
  <c r="G341" i="1"/>
  <c r="E341" i="1"/>
  <c r="K340" i="1"/>
  <c r="G340" i="1"/>
  <c r="E340" i="1"/>
  <c r="K339" i="1"/>
  <c r="G339" i="1"/>
  <c r="E339" i="1"/>
  <c r="W338" i="1"/>
  <c r="G338" i="1"/>
  <c r="E338" i="1"/>
  <c r="W337" i="1"/>
  <c r="G337" i="1"/>
  <c r="E337" i="1"/>
  <c r="K336" i="1"/>
  <c r="G336" i="1"/>
  <c r="E336" i="1"/>
  <c r="N335" i="1"/>
  <c r="G335" i="1"/>
  <c r="E335" i="1"/>
  <c r="W334" i="1"/>
  <c r="G334" i="1"/>
  <c r="E334" i="1"/>
  <c r="U333" i="1"/>
  <c r="K333" i="1"/>
  <c r="G333" i="1"/>
  <c r="E333" i="1"/>
  <c r="N332" i="1"/>
  <c r="G332" i="1"/>
  <c r="E332" i="1"/>
  <c r="P331" i="1"/>
  <c r="N331" i="1"/>
  <c r="G331" i="1"/>
  <c r="E331" i="1"/>
  <c r="W330" i="1"/>
  <c r="K330" i="1"/>
  <c r="G330" i="1"/>
  <c r="E330" i="1"/>
  <c r="K329" i="1"/>
  <c r="G329" i="1"/>
  <c r="E329" i="1"/>
  <c r="U328" i="1"/>
  <c r="K328" i="1"/>
  <c r="G328" i="1"/>
  <c r="E328" i="1"/>
  <c r="K327" i="1"/>
  <c r="G327" i="1"/>
  <c r="E327" i="1"/>
  <c r="W326" i="1"/>
  <c r="K326" i="1"/>
  <c r="G326" i="1"/>
  <c r="E326" i="1"/>
  <c r="W325" i="1"/>
  <c r="G325" i="1"/>
  <c r="E325" i="1"/>
  <c r="K324" i="1"/>
  <c r="G324" i="1"/>
  <c r="E324" i="1"/>
  <c r="K323" i="1"/>
  <c r="G323" i="1"/>
  <c r="E323" i="1"/>
  <c r="W322" i="1"/>
  <c r="G322" i="1"/>
  <c r="E322" i="1"/>
  <c r="P321" i="1"/>
  <c r="N321" i="1"/>
  <c r="G321" i="1"/>
  <c r="E321" i="1"/>
  <c r="W320" i="1"/>
  <c r="K320" i="1"/>
  <c r="G320" i="1"/>
  <c r="E320" i="1"/>
  <c r="K319" i="1"/>
  <c r="G319" i="1"/>
  <c r="E319" i="1"/>
  <c r="P318" i="1"/>
  <c r="N318" i="1"/>
  <c r="G318" i="1"/>
  <c r="E318" i="1"/>
  <c r="N317" i="1"/>
  <c r="G317" i="1"/>
  <c r="E317" i="1"/>
  <c r="W316" i="1"/>
  <c r="G316" i="1"/>
  <c r="E316" i="1"/>
  <c r="Z315" i="1"/>
  <c r="U315" i="1"/>
  <c r="G315" i="1"/>
  <c r="E315" i="1"/>
  <c r="N314" i="1"/>
  <c r="G314" i="1"/>
  <c r="E314" i="1"/>
  <c r="W313" i="1"/>
  <c r="K313" i="1"/>
  <c r="G313" i="1"/>
  <c r="E313" i="1"/>
  <c r="Z312" i="1"/>
  <c r="U312" i="1"/>
  <c r="K312" i="1"/>
  <c r="G312" i="1"/>
  <c r="E312" i="1"/>
  <c r="P311" i="1"/>
  <c r="G311" i="1"/>
  <c r="E311" i="1"/>
  <c r="Z310" i="1"/>
  <c r="U310" i="1"/>
  <c r="K310" i="1"/>
  <c r="G310" i="1"/>
  <c r="E310" i="1"/>
  <c r="U309" i="1"/>
  <c r="K309" i="1"/>
  <c r="G309" i="1"/>
  <c r="E309" i="1"/>
  <c r="T308" i="1"/>
  <c r="K308" i="1"/>
  <c r="G308" i="1"/>
  <c r="E308" i="1"/>
  <c r="W307" i="1"/>
  <c r="G307" i="1"/>
  <c r="E307" i="1"/>
  <c r="P306" i="1"/>
  <c r="N306" i="1"/>
  <c r="G306" i="1"/>
  <c r="E306" i="1"/>
  <c r="Z305" i="1"/>
  <c r="U305" i="1"/>
  <c r="K305" i="1"/>
  <c r="G305" i="1"/>
  <c r="E305" i="1"/>
  <c r="AE304" i="1"/>
  <c r="AD304" i="1"/>
  <c r="W304" i="1"/>
  <c r="G304" i="1"/>
  <c r="E304" i="1"/>
  <c r="U303" i="1"/>
  <c r="K303" i="1"/>
  <c r="G303" i="1"/>
  <c r="E303" i="1"/>
  <c r="Z302" i="1"/>
  <c r="U302" i="1"/>
  <c r="K302" i="1"/>
  <c r="G302" i="1"/>
  <c r="E302" i="1"/>
  <c r="AD301" i="1"/>
  <c r="K301" i="1"/>
  <c r="G301" i="1"/>
  <c r="E301" i="1"/>
  <c r="W300" i="1"/>
  <c r="S300" i="1"/>
  <c r="G300" i="1"/>
  <c r="E300" i="1"/>
  <c r="AE299" i="1"/>
  <c r="AD299" i="1"/>
  <c r="X299" i="1"/>
  <c r="T299" i="1"/>
  <c r="K299" i="1"/>
  <c r="G299" i="1"/>
  <c r="E299" i="1"/>
  <c r="Z298" i="1"/>
  <c r="U298" i="1"/>
  <c r="K298" i="1"/>
  <c r="G298" i="1"/>
  <c r="E298" i="1"/>
  <c r="P297" i="1"/>
  <c r="N297" i="1"/>
  <c r="G297" i="1"/>
  <c r="E297" i="1"/>
  <c r="W296" i="1"/>
  <c r="K296" i="1"/>
  <c r="G296" i="1"/>
  <c r="E296" i="1"/>
  <c r="W295" i="1"/>
  <c r="K295" i="1"/>
  <c r="G295" i="1"/>
  <c r="E295" i="1"/>
  <c r="K294" i="1"/>
  <c r="G294" i="1"/>
  <c r="E294" i="1"/>
  <c r="AE293" i="1"/>
  <c r="T293" i="1"/>
  <c r="K293" i="1"/>
  <c r="G293" i="1"/>
  <c r="E293" i="1"/>
  <c r="K292" i="1"/>
  <c r="G292" i="1"/>
  <c r="E292" i="1"/>
  <c r="P291" i="1"/>
  <c r="N291" i="1"/>
  <c r="G291" i="1"/>
  <c r="E291" i="1"/>
  <c r="U290" i="1"/>
  <c r="K290" i="1"/>
  <c r="G290" i="1"/>
  <c r="E290" i="1"/>
  <c r="K289" i="1"/>
  <c r="G289" i="1"/>
  <c r="E289" i="1"/>
  <c r="P288" i="1"/>
  <c r="N288" i="1"/>
  <c r="K288" i="1"/>
  <c r="G288" i="1"/>
  <c r="E288" i="1"/>
  <c r="K287" i="1"/>
  <c r="G287" i="1"/>
  <c r="E287" i="1"/>
  <c r="P286" i="1"/>
  <c r="N286" i="1"/>
  <c r="K286" i="1"/>
  <c r="G286" i="1"/>
  <c r="E286" i="1"/>
  <c r="R285" i="1"/>
  <c r="N285" i="1"/>
  <c r="G285" i="1"/>
  <c r="E285" i="1"/>
  <c r="K284" i="1"/>
  <c r="G284" i="1"/>
  <c r="E284" i="1"/>
  <c r="U283" i="1"/>
  <c r="K283" i="1"/>
  <c r="G283" i="1"/>
  <c r="E283" i="1"/>
  <c r="P282" i="1"/>
  <c r="N282" i="1"/>
  <c r="K282" i="1"/>
  <c r="G282" i="1"/>
  <c r="E282" i="1"/>
  <c r="N281" i="1"/>
  <c r="G281" i="1"/>
  <c r="E281" i="1"/>
  <c r="K280" i="1"/>
  <c r="G280" i="1"/>
  <c r="E280" i="1"/>
  <c r="Z279" i="1"/>
  <c r="U279" i="1"/>
  <c r="G279" i="1"/>
  <c r="E279" i="1"/>
  <c r="R278" i="1"/>
  <c r="K278" i="1"/>
  <c r="G278" i="1"/>
  <c r="E278" i="1"/>
  <c r="Z277" i="1"/>
  <c r="G277" i="1"/>
  <c r="E277" i="1"/>
  <c r="W276" i="1"/>
  <c r="K276" i="1"/>
  <c r="G276" i="1"/>
  <c r="E276" i="1"/>
  <c r="K275" i="1"/>
  <c r="G275" i="1"/>
  <c r="E275" i="1"/>
  <c r="N274" i="1"/>
  <c r="K274" i="1"/>
  <c r="G274" i="1"/>
  <c r="E274" i="1"/>
  <c r="W273" i="1"/>
  <c r="K273" i="1"/>
  <c r="G273" i="1"/>
  <c r="E273" i="1"/>
  <c r="Z272" i="1"/>
  <c r="U272" i="1"/>
  <c r="K272" i="1"/>
  <c r="G272" i="1"/>
  <c r="E272" i="1"/>
  <c r="K271" i="1"/>
  <c r="G271" i="1"/>
  <c r="E271" i="1"/>
  <c r="W270" i="1"/>
  <c r="G270" i="1"/>
  <c r="E270" i="1"/>
  <c r="Z269" i="1"/>
  <c r="U269" i="1"/>
  <c r="G269" i="1"/>
  <c r="E269" i="1"/>
  <c r="K268" i="1"/>
  <c r="G268" i="1"/>
  <c r="E268" i="1"/>
  <c r="K267" i="1"/>
  <c r="G267" i="1"/>
  <c r="E267" i="1"/>
  <c r="X266" i="1"/>
  <c r="W266" i="1"/>
  <c r="K266" i="1"/>
  <c r="G266" i="1"/>
  <c r="E266" i="1"/>
  <c r="K265" i="1"/>
  <c r="G265" i="1"/>
  <c r="E265" i="1"/>
  <c r="P264" i="1"/>
  <c r="N264" i="1"/>
  <c r="K264" i="1"/>
  <c r="G264" i="1"/>
  <c r="E264" i="1"/>
  <c r="Y263" i="1"/>
  <c r="G263" i="1"/>
  <c r="E263" i="1"/>
  <c r="N262" i="1"/>
  <c r="K262" i="1"/>
  <c r="G262" i="1"/>
  <c r="E262" i="1"/>
  <c r="K261" i="1"/>
  <c r="G261" i="1"/>
  <c r="E261" i="1"/>
  <c r="P260" i="1"/>
  <c r="N260" i="1"/>
  <c r="G260" i="1"/>
  <c r="E260" i="1"/>
  <c r="AC259" i="1"/>
  <c r="K259" i="1"/>
  <c r="G259" i="1"/>
  <c r="E259" i="1"/>
  <c r="AE258" i="1"/>
  <c r="AD258" i="1"/>
  <c r="W258" i="1"/>
  <c r="S258" i="1"/>
  <c r="G258" i="1"/>
  <c r="E258" i="1"/>
  <c r="T257" i="1"/>
  <c r="K257" i="1"/>
  <c r="G257" i="1"/>
  <c r="E257" i="1"/>
  <c r="V256" i="1"/>
  <c r="U256" i="1"/>
  <c r="K256" i="1"/>
  <c r="G256" i="1"/>
  <c r="E256" i="1"/>
  <c r="W255" i="1"/>
  <c r="K255" i="1"/>
  <c r="G255" i="1"/>
  <c r="E255" i="1"/>
  <c r="AA254" i="1"/>
  <c r="Z254" i="1"/>
  <c r="U254" i="1"/>
  <c r="K254" i="1"/>
  <c r="G254" i="1"/>
  <c r="E254" i="1"/>
  <c r="W253" i="1"/>
  <c r="S253" i="1"/>
  <c r="O253" i="1"/>
  <c r="G253" i="1"/>
  <c r="E253" i="1"/>
  <c r="AD252" i="1"/>
  <c r="W252" i="1"/>
  <c r="G252" i="1"/>
  <c r="E252" i="1"/>
  <c r="AA251" i="1"/>
  <c r="Z251" i="1"/>
  <c r="U251" i="1"/>
  <c r="G251" i="1"/>
  <c r="E251" i="1"/>
  <c r="AB250" i="1"/>
  <c r="K250" i="1"/>
  <c r="G250" i="1"/>
  <c r="E250" i="1"/>
  <c r="K249" i="1"/>
  <c r="G249" i="1"/>
  <c r="E249" i="1"/>
  <c r="K248" i="1"/>
  <c r="G248" i="1"/>
  <c r="E248" i="1"/>
  <c r="AE247" i="1"/>
  <c r="X247" i="1"/>
  <c r="K247" i="1"/>
  <c r="G247" i="1"/>
  <c r="E247" i="1"/>
  <c r="W246" i="1"/>
  <c r="G246" i="1"/>
  <c r="E246" i="1"/>
  <c r="S245" i="1"/>
  <c r="K245" i="1"/>
  <c r="G245" i="1"/>
  <c r="E245" i="1"/>
  <c r="AC244" i="1"/>
  <c r="AB244" i="1"/>
  <c r="Y244" i="1"/>
  <c r="K244" i="1"/>
  <c r="G244" i="1"/>
  <c r="E244" i="1"/>
  <c r="AA243" i="1"/>
  <c r="Z243" i="1"/>
  <c r="U243" i="1"/>
  <c r="G243" i="1"/>
  <c r="E243" i="1"/>
  <c r="K242" i="1"/>
  <c r="G242" i="1"/>
  <c r="E242" i="1"/>
  <c r="K241" i="1"/>
  <c r="G241" i="1"/>
  <c r="E241" i="1"/>
  <c r="AA240" i="1"/>
  <c r="Z240" i="1"/>
  <c r="V240" i="1"/>
  <c r="U240" i="1"/>
  <c r="K240" i="1"/>
  <c r="G240" i="1"/>
  <c r="E240" i="1"/>
  <c r="AE239" i="1"/>
  <c r="W239" i="1"/>
  <c r="K239" i="1"/>
  <c r="G239" i="1"/>
  <c r="E239" i="1"/>
  <c r="AE238" i="1"/>
  <c r="W238" i="1"/>
  <c r="K238" i="1"/>
  <c r="G238" i="1"/>
  <c r="E238" i="1"/>
  <c r="K237" i="1"/>
  <c r="G237" i="1"/>
  <c r="E237" i="1"/>
  <c r="R236" i="1"/>
  <c r="Q236" i="1"/>
  <c r="N236" i="1"/>
  <c r="K236" i="1"/>
  <c r="G236" i="1"/>
  <c r="E236" i="1"/>
  <c r="P235" i="1"/>
  <c r="N235" i="1"/>
  <c r="G235" i="1"/>
  <c r="E235" i="1"/>
  <c r="K234" i="1"/>
  <c r="G234" i="1"/>
  <c r="E234" i="1"/>
  <c r="S233" i="1"/>
  <c r="O233" i="1"/>
  <c r="G233" i="1"/>
  <c r="E233" i="1"/>
  <c r="Y232" i="1"/>
  <c r="K232" i="1"/>
  <c r="G232" i="1"/>
  <c r="E232" i="1"/>
  <c r="AD231" i="1"/>
  <c r="AC231" i="1"/>
  <c r="G231" i="1"/>
  <c r="E231" i="1"/>
  <c r="K230" i="1"/>
  <c r="G230" i="1"/>
  <c r="E230" i="1"/>
  <c r="K229" i="1"/>
  <c r="G229" i="1"/>
  <c r="E229" i="1"/>
  <c r="Q228" i="1"/>
  <c r="G228" i="1"/>
  <c r="E228" i="1"/>
  <c r="Y227" i="1"/>
  <c r="T227" i="1"/>
  <c r="K227" i="1"/>
  <c r="G227" i="1"/>
  <c r="E227" i="1"/>
  <c r="T226" i="1"/>
  <c r="M226" i="1"/>
  <c r="L226" i="1"/>
  <c r="K226" i="1"/>
  <c r="G226" i="1"/>
  <c r="E226" i="1"/>
  <c r="P225" i="1"/>
  <c r="N225" i="1"/>
  <c r="K225" i="1"/>
  <c r="G225" i="1"/>
  <c r="E225" i="1"/>
  <c r="T224" i="1"/>
  <c r="G224" i="1"/>
  <c r="E224" i="1"/>
  <c r="X223" i="1"/>
  <c r="G223" i="1"/>
  <c r="E223" i="1"/>
  <c r="AA222" i="1"/>
  <c r="Z222" i="1"/>
  <c r="V222" i="1"/>
  <c r="U222" i="1"/>
  <c r="K222" i="1"/>
  <c r="G222" i="1"/>
  <c r="E222" i="1"/>
  <c r="AE221" i="1"/>
  <c r="W221" i="1"/>
  <c r="S221" i="1"/>
  <c r="K221" i="1"/>
  <c r="G221" i="1"/>
  <c r="E221" i="1"/>
  <c r="K220" i="1"/>
  <c r="G220" i="1"/>
  <c r="E220" i="1"/>
  <c r="AE219" i="1"/>
  <c r="AD219" i="1"/>
  <c r="W219" i="1"/>
  <c r="S219" i="1"/>
  <c r="G219" i="1"/>
  <c r="E219" i="1"/>
  <c r="AE218" i="1"/>
  <c r="AA218" i="1"/>
  <c r="Z218" i="1"/>
  <c r="V218" i="1"/>
  <c r="U218" i="1"/>
  <c r="K218" i="1"/>
  <c r="G218" i="1"/>
  <c r="E218" i="1"/>
  <c r="K217" i="1"/>
  <c r="G217" i="1"/>
  <c r="E217" i="1"/>
  <c r="W216" i="1"/>
  <c r="S216" i="1"/>
  <c r="K216" i="1"/>
  <c r="G216" i="1"/>
  <c r="E216" i="1"/>
  <c r="AD215" i="1"/>
  <c r="AA215" i="1"/>
  <c r="Z215" i="1"/>
  <c r="V215" i="1"/>
  <c r="U215" i="1"/>
  <c r="M215" i="1"/>
  <c r="L215" i="1"/>
  <c r="K215" i="1"/>
  <c r="G215" i="1"/>
  <c r="E215" i="1"/>
  <c r="K214" i="1"/>
  <c r="G214" i="1"/>
  <c r="E214" i="1"/>
  <c r="Y213" i="1"/>
  <c r="K213" i="1"/>
  <c r="G213" i="1"/>
  <c r="E213" i="1"/>
  <c r="K212" i="1"/>
  <c r="G212" i="1"/>
  <c r="E212" i="1"/>
  <c r="K211" i="1"/>
  <c r="G211" i="1"/>
  <c r="E211" i="1"/>
  <c r="AE210" i="1"/>
  <c r="T210" i="1"/>
  <c r="K210" i="1"/>
  <c r="G210" i="1"/>
  <c r="E210" i="1"/>
  <c r="AE209" i="1"/>
  <c r="AD209" i="1"/>
  <c r="T209" i="1"/>
  <c r="G209" i="1"/>
  <c r="E209" i="1"/>
  <c r="AA208" i="1"/>
  <c r="Z208" i="1"/>
  <c r="G208" i="1"/>
  <c r="E208" i="1"/>
  <c r="K207" i="1"/>
  <c r="G207" i="1"/>
  <c r="E207" i="1"/>
  <c r="K206" i="1"/>
  <c r="G206" i="1"/>
  <c r="E206" i="1"/>
  <c r="K205" i="1"/>
  <c r="G205" i="1"/>
  <c r="E205" i="1"/>
  <c r="W204" i="1"/>
  <c r="S204" i="1"/>
  <c r="O204" i="1"/>
  <c r="K204" i="1"/>
  <c r="G204" i="1"/>
  <c r="E204" i="1"/>
  <c r="Q203" i="1"/>
  <c r="G203" i="1"/>
  <c r="E203" i="1"/>
  <c r="P202" i="1"/>
  <c r="N202" i="1"/>
  <c r="G202" i="1"/>
  <c r="E202" i="1"/>
  <c r="K201" i="1"/>
  <c r="G201" i="1"/>
  <c r="E201" i="1"/>
  <c r="K200" i="1"/>
  <c r="G200" i="1"/>
  <c r="E200" i="1"/>
  <c r="K199" i="1"/>
  <c r="G199" i="1"/>
  <c r="E199" i="1"/>
  <c r="K198" i="1"/>
  <c r="G198" i="1"/>
  <c r="E198" i="1"/>
  <c r="K197" i="1"/>
  <c r="G197" i="1"/>
  <c r="E197" i="1"/>
  <c r="N196" i="1"/>
  <c r="G196" i="1"/>
  <c r="E196" i="1"/>
  <c r="AD195" i="1"/>
  <c r="T195" i="1"/>
  <c r="K195" i="1"/>
  <c r="G195" i="1"/>
  <c r="E195" i="1"/>
  <c r="AE194" i="1"/>
  <c r="AC194" i="1"/>
  <c r="X194" i="1"/>
  <c r="K194" i="1"/>
  <c r="G194" i="1"/>
  <c r="E194" i="1"/>
  <c r="AA193" i="1"/>
  <c r="Z193" i="1"/>
  <c r="U193" i="1"/>
  <c r="G193" i="1"/>
  <c r="E193" i="1"/>
  <c r="K192" i="1"/>
  <c r="G192" i="1"/>
  <c r="E192" i="1"/>
  <c r="K191" i="1"/>
  <c r="G191" i="1"/>
  <c r="E191" i="1"/>
  <c r="P190" i="1"/>
  <c r="N190" i="1"/>
  <c r="K190" i="1"/>
  <c r="G190" i="1"/>
  <c r="E190" i="1"/>
  <c r="K189" i="1"/>
  <c r="G189" i="1"/>
  <c r="E189" i="1"/>
  <c r="AA188" i="1"/>
  <c r="Z188" i="1"/>
  <c r="V188" i="1"/>
  <c r="U188" i="1"/>
  <c r="K188" i="1"/>
  <c r="G188" i="1"/>
  <c r="E188" i="1"/>
  <c r="R187" i="1"/>
  <c r="Q187" i="1"/>
  <c r="K187" i="1"/>
  <c r="G187" i="1"/>
  <c r="E187" i="1"/>
  <c r="K186" i="1"/>
  <c r="G186" i="1"/>
  <c r="E186" i="1"/>
  <c r="K185" i="1"/>
  <c r="G185" i="1"/>
  <c r="E185" i="1"/>
  <c r="K184" i="1"/>
  <c r="G184" i="1"/>
  <c r="E184" i="1"/>
  <c r="T183" i="1"/>
  <c r="K183" i="1"/>
  <c r="G183" i="1"/>
  <c r="E183" i="1"/>
  <c r="K182" i="1"/>
  <c r="G182" i="1"/>
  <c r="E182" i="1"/>
  <c r="K181" i="1"/>
  <c r="G181" i="1"/>
  <c r="E181" i="1"/>
  <c r="AD180" i="1"/>
  <c r="X180" i="1"/>
  <c r="K180" i="1"/>
  <c r="G180" i="1"/>
  <c r="E180" i="1"/>
  <c r="AA179" i="1"/>
  <c r="Z179" i="1"/>
  <c r="V179" i="1"/>
  <c r="U179" i="1"/>
  <c r="M179" i="1"/>
  <c r="L179" i="1"/>
  <c r="K179" i="1"/>
  <c r="G179" i="1"/>
  <c r="E179" i="1"/>
  <c r="W178" i="1"/>
  <c r="S178" i="1"/>
  <c r="K178" i="1"/>
  <c r="G178" i="1"/>
  <c r="E178" i="1"/>
  <c r="R177" i="1"/>
  <c r="Q177" i="1"/>
  <c r="N177" i="1"/>
  <c r="K177" i="1"/>
  <c r="G177" i="1"/>
  <c r="E177" i="1"/>
  <c r="X176" i="1"/>
  <c r="K176" i="1"/>
  <c r="G176" i="1"/>
  <c r="E176" i="1"/>
  <c r="K175" i="1"/>
  <c r="G175" i="1"/>
  <c r="E175" i="1"/>
  <c r="K174" i="1"/>
  <c r="G174" i="1"/>
  <c r="E174" i="1"/>
  <c r="K173" i="1"/>
  <c r="G173" i="1"/>
  <c r="E173" i="1"/>
  <c r="X172" i="1"/>
  <c r="T172" i="1"/>
  <c r="K172" i="1"/>
  <c r="G172" i="1"/>
  <c r="E172" i="1"/>
  <c r="K171" i="1"/>
  <c r="G171" i="1"/>
  <c r="E171" i="1"/>
  <c r="AE170" i="1"/>
  <c r="AD170" i="1"/>
  <c r="W170" i="1"/>
  <c r="S170" i="1"/>
  <c r="G170" i="1"/>
  <c r="E170" i="1"/>
  <c r="R169" i="1"/>
  <c r="Q169" i="1"/>
  <c r="N169" i="1"/>
  <c r="K169" i="1"/>
  <c r="G169" i="1"/>
  <c r="E169" i="1"/>
  <c r="AD168" i="1"/>
  <c r="K168" i="1"/>
  <c r="G168" i="1"/>
  <c r="E168" i="1"/>
  <c r="K167" i="1"/>
  <c r="G167" i="1"/>
  <c r="E167" i="1"/>
  <c r="AD166" i="1"/>
  <c r="T166" i="1"/>
  <c r="K166" i="1"/>
  <c r="G166" i="1"/>
  <c r="E166" i="1"/>
  <c r="K165" i="1"/>
  <c r="G165" i="1"/>
  <c r="E165" i="1"/>
  <c r="P164" i="1"/>
  <c r="G164" i="1"/>
  <c r="E164" i="1"/>
  <c r="W163" i="1"/>
  <c r="S163" i="1"/>
  <c r="O163" i="1"/>
  <c r="G163" i="1"/>
  <c r="E163" i="1"/>
  <c r="AA162" i="1"/>
  <c r="V162" i="1"/>
  <c r="K162" i="1"/>
  <c r="G162" i="1"/>
  <c r="E162" i="1"/>
  <c r="P161" i="1"/>
  <c r="N161" i="1"/>
  <c r="G161" i="1"/>
  <c r="E161" i="1"/>
  <c r="AE160" i="1"/>
  <c r="AD160" i="1"/>
  <c r="K160" i="1"/>
  <c r="G160" i="1"/>
  <c r="E160" i="1"/>
  <c r="K159" i="1"/>
  <c r="G159" i="1"/>
  <c r="E159" i="1"/>
  <c r="K158" i="1"/>
  <c r="G158" i="1"/>
  <c r="E158" i="1"/>
  <c r="P157" i="1"/>
  <c r="K157" i="1"/>
  <c r="G157" i="1"/>
  <c r="E157" i="1"/>
  <c r="AC156" i="1"/>
  <c r="AB156" i="1"/>
  <c r="T156" i="1"/>
  <c r="K156" i="1"/>
  <c r="G156" i="1"/>
  <c r="E156" i="1"/>
  <c r="K155" i="1"/>
  <c r="G155" i="1"/>
  <c r="E155" i="1"/>
  <c r="AA154" i="1"/>
  <c r="M154" i="1"/>
  <c r="L154" i="1"/>
  <c r="K154" i="1"/>
  <c r="G154" i="1"/>
  <c r="E154" i="1"/>
  <c r="K153" i="1"/>
  <c r="G153" i="1"/>
  <c r="E153" i="1"/>
  <c r="X152" i="1"/>
  <c r="G152" i="1"/>
  <c r="E152" i="1"/>
  <c r="R151" i="1"/>
  <c r="Q151" i="1"/>
  <c r="N151" i="1"/>
  <c r="G151" i="1"/>
  <c r="E151" i="1"/>
  <c r="K150" i="1"/>
  <c r="G150" i="1"/>
  <c r="E150" i="1"/>
  <c r="K149" i="1"/>
  <c r="G149" i="1"/>
  <c r="E149" i="1"/>
  <c r="K148" i="1"/>
  <c r="G148" i="1"/>
  <c r="E148" i="1"/>
  <c r="P147" i="1"/>
  <c r="N147" i="1"/>
  <c r="K147" i="1"/>
  <c r="G147" i="1"/>
  <c r="E147" i="1"/>
  <c r="U146" i="1"/>
  <c r="K146" i="1"/>
  <c r="G146" i="1"/>
  <c r="E146" i="1"/>
  <c r="K145" i="1"/>
  <c r="G145" i="1"/>
  <c r="E145" i="1"/>
  <c r="V144" i="1"/>
  <c r="K144" i="1"/>
  <c r="G144" i="1"/>
  <c r="E144" i="1"/>
  <c r="AA143" i="1"/>
  <c r="Z143" i="1"/>
  <c r="V143" i="1"/>
  <c r="U143" i="1"/>
  <c r="K143" i="1"/>
  <c r="G143" i="1"/>
  <c r="E143" i="1"/>
  <c r="AA142" i="1"/>
  <c r="Z142" i="1"/>
  <c r="U142" i="1"/>
  <c r="K142" i="1"/>
  <c r="G142" i="1"/>
  <c r="E142" i="1"/>
  <c r="W141" i="1"/>
  <c r="S141" i="1"/>
  <c r="O141" i="1"/>
  <c r="K141" i="1"/>
  <c r="G141" i="1"/>
  <c r="E141" i="1"/>
  <c r="AA140" i="1"/>
  <c r="Z140" i="1"/>
  <c r="V140" i="1"/>
  <c r="U140" i="1"/>
  <c r="K140" i="1"/>
  <c r="G140" i="1"/>
  <c r="E140" i="1"/>
  <c r="K139" i="1"/>
  <c r="G139" i="1"/>
  <c r="E139" i="1"/>
  <c r="AB138" i="1"/>
  <c r="X138" i="1"/>
  <c r="M138" i="1"/>
  <c r="L138" i="1"/>
  <c r="K138" i="1"/>
  <c r="G138" i="1"/>
  <c r="E138" i="1"/>
  <c r="V137" i="1"/>
  <c r="U137" i="1"/>
  <c r="K137" i="1"/>
  <c r="G137" i="1"/>
  <c r="E137" i="1"/>
  <c r="AA136" i="1"/>
  <c r="Z136" i="1"/>
  <c r="U136" i="1"/>
  <c r="K136" i="1"/>
  <c r="G136" i="1"/>
  <c r="E136" i="1"/>
  <c r="K135" i="1"/>
  <c r="E135" i="1"/>
  <c r="X134" i="1"/>
  <c r="K134" i="1"/>
  <c r="G134" i="1"/>
  <c r="E134" i="1"/>
  <c r="AE133" i="1"/>
  <c r="Z133" i="1"/>
  <c r="V133" i="1"/>
  <c r="U133" i="1"/>
  <c r="K133" i="1"/>
  <c r="G133" i="1"/>
  <c r="E133" i="1"/>
  <c r="K132" i="1"/>
  <c r="G132" i="1"/>
  <c r="E132" i="1"/>
  <c r="AA131" i="1"/>
  <c r="Z131" i="1"/>
  <c r="V131" i="1"/>
  <c r="U131" i="1"/>
  <c r="K131" i="1"/>
  <c r="G131" i="1"/>
  <c r="E131" i="1"/>
  <c r="K130" i="1"/>
  <c r="G130" i="1"/>
  <c r="E130" i="1"/>
  <c r="K129" i="1"/>
  <c r="G129" i="1"/>
  <c r="E129" i="1"/>
  <c r="K128" i="1"/>
  <c r="G128" i="1"/>
  <c r="E128" i="1"/>
  <c r="AA127" i="1"/>
  <c r="Z127" i="1"/>
  <c r="V127" i="1"/>
  <c r="U127" i="1"/>
  <c r="K127" i="1"/>
  <c r="G127" i="1"/>
  <c r="E127" i="1"/>
  <c r="R126" i="1"/>
  <c r="N126" i="1"/>
  <c r="K126" i="1"/>
  <c r="G126" i="1"/>
  <c r="E126" i="1"/>
  <c r="K125" i="1"/>
  <c r="G125" i="1"/>
  <c r="E125" i="1"/>
  <c r="P124" i="1"/>
  <c r="N124" i="1"/>
  <c r="K124" i="1"/>
  <c r="G124" i="1"/>
  <c r="E124" i="1"/>
  <c r="T123" i="1"/>
  <c r="K123" i="1"/>
  <c r="G123" i="1"/>
  <c r="E123" i="1"/>
  <c r="AC122" i="1"/>
  <c r="X122" i="1"/>
  <c r="K122" i="1"/>
  <c r="G122" i="1"/>
  <c r="E122" i="1"/>
  <c r="AD121" i="1"/>
  <c r="X121" i="1"/>
  <c r="K121" i="1"/>
  <c r="G121" i="1"/>
  <c r="E121" i="1"/>
  <c r="R120" i="1"/>
  <c r="N120" i="1"/>
  <c r="G120" i="1"/>
  <c r="E120" i="1"/>
  <c r="W119" i="1"/>
  <c r="K119" i="1"/>
  <c r="G119" i="1"/>
  <c r="E119" i="1"/>
  <c r="P118" i="1"/>
  <c r="N118" i="1"/>
  <c r="G118" i="1"/>
  <c r="E118" i="1"/>
  <c r="K117" i="1"/>
  <c r="G117" i="1"/>
  <c r="E117" i="1"/>
  <c r="AD116" i="1"/>
  <c r="K116" i="1"/>
  <c r="G116" i="1"/>
  <c r="E116" i="1"/>
  <c r="AE115" i="1"/>
  <c r="X115" i="1"/>
  <c r="T115" i="1"/>
  <c r="K115" i="1"/>
  <c r="G115" i="1"/>
  <c r="E115" i="1"/>
  <c r="AD114" i="1"/>
  <c r="K114" i="1"/>
  <c r="G114" i="1"/>
  <c r="E114" i="1"/>
  <c r="AD113" i="1"/>
  <c r="X113" i="1"/>
  <c r="M113" i="1"/>
  <c r="L113" i="1"/>
  <c r="K113" i="1"/>
  <c r="G113" i="1"/>
  <c r="E113" i="1"/>
  <c r="W112" i="1"/>
  <c r="S112" i="1"/>
  <c r="K112" i="1"/>
  <c r="G112" i="1"/>
  <c r="E112" i="1"/>
  <c r="P111" i="1"/>
  <c r="K111" i="1"/>
  <c r="G111" i="1"/>
  <c r="E111" i="1"/>
  <c r="X110" i="1"/>
  <c r="T110" i="1"/>
  <c r="K110" i="1"/>
  <c r="G110" i="1"/>
  <c r="E110" i="1"/>
  <c r="X109" i="1"/>
  <c r="K109" i="1"/>
  <c r="G109" i="1"/>
  <c r="E109" i="1"/>
  <c r="X108" i="1"/>
  <c r="K108" i="1"/>
  <c r="G108" i="1"/>
  <c r="E108" i="1"/>
  <c r="Y107" i="1"/>
  <c r="K107" i="1"/>
  <c r="G107" i="1"/>
  <c r="E107" i="1"/>
  <c r="X106" i="1"/>
  <c r="M106" i="1"/>
  <c r="L106" i="1"/>
  <c r="K106" i="1"/>
  <c r="G106" i="1"/>
  <c r="E106" i="1"/>
  <c r="W105" i="1"/>
  <c r="S105" i="1"/>
  <c r="K105" i="1"/>
  <c r="G105" i="1"/>
  <c r="E105" i="1"/>
  <c r="AD104" i="1"/>
  <c r="M104" i="1"/>
  <c r="L104" i="1"/>
  <c r="K104" i="1"/>
  <c r="G104" i="1"/>
  <c r="E104" i="1"/>
  <c r="AA103" i="1"/>
  <c r="V103" i="1"/>
  <c r="K103" i="1"/>
  <c r="G103" i="1"/>
  <c r="E103" i="1"/>
  <c r="AD102" i="1"/>
  <c r="G102" i="1"/>
  <c r="E102" i="1"/>
  <c r="AD101" i="1"/>
  <c r="AA101" i="1"/>
  <c r="V101" i="1"/>
  <c r="K101" i="1"/>
  <c r="G101" i="1"/>
  <c r="E101" i="1"/>
  <c r="AD100" i="1"/>
  <c r="X100" i="1"/>
  <c r="T100" i="1"/>
  <c r="K100" i="1"/>
  <c r="G100" i="1"/>
  <c r="E100" i="1"/>
  <c r="K99" i="1"/>
  <c r="G99" i="1"/>
  <c r="E99" i="1"/>
  <c r="AD98" i="1"/>
  <c r="T98" i="1"/>
  <c r="M98" i="1"/>
  <c r="L98" i="1"/>
  <c r="K98" i="1"/>
  <c r="G98" i="1"/>
  <c r="E98" i="1"/>
  <c r="X97" i="1"/>
  <c r="W97" i="1"/>
  <c r="S97" i="1"/>
  <c r="O97" i="1"/>
  <c r="K97" i="1"/>
  <c r="G97" i="1"/>
  <c r="E97" i="1"/>
  <c r="K96" i="1"/>
  <c r="G96" i="1"/>
  <c r="E96" i="1"/>
  <c r="W95" i="1"/>
  <c r="S95" i="1"/>
  <c r="O95" i="1"/>
  <c r="K95" i="1"/>
  <c r="G95" i="1"/>
  <c r="E95" i="1"/>
  <c r="AE94" i="1"/>
  <c r="AD94" i="1"/>
  <c r="M94" i="1"/>
  <c r="L94" i="1"/>
  <c r="K94" i="1"/>
  <c r="G94" i="1"/>
  <c r="E94" i="1"/>
  <c r="K93" i="1"/>
  <c r="G93" i="1"/>
  <c r="E93" i="1"/>
  <c r="X92" i="1"/>
  <c r="T92" i="1"/>
  <c r="K92" i="1"/>
  <c r="G92" i="1"/>
  <c r="E92" i="1"/>
  <c r="AD91" i="1"/>
  <c r="W91" i="1"/>
  <c r="S91" i="1"/>
  <c r="O91" i="1"/>
  <c r="K91" i="1"/>
  <c r="G91" i="1"/>
  <c r="E91" i="1"/>
  <c r="K90" i="1"/>
  <c r="G90" i="1"/>
  <c r="E90" i="1"/>
  <c r="K89" i="1"/>
  <c r="G89" i="1"/>
  <c r="E89" i="1"/>
  <c r="AC88" i="1"/>
  <c r="X88" i="1"/>
  <c r="K88" i="1"/>
  <c r="G88" i="1"/>
  <c r="E88" i="1"/>
  <c r="K87" i="1"/>
  <c r="G87" i="1"/>
  <c r="E87" i="1"/>
  <c r="Y86" i="1"/>
  <c r="K86" i="1"/>
  <c r="G86" i="1"/>
  <c r="E86" i="1"/>
  <c r="O85" i="1"/>
  <c r="K85" i="1"/>
  <c r="G85" i="1"/>
  <c r="E85" i="1"/>
  <c r="K84" i="1"/>
  <c r="G84" i="1"/>
  <c r="E84" i="1"/>
  <c r="X83" i="1"/>
  <c r="M83" i="1"/>
  <c r="L83" i="1"/>
  <c r="K83" i="1"/>
  <c r="G83" i="1"/>
  <c r="E83" i="1"/>
  <c r="K82" i="1"/>
  <c r="G82" i="1"/>
  <c r="E82" i="1"/>
  <c r="AD81" i="1"/>
  <c r="AA81" i="1"/>
  <c r="V81" i="1"/>
  <c r="K81" i="1"/>
  <c r="G81" i="1"/>
  <c r="E81" i="1"/>
  <c r="X80" i="1"/>
  <c r="K80" i="1"/>
  <c r="G80" i="1"/>
  <c r="E80" i="1"/>
  <c r="X79" i="1"/>
  <c r="W79" i="1"/>
  <c r="K79" i="1"/>
  <c r="G79" i="1"/>
  <c r="E79" i="1"/>
  <c r="W78" i="1"/>
  <c r="S78" i="1"/>
  <c r="O78" i="1"/>
  <c r="K78" i="1"/>
  <c r="G78" i="1"/>
  <c r="E78" i="1"/>
  <c r="AD77" i="1"/>
  <c r="K77" i="1"/>
  <c r="G77" i="1"/>
  <c r="E77" i="1"/>
  <c r="K76" i="1"/>
  <c r="G76" i="1"/>
  <c r="E76" i="1"/>
  <c r="AA75" i="1"/>
  <c r="V75" i="1"/>
  <c r="M75" i="1"/>
  <c r="L75" i="1"/>
  <c r="K75" i="1"/>
  <c r="G75" i="1"/>
  <c r="E75" i="1"/>
  <c r="K74" i="1"/>
  <c r="G74" i="1"/>
  <c r="E74" i="1"/>
  <c r="AD73" i="1"/>
  <c r="Y73" i="1"/>
  <c r="T73" i="1"/>
  <c r="K73" i="1"/>
  <c r="G73" i="1"/>
  <c r="E73" i="1"/>
  <c r="W72" i="1"/>
  <c r="K72" i="1"/>
  <c r="G72" i="1"/>
  <c r="E72" i="1"/>
  <c r="K71" i="1"/>
  <c r="G71" i="1"/>
  <c r="E71" i="1"/>
  <c r="AE70" i="1"/>
  <c r="AD70" i="1"/>
  <c r="AA70" i="1"/>
  <c r="V70" i="1"/>
  <c r="M70" i="1"/>
  <c r="L70" i="1"/>
  <c r="K70" i="1"/>
  <c r="G70" i="1"/>
  <c r="E70" i="1"/>
  <c r="K69" i="1"/>
  <c r="G69" i="1"/>
  <c r="E69" i="1"/>
  <c r="X68" i="1"/>
  <c r="M68" i="1"/>
  <c r="L68" i="1"/>
  <c r="K68" i="1"/>
  <c r="G68" i="1"/>
  <c r="E68" i="1"/>
  <c r="X67" i="1"/>
  <c r="Q67" i="1"/>
  <c r="N67" i="1"/>
  <c r="K67" i="1"/>
  <c r="G67" i="1"/>
  <c r="E67" i="1"/>
  <c r="W66" i="1"/>
  <c r="S66" i="1"/>
  <c r="O66" i="1"/>
  <c r="K66" i="1"/>
  <c r="G66" i="1"/>
  <c r="E66" i="1"/>
  <c r="X65" i="1"/>
  <c r="M65" i="1"/>
  <c r="L65" i="1"/>
  <c r="K65" i="1"/>
  <c r="G65" i="1"/>
  <c r="E65" i="1"/>
  <c r="AD64" i="1"/>
  <c r="V64" i="1"/>
  <c r="M64" i="1"/>
  <c r="L64" i="1"/>
  <c r="K64" i="1"/>
  <c r="G64" i="1"/>
  <c r="E64" i="1"/>
  <c r="K63" i="1"/>
  <c r="G63" i="1"/>
  <c r="E63" i="1"/>
  <c r="W62" i="1"/>
  <c r="S62" i="1"/>
  <c r="O62" i="1"/>
  <c r="K62" i="1"/>
  <c r="G62" i="1"/>
  <c r="E62" i="1"/>
  <c r="K61" i="1"/>
  <c r="G61" i="1"/>
  <c r="E61" i="1"/>
  <c r="AD60" i="1"/>
  <c r="AC60" i="1"/>
  <c r="AB60" i="1"/>
  <c r="X60" i="1"/>
  <c r="T60" i="1"/>
  <c r="M60" i="1"/>
  <c r="L60" i="1"/>
  <c r="K60" i="1"/>
  <c r="G60" i="1"/>
  <c r="E60" i="1"/>
  <c r="W59" i="1"/>
  <c r="S59" i="1"/>
  <c r="O59" i="1"/>
  <c r="K59" i="1"/>
  <c r="G59" i="1"/>
  <c r="E59" i="1"/>
  <c r="Q58" i="1"/>
  <c r="N58" i="1"/>
  <c r="K58" i="1"/>
  <c r="G58" i="1"/>
  <c r="E58" i="1"/>
  <c r="K57" i="1"/>
  <c r="G57" i="1"/>
  <c r="E57" i="1"/>
  <c r="AD56" i="1"/>
  <c r="X56" i="1"/>
  <c r="G56" i="1"/>
  <c r="E56" i="1"/>
  <c r="AD55" i="1"/>
  <c r="X55" i="1"/>
  <c r="K55" i="1"/>
  <c r="G55" i="1"/>
  <c r="E55" i="1"/>
  <c r="V54" i="1"/>
  <c r="M54" i="1"/>
  <c r="L54" i="1"/>
  <c r="K54" i="1"/>
  <c r="G54" i="1"/>
  <c r="E54" i="1"/>
  <c r="W53" i="1"/>
  <c r="S53" i="1"/>
  <c r="O53" i="1"/>
  <c r="M53" i="1"/>
  <c r="L53" i="1"/>
  <c r="K53" i="1"/>
  <c r="G53" i="1"/>
  <c r="E53" i="1"/>
  <c r="W52" i="1"/>
  <c r="O52" i="1"/>
  <c r="K52" i="1"/>
  <c r="G52" i="1"/>
  <c r="E52" i="1"/>
  <c r="AE51" i="1"/>
  <c r="AD51" i="1"/>
  <c r="W51" i="1"/>
  <c r="S51" i="1"/>
  <c r="O51" i="1"/>
  <c r="K51" i="1"/>
  <c r="G51" i="1"/>
  <c r="E51" i="1"/>
  <c r="AE50" i="1"/>
  <c r="AC50" i="1"/>
  <c r="AB50" i="1"/>
  <c r="X50" i="1"/>
  <c r="T50" i="1"/>
  <c r="K50" i="1"/>
  <c r="G50" i="1"/>
  <c r="E50" i="1"/>
  <c r="AA49" i="1"/>
  <c r="V49" i="1"/>
  <c r="M49" i="1"/>
  <c r="L49" i="1"/>
  <c r="K49" i="1"/>
  <c r="G49" i="1"/>
  <c r="E49" i="1"/>
  <c r="AD48" i="1"/>
  <c r="X48" i="1"/>
  <c r="K48" i="1"/>
  <c r="G48" i="1"/>
  <c r="E48" i="1"/>
  <c r="R47" i="1"/>
  <c r="N47" i="1"/>
  <c r="K47" i="1"/>
  <c r="G47" i="1"/>
  <c r="E47" i="1"/>
  <c r="X46" i="1"/>
  <c r="K46" i="1"/>
  <c r="G46" i="1"/>
  <c r="E46" i="1"/>
  <c r="AE45" i="1"/>
  <c r="AD45" i="1"/>
  <c r="X45" i="1"/>
  <c r="M45" i="1"/>
  <c r="L45" i="1"/>
  <c r="K45" i="1"/>
  <c r="G45" i="1"/>
  <c r="E45" i="1"/>
  <c r="AD44" i="1"/>
  <c r="AC44" i="1"/>
  <c r="AB44" i="1"/>
  <c r="T44" i="1"/>
  <c r="M44" i="1"/>
  <c r="L44" i="1"/>
  <c r="K44" i="1"/>
  <c r="G44" i="1"/>
  <c r="E44" i="1"/>
  <c r="T43" i="1"/>
  <c r="K43" i="1"/>
  <c r="G43" i="1"/>
  <c r="E43" i="1"/>
  <c r="AA42" i="1"/>
  <c r="V42" i="1"/>
  <c r="M42" i="1"/>
  <c r="L42" i="1"/>
  <c r="K42" i="1"/>
  <c r="G42" i="1"/>
  <c r="E42" i="1"/>
  <c r="AD41" i="1"/>
  <c r="X41" i="1"/>
  <c r="M41" i="1"/>
  <c r="L41" i="1"/>
  <c r="K41" i="1"/>
  <c r="G41" i="1"/>
  <c r="E41" i="1"/>
  <c r="X40" i="1"/>
  <c r="W40" i="1"/>
  <c r="O40" i="1"/>
  <c r="M40" i="1"/>
  <c r="K40" i="1"/>
  <c r="G40" i="1"/>
  <c r="E40" i="1"/>
  <c r="AA39" i="1"/>
  <c r="Z39" i="1"/>
  <c r="V39" i="1"/>
  <c r="M39" i="1"/>
  <c r="L39" i="1"/>
  <c r="K39" i="1"/>
  <c r="G39" i="1"/>
  <c r="E39" i="1"/>
  <c r="AA38" i="1"/>
  <c r="V38" i="1"/>
  <c r="M38" i="1"/>
  <c r="L38" i="1"/>
  <c r="K38" i="1"/>
  <c r="G38" i="1"/>
  <c r="E38" i="1"/>
  <c r="X37" i="1"/>
  <c r="K37" i="1"/>
  <c r="G37" i="1"/>
  <c r="E37" i="1"/>
  <c r="W36" i="1"/>
  <c r="S36" i="1"/>
  <c r="O36" i="1"/>
  <c r="K36" i="1"/>
  <c r="G36" i="1"/>
  <c r="E36" i="1"/>
  <c r="V35" i="1"/>
  <c r="M35" i="1"/>
  <c r="L35" i="1"/>
  <c r="K35" i="1"/>
  <c r="G35" i="1"/>
  <c r="E35" i="1"/>
  <c r="AA34" i="1"/>
  <c r="Z34" i="1"/>
  <c r="V34" i="1"/>
  <c r="U34" i="1"/>
  <c r="K34" i="1"/>
  <c r="G34" i="1"/>
  <c r="E34" i="1"/>
  <c r="AA33" i="1"/>
  <c r="Z33" i="1"/>
  <c r="V33" i="1"/>
  <c r="U33" i="1"/>
  <c r="G33" i="1"/>
  <c r="E33" i="1"/>
  <c r="AD32" i="1"/>
  <c r="X32" i="1"/>
  <c r="W32" i="1"/>
  <c r="O32" i="1"/>
  <c r="M32" i="1"/>
  <c r="L32" i="1"/>
  <c r="K32" i="1"/>
  <c r="G32" i="1"/>
  <c r="E32" i="1"/>
  <c r="AD31" i="1"/>
  <c r="X31" i="1"/>
  <c r="W31" i="1"/>
  <c r="S31" i="1"/>
  <c r="O31" i="1"/>
  <c r="K31" i="1"/>
  <c r="G31" i="1"/>
  <c r="E31" i="1"/>
  <c r="AA30" i="1"/>
  <c r="Z30" i="1"/>
  <c r="X30" i="1"/>
  <c r="V30" i="1"/>
  <c r="K30" i="1"/>
  <c r="G30" i="1"/>
  <c r="E30" i="1"/>
  <c r="X29" i="1"/>
  <c r="S29" i="1"/>
  <c r="O29" i="1"/>
  <c r="K29" i="1"/>
  <c r="G29" i="1"/>
  <c r="E29" i="1"/>
  <c r="X28" i="1"/>
  <c r="T28" i="1"/>
  <c r="K28" i="1"/>
  <c r="G28" i="1"/>
  <c r="E28" i="1"/>
  <c r="W27" i="1"/>
  <c r="S27" i="1"/>
  <c r="O27" i="1"/>
  <c r="M27" i="1"/>
  <c r="L27" i="1"/>
  <c r="K27" i="1"/>
  <c r="G27" i="1"/>
  <c r="E27" i="1"/>
  <c r="X26" i="1"/>
  <c r="K26" i="1"/>
  <c r="G26" i="1"/>
  <c r="E26" i="1"/>
  <c r="K25" i="1"/>
  <c r="G25" i="1"/>
  <c r="E25" i="1"/>
  <c r="AC24" i="1"/>
  <c r="AB24" i="1"/>
  <c r="X24" i="1"/>
  <c r="K24" i="1"/>
  <c r="G24" i="1"/>
  <c r="E24" i="1"/>
  <c r="AA23" i="1"/>
  <c r="V23" i="1"/>
  <c r="M23" i="1"/>
  <c r="L23" i="1"/>
  <c r="K23" i="1"/>
  <c r="G23" i="1"/>
  <c r="E23" i="1"/>
  <c r="X22" i="1"/>
  <c r="T22" i="1"/>
  <c r="M22" i="1"/>
  <c r="L22" i="1"/>
  <c r="K22" i="1"/>
  <c r="G22" i="1"/>
  <c r="E22" i="1"/>
  <c r="X21" i="1"/>
  <c r="M21" i="1"/>
  <c r="L21" i="1"/>
  <c r="K21" i="1"/>
  <c r="G21" i="1"/>
  <c r="E21" i="1"/>
  <c r="X20" i="1"/>
  <c r="T20" i="1"/>
  <c r="M20" i="1"/>
  <c r="L20" i="1"/>
  <c r="K20" i="1"/>
  <c r="G20" i="1"/>
  <c r="E20" i="1"/>
  <c r="AE19" i="1"/>
  <c r="X19" i="1"/>
  <c r="K19" i="1"/>
  <c r="G19" i="1"/>
  <c r="E19" i="1"/>
  <c r="K18" i="1"/>
  <c r="G18" i="1"/>
  <c r="E18" i="1"/>
  <c r="AA17" i="1"/>
  <c r="Z17" i="1"/>
  <c r="V17" i="1"/>
  <c r="U17" i="1"/>
  <c r="M17" i="1"/>
  <c r="L17" i="1"/>
  <c r="K17" i="1"/>
  <c r="G17" i="1"/>
  <c r="E17" i="1"/>
  <c r="V16" i="1"/>
  <c r="U16" i="1"/>
  <c r="M16" i="1"/>
  <c r="L16" i="1"/>
  <c r="K16" i="1"/>
  <c r="G16" i="1"/>
  <c r="E16" i="1"/>
  <c r="X15" i="1"/>
  <c r="K15" i="1"/>
  <c r="G15" i="1"/>
  <c r="E15" i="1"/>
  <c r="V14" i="1"/>
  <c r="U14" i="1"/>
  <c r="M14" i="1"/>
  <c r="L14" i="1"/>
  <c r="K14" i="1"/>
  <c r="G14" i="1"/>
  <c r="E14" i="1"/>
  <c r="M13" i="1"/>
  <c r="L13" i="1"/>
  <c r="K13" i="1"/>
  <c r="G13" i="1"/>
  <c r="E13" i="1"/>
  <c r="M12" i="1"/>
  <c r="L12" i="1"/>
  <c r="K12" i="1"/>
  <c r="G12" i="1"/>
  <c r="E12" i="1"/>
  <c r="AA11" i="1"/>
  <c r="Z11" i="1"/>
  <c r="V11" i="1"/>
  <c r="U11" i="1"/>
  <c r="L11" i="1"/>
  <c r="K11" i="1"/>
  <c r="G11" i="1"/>
  <c r="E11" i="1"/>
  <c r="K10" i="1"/>
  <c r="G10" i="1"/>
  <c r="E10" i="1"/>
  <c r="M9" i="1"/>
  <c r="L9" i="1"/>
  <c r="K9" i="1"/>
  <c r="G9" i="1"/>
  <c r="E9" i="1"/>
  <c r="K8" i="1"/>
  <c r="G8" i="1"/>
  <c r="E8" i="1"/>
  <c r="AA7" i="1"/>
  <c r="Z7" i="1"/>
  <c r="V7" i="1"/>
  <c r="U7" i="1"/>
  <c r="M7" i="1"/>
  <c r="L7" i="1"/>
  <c r="K7" i="1"/>
  <c r="G7" i="1"/>
  <c r="E7" i="1"/>
  <c r="M6" i="1"/>
  <c r="L6" i="1"/>
  <c r="K6" i="1"/>
  <c r="G6" i="1"/>
  <c r="E6" i="1"/>
  <c r="X5" i="1"/>
  <c r="K5" i="1"/>
  <c r="G5" i="1"/>
  <c r="E5" i="1"/>
  <c r="K4" i="1"/>
  <c r="G4" i="1"/>
  <c r="E4" i="1"/>
  <c r="M3" i="1"/>
  <c r="L3" i="1"/>
  <c r="G3" i="1"/>
  <c r="E3" i="1"/>
</calcChain>
</file>

<file path=xl/sharedStrings.xml><?xml version="1.0" encoding="utf-8"?>
<sst xmlns="http://schemas.openxmlformats.org/spreadsheetml/2006/main" count="925" uniqueCount="489">
  <si>
    <t>女子(GS)</t>
  </si>
  <si>
    <t>2015-2016</t>
    <phoneticPr fontId="2"/>
  </si>
  <si>
    <t>大会PP</t>
    <rPh sb="0" eb="2">
      <t>タイカイ</t>
    </rPh>
    <phoneticPr fontId="2"/>
  </si>
  <si>
    <t>順位</t>
  </si>
  <si>
    <t>SAT競技者番号</t>
  </si>
  <si>
    <t>選手氏名</t>
  </si>
  <si>
    <t>団体名</t>
  </si>
  <si>
    <t>期中ポイント</t>
  </si>
  <si>
    <t>期中Fig</t>
  </si>
  <si>
    <t>期末ポイント</t>
  </si>
  <si>
    <t>期末Fig</t>
  </si>
  <si>
    <t>適用パターン</t>
  </si>
  <si>
    <t>最終登録年度</t>
  </si>
  <si>
    <t>前年度ポイント</t>
  </si>
  <si>
    <t>①猪谷杯 女子組</t>
    <phoneticPr fontId="2"/>
  </si>
  <si>
    <t>①国体予選 女子組</t>
    <phoneticPr fontId="2"/>
  </si>
  <si>
    <t>②関東チルドレン２（木島） 女子Ａ・Ｂ・Ｋ１</t>
    <phoneticPr fontId="2"/>
  </si>
  <si>
    <t>②関東チルドレン２（木島） 女子Ｋ２</t>
    <phoneticPr fontId="2"/>
  </si>
  <si>
    <t>③関東小学生 女子Ａ・Ｂ</t>
    <phoneticPr fontId="2"/>
  </si>
  <si>
    <t>③関東小学生 女子Ｋ１</t>
    <phoneticPr fontId="2"/>
  </si>
  <si>
    <t>④　関東チルドレン 女子Ｋ１</t>
  </si>
  <si>
    <t>④　関東チルドレン 女子Ｋ２</t>
  </si>
  <si>
    <t>⑤関東マスターズ（野沢） 女子</t>
    <phoneticPr fontId="2"/>
  </si>
  <si>
    <t>⑨　全国高校予選（選考会） 女子</t>
  </si>
  <si>
    <t>⑨　全国高校予選（本大会） 女子</t>
  </si>
  <si>
    <t>⑩　全中予選 女子</t>
  </si>
  <si>
    <t>⑪　ＷＳＣ選手権 女子</t>
  </si>
  <si>
    <t>⑪　ＷＳＣ選手権 女子Ｍ</t>
  </si>
  <si>
    <t>⑫　都高校（選考会） 女子</t>
  </si>
  <si>
    <t>⑫　都高校（本大会） 女子</t>
  </si>
  <si>
    <t>⑬Ｍｔ苗場（かぐら第一戦） 女子</t>
    <phoneticPr fontId="2"/>
  </si>
  <si>
    <t>⑬Ｍｔ苗場（苗場第二戦） 女子</t>
    <phoneticPr fontId="2"/>
  </si>
  <si>
    <t>⑭　野辺山 女子</t>
  </si>
  <si>
    <t>⑮　アルペン複合 女子</t>
  </si>
  <si>
    <t>今野 明理</t>
  </si>
  <si>
    <t>ラッチ（RACH)</t>
  </si>
  <si>
    <t>山口 ゆい</t>
  </si>
  <si>
    <t>東京都高等学校体育連盟スキー部</t>
  </si>
  <si>
    <t>*</t>
  </si>
  <si>
    <t>齋藤 夏実</t>
  </si>
  <si>
    <t>①</t>
  </si>
  <si>
    <t>小俣 優香</t>
  </si>
  <si>
    <t>石渡 実香</t>
  </si>
  <si>
    <t>四戸 里美</t>
  </si>
  <si>
    <t>荒井 佑沙</t>
  </si>
  <si>
    <t>カンダハートライブ レーシング</t>
  </si>
  <si>
    <t>栗山 夏美</t>
  </si>
  <si>
    <t>八王子スキー連盟</t>
  </si>
  <si>
    <t>鈴木 奈渚</t>
  </si>
  <si>
    <t>藤巻 莉奈</t>
  </si>
  <si>
    <t>ミワサススキークラブ</t>
  </si>
  <si>
    <t>吉田 美輝子</t>
  </si>
  <si>
    <t>野辺山スキークラブ</t>
  </si>
  <si>
    <t>中渡 智香</t>
  </si>
  <si>
    <t>西川 桜子</t>
  </si>
  <si>
    <t>ＩＣＩ石井スポーツスキークラブ</t>
  </si>
  <si>
    <t>鈴木 さくら</t>
  </si>
  <si>
    <t>鎌田 優衣</t>
  </si>
  <si>
    <t>保坂 礼子</t>
  </si>
  <si>
    <t>アスペンスキークラブ</t>
  </si>
  <si>
    <t>南久松 奈々</t>
  </si>
  <si>
    <t>エスプーマスキーチーム</t>
  </si>
  <si>
    <t>中谷 順子</t>
  </si>
  <si>
    <t>スノースケープ</t>
  </si>
  <si>
    <t>森田 亜紀</t>
  </si>
  <si>
    <t>チーム０２スキークラブ</t>
  </si>
  <si>
    <t>萩野 真由子</t>
  </si>
  <si>
    <t>サンダーグスキークラブ</t>
  </si>
  <si>
    <t>佐藤 舞祐</t>
  </si>
  <si>
    <t>福山 駒千</t>
  </si>
  <si>
    <t>東京カモシカスキークラブ</t>
  </si>
  <si>
    <t>加藤 めぐみ</t>
  </si>
  <si>
    <t>ティンバーライン</t>
  </si>
  <si>
    <t>大塚 綾子</t>
  </si>
  <si>
    <t>ステューピッドスキークラブ</t>
  </si>
  <si>
    <t>市川 紗理奈</t>
  </si>
  <si>
    <t>東京都中学校体育連盟スキー部</t>
  </si>
  <si>
    <t>杉下 千明</t>
  </si>
  <si>
    <t>堤 愛理</t>
  </si>
  <si>
    <t>西沢 優佳里</t>
  </si>
  <si>
    <t>西沢 菜央</t>
  </si>
  <si>
    <t>寺﨑 涼香</t>
  </si>
  <si>
    <t>寶田 奈緒</t>
  </si>
  <si>
    <t>谷合 海南</t>
  </si>
  <si>
    <t>柳 志恵</t>
  </si>
  <si>
    <t>渡邊 倭</t>
  </si>
  <si>
    <t>松本 亜希子</t>
  </si>
  <si>
    <t>浅貝スキークラブ</t>
  </si>
  <si>
    <t>岩崎 愛</t>
  </si>
  <si>
    <t>船田 美咲</t>
  </si>
  <si>
    <t>小野崎 萌</t>
  </si>
  <si>
    <t>市川 美枝子</t>
  </si>
  <si>
    <t>若葉スキークラブ</t>
  </si>
  <si>
    <t>栗原 睦美</t>
  </si>
  <si>
    <t>田中 悦子</t>
  </si>
  <si>
    <t>ゲインレーシングチーム</t>
  </si>
  <si>
    <t>穴井 まきこ</t>
  </si>
  <si>
    <t>中田 萌</t>
  </si>
  <si>
    <t>金綱 志保</t>
  </si>
  <si>
    <t>楠本 夏花</t>
  </si>
  <si>
    <t>立野 里佳</t>
  </si>
  <si>
    <t>ディップス スキークラブ</t>
  </si>
  <si>
    <t>鈴木 美冬</t>
  </si>
  <si>
    <t>吉澤 恭子</t>
  </si>
  <si>
    <t>エーデル・スキー・クラブ</t>
  </si>
  <si>
    <t>齊藤 瑚子</t>
  </si>
  <si>
    <t>福岡 真子</t>
  </si>
  <si>
    <t>佐々木 茜</t>
  </si>
  <si>
    <t>小林 由</t>
  </si>
  <si>
    <t>大金 昭子</t>
  </si>
  <si>
    <t>北区スキー連盟</t>
  </si>
  <si>
    <t>木下 奈々</t>
  </si>
  <si>
    <t>チーム　ラッシュ</t>
  </si>
  <si>
    <t>鈴木 彩香</t>
  </si>
  <si>
    <t>ジャスク</t>
  </si>
  <si>
    <t>保坂 花</t>
  </si>
  <si>
    <t>大川 瑚夏</t>
  </si>
  <si>
    <t>深沢 かおり</t>
  </si>
  <si>
    <t>ホリディスキークラブ</t>
  </si>
  <si>
    <t>藤田 捺稀</t>
  </si>
  <si>
    <t>日本アルペンスキークラブ</t>
  </si>
  <si>
    <t>梅園 紗也夏</t>
  </si>
  <si>
    <t>山口 彩希</t>
  </si>
  <si>
    <t>杉並区スキー連盟</t>
  </si>
  <si>
    <t>松山 暁</t>
  </si>
  <si>
    <t>柳島 理佐子</t>
  </si>
  <si>
    <t>新宿スキークラブ</t>
  </si>
  <si>
    <t>平野 沙織</t>
  </si>
  <si>
    <t>小林 香乃子</t>
  </si>
  <si>
    <t>武蔵村山スキー協会</t>
  </si>
  <si>
    <t>谷 紀子</t>
  </si>
  <si>
    <t>日立製作所本社スキー部</t>
  </si>
  <si>
    <t>中島 圭子</t>
  </si>
  <si>
    <t>齊藤 友風</t>
  </si>
  <si>
    <t>義久 直子</t>
  </si>
  <si>
    <t>江東区スキー連盟</t>
  </si>
  <si>
    <t>高原 里歩</t>
  </si>
  <si>
    <t>坂井 真由美</t>
  </si>
  <si>
    <t>阿部 莉沙子</t>
  </si>
  <si>
    <t>グランバン・レーシング</t>
  </si>
  <si>
    <t>藤田 稀美</t>
  </si>
  <si>
    <t>大橋 史華</t>
  </si>
  <si>
    <t>清瀬スキー倶楽部</t>
  </si>
  <si>
    <t>山下 栄海由</t>
  </si>
  <si>
    <t>荻野 咲子</t>
  </si>
  <si>
    <t>小倉 悠穂</t>
  </si>
  <si>
    <t>室田 陽子</t>
  </si>
  <si>
    <t>ＵＮＯスキークラブ</t>
  </si>
  <si>
    <t>山下 真衣亜</t>
  </si>
  <si>
    <t>渡辺 真夕</t>
  </si>
  <si>
    <t>渡辺 紗矢</t>
  </si>
  <si>
    <t>アールビー　トウキョウ</t>
  </si>
  <si>
    <t>金原 珠恵</t>
  </si>
  <si>
    <t>トラームスキークラブ</t>
  </si>
  <si>
    <t>ジューディッチ マリアキアラ</t>
  </si>
  <si>
    <t>松本 キヨ子</t>
  </si>
  <si>
    <t>世田谷区スキー協会</t>
  </si>
  <si>
    <t>森川 順子</t>
  </si>
  <si>
    <t>武蔵野市スキー連盟</t>
  </si>
  <si>
    <t>野原 玲</t>
  </si>
  <si>
    <t>ウィッツ</t>
  </si>
  <si>
    <t>狩野 ゆりえ</t>
  </si>
  <si>
    <t>成城スキークラブ</t>
  </si>
  <si>
    <t>岩朝 恵美</t>
  </si>
  <si>
    <t>ユーエスエムアール</t>
  </si>
  <si>
    <t>鈴木 眞乃</t>
  </si>
  <si>
    <t>笠間 敏江</t>
  </si>
  <si>
    <t>福田 咲</t>
  </si>
  <si>
    <t>伊藤 康代</t>
  </si>
  <si>
    <t>ＭＡＸＩＭＵＭスキーチーム</t>
  </si>
  <si>
    <t>齋藤 きらり</t>
  </si>
  <si>
    <t>吉村 菜々子</t>
  </si>
  <si>
    <t>荻野 奈々子</t>
  </si>
  <si>
    <t>大髙 千絵</t>
  </si>
  <si>
    <t>中村 晶子</t>
  </si>
  <si>
    <t>ＮＥＣ府中スキー部</t>
  </si>
  <si>
    <t>川上 真佐子</t>
  </si>
  <si>
    <t>荒川区スキー連盟</t>
  </si>
  <si>
    <t>中川 碧恵</t>
  </si>
  <si>
    <t>豊島 明莉</t>
  </si>
  <si>
    <t>東京デフスキークラブ</t>
  </si>
  <si>
    <t>八代 桃香</t>
  </si>
  <si>
    <t>吉田 絢音</t>
  </si>
  <si>
    <t>渡辺 ひかる</t>
  </si>
  <si>
    <t>斉藤 絵美子</t>
  </si>
  <si>
    <t>大田区役所スキー部</t>
  </si>
  <si>
    <t>深澤 睦子</t>
  </si>
  <si>
    <t>トルベ・コムラード</t>
  </si>
  <si>
    <t>宮嶋 有紀子</t>
  </si>
  <si>
    <t>二十日石アルペンスキークラブ</t>
  </si>
  <si>
    <t>上平 梢</t>
  </si>
  <si>
    <t>干場 智子</t>
  </si>
  <si>
    <t>細田 光希</t>
  </si>
  <si>
    <t>チームディーエルベーハースキークラブ</t>
  </si>
  <si>
    <t>嶋崎 愛文</t>
  </si>
  <si>
    <t>遠藤 美紗希</t>
  </si>
  <si>
    <t>渕脇 達代</t>
  </si>
  <si>
    <t>アロースキークラブ</t>
  </si>
  <si>
    <t>大屋 佳子</t>
  </si>
  <si>
    <t>特別区職員文化体育会スキー部</t>
  </si>
  <si>
    <t>増田 真実子</t>
  </si>
  <si>
    <t>東京スキー研究会</t>
  </si>
  <si>
    <t>戸川 ふゆき</t>
  </si>
  <si>
    <t>眞鍋 栞梨</t>
  </si>
  <si>
    <t>米勢 マイノ</t>
  </si>
  <si>
    <t>難波 さくら</t>
  </si>
  <si>
    <t>高橋 里絵子</t>
  </si>
  <si>
    <t>前田 千広</t>
  </si>
  <si>
    <t>福原 眞澄</t>
  </si>
  <si>
    <t>中冨 結衣</t>
  </si>
  <si>
    <t>藤原 明香</t>
  </si>
  <si>
    <t>東京ベーレンスキークラブ</t>
  </si>
  <si>
    <t>中島 翠生</t>
  </si>
  <si>
    <t>高橋 佑佳</t>
  </si>
  <si>
    <t>鎌田 理緒</t>
  </si>
  <si>
    <t>石井 裕子</t>
  </si>
  <si>
    <t>フロイデ・シー・グルッペ</t>
  </si>
  <si>
    <t>亀井 心葉</t>
  </si>
  <si>
    <t>アカデミースキークラブ</t>
  </si>
  <si>
    <t>村上 小雪</t>
  </si>
  <si>
    <t>工藤 莉里</t>
  </si>
  <si>
    <t>室橋 美早紀</t>
  </si>
  <si>
    <t>小松 晴美</t>
  </si>
  <si>
    <t>メティースキークラブ</t>
  </si>
  <si>
    <t>中島 聖生</t>
  </si>
  <si>
    <t>〇</t>
    <phoneticPr fontId="2"/>
  </si>
  <si>
    <t>小原 万理恵</t>
  </si>
  <si>
    <t>松田 瑞稀</t>
  </si>
  <si>
    <t>竹内 尚美</t>
  </si>
  <si>
    <t>金子 奈央</t>
  </si>
  <si>
    <t>稲垣 由奈</t>
  </si>
  <si>
    <t>大門 由真</t>
  </si>
  <si>
    <t>杉山 未彩</t>
  </si>
  <si>
    <t>安間 万智</t>
  </si>
  <si>
    <t>野上 結季乃</t>
  </si>
  <si>
    <t>滝 れい</t>
  </si>
  <si>
    <t>ツィールトウキョウ（Ｚieｌ Tokyo)</t>
  </si>
  <si>
    <t>田島 南海</t>
  </si>
  <si>
    <t>村上 明日香</t>
  </si>
  <si>
    <t>バディスポーツクラブ</t>
  </si>
  <si>
    <t>笹目 由紀恵</t>
  </si>
  <si>
    <t>チロルスキークラブ</t>
  </si>
  <si>
    <t>制野 千賀子</t>
  </si>
  <si>
    <t>芦垣 綾菜</t>
  </si>
  <si>
    <t>島田 ティナ</t>
  </si>
  <si>
    <t>岡村 彩加</t>
  </si>
  <si>
    <t>渡辺 美帆</t>
  </si>
  <si>
    <t>スポーツユニティ</t>
  </si>
  <si>
    <t>小野山 耶子</t>
  </si>
  <si>
    <t>水田 朝子</t>
  </si>
  <si>
    <t>港区スキー連盟</t>
  </si>
  <si>
    <t>山田 道子</t>
  </si>
  <si>
    <t>澤村 クレタ</t>
  </si>
  <si>
    <t>児玉 千尋</t>
  </si>
  <si>
    <t>染谷 雪恵</t>
  </si>
  <si>
    <t>エスプリレーシング</t>
  </si>
  <si>
    <t>酒井 あすか</t>
  </si>
  <si>
    <t>青木 愛</t>
  </si>
  <si>
    <t>佃 瞳子</t>
  </si>
  <si>
    <t>德重 舞</t>
  </si>
  <si>
    <t>上條 蓮奈</t>
  </si>
  <si>
    <t>石原 南</t>
  </si>
  <si>
    <t>宮本 香苗</t>
  </si>
  <si>
    <t>小山 かやの</t>
  </si>
  <si>
    <t>雪桜会</t>
  </si>
  <si>
    <t>藤田 美怜</t>
  </si>
  <si>
    <t>磯﨑 貴奈</t>
  </si>
  <si>
    <t>宮澤 莉子</t>
  </si>
  <si>
    <t>日高 絵梨香</t>
  </si>
  <si>
    <t>練馬区スキー協会</t>
  </si>
  <si>
    <t>吉岡 ゆかり</t>
  </si>
  <si>
    <t>稲葉 みずき</t>
  </si>
  <si>
    <t>上村 貴代子</t>
  </si>
  <si>
    <t>村岡 美紀</t>
  </si>
  <si>
    <t>渋谷区スキー連盟</t>
  </si>
  <si>
    <t>篠塚 しのぶ</t>
  </si>
  <si>
    <t>スキーチームアスリート</t>
  </si>
  <si>
    <t>渋谷 咲綺</t>
  </si>
  <si>
    <t>佃 柊子</t>
  </si>
  <si>
    <t>松尾 有紗</t>
  </si>
  <si>
    <t>喜多 由美</t>
  </si>
  <si>
    <t>デモネージュスキークラブ</t>
  </si>
  <si>
    <t>鈴木 優里</t>
  </si>
  <si>
    <t>東京アマチュア・スキー・クラブ</t>
  </si>
  <si>
    <t>井上 樹</t>
  </si>
  <si>
    <t>三橋 恵</t>
  </si>
  <si>
    <t>石井 裕美</t>
  </si>
  <si>
    <t>丸沼高原レーシングクラブ</t>
  </si>
  <si>
    <t>中村 ちむり</t>
  </si>
  <si>
    <t>太田 美子</t>
  </si>
  <si>
    <t>峯岸 舞</t>
  </si>
  <si>
    <t>米本 彩乃</t>
  </si>
  <si>
    <t>楫野 美穂</t>
  </si>
  <si>
    <t>白馬スキークラブ</t>
  </si>
  <si>
    <t>渡部 小乃葉</t>
  </si>
  <si>
    <t>モンタナスキークラブ</t>
  </si>
  <si>
    <t>佐々木 幸子</t>
  </si>
  <si>
    <t>イエティスキークラブ</t>
  </si>
  <si>
    <t>平野 まみ</t>
  </si>
  <si>
    <t>後藤 優里</t>
  </si>
  <si>
    <t>城田 千晶</t>
  </si>
  <si>
    <t>武井 久子</t>
  </si>
  <si>
    <t>チーム・ビートゥー・ゼット</t>
  </si>
  <si>
    <t>原田 朱莉</t>
  </si>
  <si>
    <t>杉本 英子</t>
  </si>
  <si>
    <t>東京ミタカファーストスキークラブ</t>
  </si>
  <si>
    <t>山田 かれん</t>
  </si>
  <si>
    <t>設楽 章子</t>
  </si>
  <si>
    <t>小河 裕子</t>
  </si>
  <si>
    <t>奥多摩スキークラブ</t>
  </si>
  <si>
    <t>小川 愛</t>
  </si>
  <si>
    <t>坂 沙希子</t>
  </si>
  <si>
    <t>安藤 巴菜</t>
  </si>
  <si>
    <t>永瀬 姫菜</t>
  </si>
  <si>
    <t>澤田 陽子</t>
  </si>
  <si>
    <t>ブランシェリースキー クローブ</t>
  </si>
  <si>
    <t>齋藤 千穂</t>
  </si>
  <si>
    <t>峯岸 茜</t>
  </si>
  <si>
    <t>石井 雅萌</t>
  </si>
  <si>
    <t>小沼 有見佳</t>
  </si>
  <si>
    <t>蟹澤 初美</t>
  </si>
  <si>
    <t>太田 ゆかり</t>
  </si>
  <si>
    <t>東京燕スキー倶楽部</t>
  </si>
  <si>
    <t>掛川 京子</t>
  </si>
  <si>
    <t>野尻 幸子</t>
  </si>
  <si>
    <t>小野口 真淑</t>
  </si>
  <si>
    <t>日本ユニシススキークラブ</t>
  </si>
  <si>
    <t>設樂 英里子</t>
  </si>
  <si>
    <t>中俣 美咲</t>
  </si>
  <si>
    <t>内藤 えみ子</t>
  </si>
  <si>
    <t>日本レーシングスキークラブ</t>
  </si>
  <si>
    <t>天野 美奈</t>
  </si>
  <si>
    <t>髙橋 麻佑</t>
  </si>
  <si>
    <t>川島 紀代美</t>
  </si>
  <si>
    <t>板橋区スキー協会</t>
  </si>
  <si>
    <t>宇田川 藍</t>
  </si>
  <si>
    <t>伊藤 美紅</t>
  </si>
  <si>
    <t>才野木 緑</t>
  </si>
  <si>
    <t>安蔵 素乃</t>
  </si>
  <si>
    <t>髙井 奏乃</t>
  </si>
  <si>
    <t>石野 ちはる</t>
  </si>
  <si>
    <t>谷 寿子</t>
  </si>
  <si>
    <t>三田ディモンズクラブ</t>
  </si>
  <si>
    <t>石川 彩音</t>
  </si>
  <si>
    <t>早川 亜美</t>
  </si>
  <si>
    <t>バモススキークラブ</t>
  </si>
  <si>
    <t>後藤 美裕</t>
  </si>
  <si>
    <t>シュアスキークラブ</t>
  </si>
  <si>
    <t>玄地 里佳子</t>
  </si>
  <si>
    <t>ジーファクトリー</t>
  </si>
  <si>
    <t>辻 あき江</t>
  </si>
  <si>
    <t>五十嵐 理紗</t>
  </si>
  <si>
    <t>松下 陽子</t>
  </si>
  <si>
    <t>磯崎 小菜美</t>
  </si>
  <si>
    <t>田中 葵</t>
  </si>
  <si>
    <t>栗本 ゆう子</t>
  </si>
  <si>
    <t>ヌプリスキー同人</t>
  </si>
  <si>
    <t>小田桐 茉柚</t>
  </si>
  <si>
    <t>加藤 遥</t>
  </si>
  <si>
    <t>佐々木 青葉</t>
  </si>
  <si>
    <t>東 伊織</t>
  </si>
  <si>
    <t>塩原 鈴明</t>
  </si>
  <si>
    <t>鈴木 陽菜子</t>
  </si>
  <si>
    <t>矢ヶ崎 尚江</t>
  </si>
  <si>
    <t>ダンディ・スキー・クラブ</t>
  </si>
  <si>
    <t>武富 零央</t>
  </si>
  <si>
    <t>藤本 紗希</t>
  </si>
  <si>
    <t>岡田 加苗</t>
  </si>
  <si>
    <t>河内 香織</t>
  </si>
  <si>
    <t>斉藤 美紀</t>
  </si>
  <si>
    <t>岩崎 香絵</t>
  </si>
  <si>
    <t>城ヶ崎 小都</t>
  </si>
  <si>
    <t>森岡 真希奈</t>
  </si>
  <si>
    <t>鳴島 沙紀</t>
  </si>
  <si>
    <t>朝里 梨世</t>
  </si>
  <si>
    <t>鈴木 茉南</t>
  </si>
  <si>
    <t>井上 彩衣</t>
  </si>
  <si>
    <t>原 露子</t>
  </si>
  <si>
    <t>Ｓ．Ｃ．コロポックル</t>
  </si>
  <si>
    <t>森谷 瑠花</t>
  </si>
  <si>
    <t>田中 靖子</t>
  </si>
  <si>
    <t>日産自動車東京本社スキー部</t>
  </si>
  <si>
    <t>石川 優</t>
  </si>
  <si>
    <t>スポーツファンクション</t>
  </si>
  <si>
    <t>鈴木 木美</t>
  </si>
  <si>
    <t>喜地 真鈴</t>
  </si>
  <si>
    <t>原田 宏子</t>
  </si>
  <si>
    <t>清田 華</t>
  </si>
  <si>
    <t>落合 麻理子</t>
  </si>
  <si>
    <t>ヴァイス・ホルン</t>
  </si>
  <si>
    <t>奥田 淑乃</t>
  </si>
  <si>
    <t>江沢 圭子</t>
  </si>
  <si>
    <t>赤坂 陽子</t>
  </si>
  <si>
    <t>ＫＤＤＩスキークラブ</t>
  </si>
  <si>
    <t>大越 春佳</t>
  </si>
  <si>
    <t>西村 三咲</t>
  </si>
  <si>
    <t>三井 睦貴</t>
  </si>
  <si>
    <t>広瀬 真菜</t>
  </si>
  <si>
    <t>笹口 果乃</t>
  </si>
  <si>
    <t>土志田 理佐</t>
  </si>
  <si>
    <t>大泉 智香子</t>
  </si>
  <si>
    <t>宮山 奈々子</t>
  </si>
  <si>
    <t>木村 美玖</t>
  </si>
  <si>
    <t>山田 千陽</t>
  </si>
  <si>
    <t>ホワイト・ベア・クラブ</t>
  </si>
  <si>
    <t>猪野 愛梨亜</t>
  </si>
  <si>
    <t>本田 睦子</t>
  </si>
  <si>
    <t>辻口 由奈</t>
  </si>
  <si>
    <t>野上 千尋</t>
  </si>
  <si>
    <t>石山 美花</t>
  </si>
  <si>
    <t>板倉 三恵子</t>
  </si>
  <si>
    <t>細谷 くるみ</t>
  </si>
  <si>
    <t>桂 唯夏</t>
  </si>
  <si>
    <t>姉崎 洋子</t>
  </si>
  <si>
    <t>仲山スキークラブ</t>
  </si>
  <si>
    <t>長野 蒼生</t>
  </si>
  <si>
    <t>大矢 優樹</t>
  </si>
  <si>
    <t>やまなみスキークラブ</t>
  </si>
  <si>
    <t>池田 麻衣</t>
  </si>
  <si>
    <t>島田 リリア</t>
  </si>
  <si>
    <t>安川 容子</t>
  </si>
  <si>
    <t>ロベンドスキークラブ</t>
  </si>
  <si>
    <t>鈴木 早苗</t>
  </si>
  <si>
    <t>ベラーク</t>
  </si>
  <si>
    <t>金沢 由紀</t>
  </si>
  <si>
    <t>高木 陽香</t>
  </si>
  <si>
    <t>月岡 麻衣子</t>
  </si>
  <si>
    <t>原 怜音</t>
  </si>
  <si>
    <t>髙口 晴香</t>
  </si>
  <si>
    <t>酒井 ますみ</t>
  </si>
  <si>
    <t>松原 由依</t>
  </si>
  <si>
    <t>村田 祐子</t>
  </si>
  <si>
    <t>宗 春奈</t>
  </si>
  <si>
    <t>友田 果歩</t>
  </si>
  <si>
    <t>小川 慶都</t>
  </si>
  <si>
    <t>木村 浩子</t>
  </si>
  <si>
    <t>石井 咲亜耶</t>
  </si>
  <si>
    <t>矢頭 千夏</t>
  </si>
  <si>
    <t>桜井 圭子</t>
  </si>
  <si>
    <t>芦界 渚砂</t>
  </si>
  <si>
    <t>佐草 真耶</t>
  </si>
  <si>
    <t>森 理葉</t>
  </si>
  <si>
    <t>大野 舞</t>
  </si>
  <si>
    <t>本間 日奈子</t>
  </si>
  <si>
    <t>森井 華</t>
  </si>
  <si>
    <t>齋藤 恭子</t>
  </si>
  <si>
    <t>濱田 悠嘉</t>
  </si>
  <si>
    <t>行田 ゆう</t>
  </si>
  <si>
    <t>菊池 優菜</t>
  </si>
  <si>
    <t>本間 かほる</t>
  </si>
  <si>
    <t>竹内 花音</t>
  </si>
  <si>
    <t>岡村 リサ</t>
  </si>
  <si>
    <t>横溝 女莉</t>
  </si>
  <si>
    <t>阿部 昌子</t>
  </si>
  <si>
    <t>高石 優子</t>
  </si>
  <si>
    <t>新出 彩夏</t>
  </si>
  <si>
    <t>大平 春花</t>
  </si>
  <si>
    <t>種田 有里</t>
  </si>
  <si>
    <t>菊池 菜七子</t>
  </si>
  <si>
    <t>石崎 清子</t>
  </si>
  <si>
    <t>クラシックスキークラブ</t>
  </si>
  <si>
    <t>山口 玲奈</t>
  </si>
  <si>
    <t>原 杏樹</t>
  </si>
  <si>
    <t>白濱 里織</t>
  </si>
  <si>
    <t>野邊 あかり</t>
  </si>
  <si>
    <t>佐藤 優真</t>
  </si>
  <si>
    <t>森井 愛</t>
  </si>
  <si>
    <t>鎌形 麻里</t>
  </si>
  <si>
    <t>アートスポーツスキークラブ</t>
  </si>
  <si>
    <t>緑川 慶子</t>
  </si>
  <si>
    <t>來田 百合香</t>
  </si>
  <si>
    <t>樋口 紗英</t>
  </si>
  <si>
    <t>三浦 和子</t>
  </si>
  <si>
    <t>山野井 瑞姫</t>
  </si>
  <si>
    <t>足立 紗菜</t>
  </si>
  <si>
    <t>伊東 佑奈</t>
  </si>
  <si>
    <t>小原 遙佳</t>
  </si>
  <si>
    <t>足立 莉菜</t>
  </si>
  <si>
    <t>根木 はるな</t>
  </si>
  <si>
    <t>長谷川 敬子</t>
  </si>
  <si>
    <t>笠原 寧音</t>
  </si>
  <si>
    <t>細谷 かりん</t>
  </si>
  <si>
    <t>徳楽 香奈子</t>
  </si>
  <si>
    <t>佐藤 瑠菜</t>
  </si>
  <si>
    <t>森山 結似</t>
  </si>
  <si>
    <t>岡山 風花</t>
  </si>
  <si>
    <t>仮屋崎 楓</t>
  </si>
  <si>
    <t>狩集 未来</t>
  </si>
  <si>
    <t>山本 彩奈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</si>
</sst>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176" fontId="0" fillId="0" borderId="0" xfId="0" applyNumberFormat="1" applyFill="1" applyAlignment="1">
      <alignment vertical="center" shrinkToFit="1"/>
    </xf>
    <xf numFmtId="176" fontId="0" fillId="0" borderId="0" xfId="0" applyNumberFormat="1" applyFill="1">
      <alignment vertical="center"/>
    </xf>
    <xf numFmtId="176" fontId="3" fillId="0" borderId="0" xfId="0" applyNumberFormat="1" applyFont="1" applyFill="1" applyAlignment="1">
      <alignment horizontal="right" vertical="center"/>
    </xf>
    <xf numFmtId="176" fontId="0" fillId="0" borderId="0" xfId="0" applyNumberFormat="1" applyFill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0" fontId="0" fillId="0" borderId="1" xfId="0" applyFont="1" applyFill="1" applyBorder="1" applyAlignment="1">
      <alignment vertical="center" shrinkToFit="1"/>
    </xf>
    <xf numFmtId="0" fontId="1" fillId="0" borderId="1" xfId="0" applyFont="1" applyFill="1" applyBorder="1" applyAlignment="1">
      <alignment vertical="center" shrinkToFit="1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0" fillId="0" borderId="1" xfId="0" applyFill="1" applyBorder="1" applyAlignment="1">
      <alignment vertical="center" shrinkToFit="1"/>
    </xf>
    <xf numFmtId="0" fontId="0" fillId="0" borderId="1" xfId="0" applyFill="1" applyBorder="1">
      <alignment vertical="center"/>
    </xf>
    <xf numFmtId="0" fontId="3" fillId="0" borderId="1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shrinkToFit="1"/>
    </xf>
    <xf numFmtId="0" fontId="3" fillId="0" borderId="0" xfId="0" applyFont="1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E356"/>
  <sheetViews>
    <sheetView tabSelected="1" workbookViewId="0">
      <selection activeCell="G12" sqref="G12"/>
    </sheetView>
  </sheetViews>
  <sheetFormatPr baseColWidth="12" defaultColWidth="11.5" defaultRowHeight="17" x14ac:dyDescent="0"/>
  <cols>
    <col min="1" max="2" width="12.83203125" style="20" customWidth="1"/>
    <col min="3" max="3" width="24" style="20" customWidth="1"/>
    <col min="4" max="4" width="40.6640625" style="20" customWidth="1"/>
    <col min="5" max="5" width="12" style="19" hidden="1" customWidth="1"/>
    <col min="6" max="6" width="0" style="19" hidden="1" customWidth="1"/>
    <col min="7" max="7" width="12.83203125" style="21" customWidth="1"/>
    <col min="8" max="8" width="10.6640625" style="22" customWidth="1"/>
    <col min="9" max="10" width="10.83203125" style="19" hidden="1" customWidth="1"/>
    <col min="11" max="31" width="12.83203125" style="23" customWidth="1"/>
    <col min="32" max="49" width="12.83203125" style="19" customWidth="1"/>
    <col min="50" max="16384" width="11.5" style="19"/>
  </cols>
  <sheetData>
    <row r="1" spans="1:31" s="2" customFormat="1">
      <c r="A1" s="1" t="s">
        <v>0</v>
      </c>
      <c r="B1" s="1"/>
      <c r="C1" s="1" t="s">
        <v>1</v>
      </c>
      <c r="D1" s="1"/>
      <c r="G1" s="3"/>
      <c r="H1" s="4"/>
      <c r="K1" s="5" t="s">
        <v>2</v>
      </c>
      <c r="L1" s="5">
        <v>0</v>
      </c>
      <c r="M1" s="5">
        <v>0</v>
      </c>
      <c r="N1" s="5">
        <v>158.79</v>
      </c>
      <c r="O1" s="5">
        <v>135.19</v>
      </c>
      <c r="P1" s="5">
        <v>178</v>
      </c>
      <c r="Q1" s="5">
        <v>149.69999999999999</v>
      </c>
      <c r="R1" s="5">
        <v>106.93</v>
      </c>
      <c r="S1" s="5">
        <v>123.74</v>
      </c>
      <c r="T1" s="5">
        <v>94.45</v>
      </c>
      <c r="U1" s="5">
        <v>39.340000000000003</v>
      </c>
      <c r="V1" s="5">
        <v>40.270000000000003</v>
      </c>
      <c r="W1" s="5">
        <v>122.9</v>
      </c>
      <c r="X1" s="5">
        <v>0</v>
      </c>
      <c r="Y1" s="5">
        <v>137.81</v>
      </c>
      <c r="Z1" s="5">
        <v>54.19</v>
      </c>
      <c r="AA1" s="5">
        <v>52.08</v>
      </c>
      <c r="AB1" s="5">
        <v>136.4</v>
      </c>
      <c r="AC1" s="5">
        <v>115.06</v>
      </c>
      <c r="AD1" s="5">
        <v>110.56</v>
      </c>
      <c r="AE1" s="5">
        <v>103.15</v>
      </c>
    </row>
    <row r="2" spans="1:31" s="13" customFormat="1" ht="40">
      <c r="A2" s="6" t="s">
        <v>3</v>
      </c>
      <c r="B2" s="7" t="s">
        <v>4</v>
      </c>
      <c r="C2" s="7" t="s">
        <v>5</v>
      </c>
      <c r="D2" s="7" t="s">
        <v>6</v>
      </c>
      <c r="E2" s="8" t="s">
        <v>7</v>
      </c>
      <c r="F2" s="8" t="s">
        <v>8</v>
      </c>
      <c r="G2" s="9" t="s">
        <v>9</v>
      </c>
      <c r="H2" s="10" t="s">
        <v>10</v>
      </c>
      <c r="I2" s="8" t="s">
        <v>11</v>
      </c>
      <c r="J2" s="11" t="s">
        <v>12</v>
      </c>
      <c r="K2" s="10" t="s">
        <v>13</v>
      </c>
      <c r="L2" s="12" t="s">
        <v>14</v>
      </c>
      <c r="M2" s="12" t="s">
        <v>15</v>
      </c>
      <c r="N2" s="12" t="s">
        <v>16</v>
      </c>
      <c r="O2" s="12" t="s">
        <v>17</v>
      </c>
      <c r="P2" s="12" t="s">
        <v>18</v>
      </c>
      <c r="Q2" s="12" t="s">
        <v>19</v>
      </c>
      <c r="R2" s="12" t="s">
        <v>20</v>
      </c>
      <c r="S2" s="12" t="s">
        <v>21</v>
      </c>
      <c r="T2" s="12" t="s">
        <v>22</v>
      </c>
      <c r="U2" s="12" t="s">
        <v>23</v>
      </c>
      <c r="V2" s="12" t="s">
        <v>24</v>
      </c>
      <c r="W2" s="12" t="s">
        <v>25</v>
      </c>
      <c r="X2" s="12" t="s">
        <v>26</v>
      </c>
      <c r="Y2" s="12" t="s">
        <v>27</v>
      </c>
      <c r="Z2" s="12" t="s">
        <v>28</v>
      </c>
      <c r="AA2" s="12" t="s">
        <v>29</v>
      </c>
      <c r="AB2" s="12" t="s">
        <v>30</v>
      </c>
      <c r="AC2" s="12" t="s">
        <v>31</v>
      </c>
      <c r="AD2" s="12" t="s">
        <v>32</v>
      </c>
      <c r="AE2" s="12" t="s">
        <v>33</v>
      </c>
    </row>
    <row r="3" spans="1:31">
      <c r="A3" s="14">
        <v>1</v>
      </c>
      <c r="B3" s="14">
        <v>1517</v>
      </c>
      <c r="C3" s="14" t="s">
        <v>34</v>
      </c>
      <c r="D3" s="14" t="s">
        <v>35</v>
      </c>
      <c r="E3" s="15" t="str">
        <f>"0.00"</f>
        <v>0.00</v>
      </c>
      <c r="F3" s="15"/>
      <c r="G3" s="16" t="str">
        <f>"0.00"</f>
        <v>0.00</v>
      </c>
      <c r="H3" s="17"/>
      <c r="I3" s="15">
        <v>5</v>
      </c>
      <c r="J3" s="15">
        <v>2016</v>
      </c>
      <c r="K3" s="18"/>
      <c r="L3" s="18" t="str">
        <f>"0.00"</f>
        <v>0.00</v>
      </c>
      <c r="M3" s="18" t="str">
        <f>"0.00"</f>
        <v>0.00</v>
      </c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</row>
    <row r="4" spans="1:31">
      <c r="A4" s="14">
        <v>2</v>
      </c>
      <c r="B4" s="14">
        <v>5175</v>
      </c>
      <c r="C4" s="14" t="s">
        <v>36</v>
      </c>
      <c r="D4" s="14" t="s">
        <v>37</v>
      </c>
      <c r="E4" s="15" t="str">
        <f>"0.00"</f>
        <v>0.00</v>
      </c>
      <c r="F4" s="15"/>
      <c r="G4" s="16" t="str">
        <f>"8.00"</f>
        <v>8.00</v>
      </c>
      <c r="H4" s="17" t="s">
        <v>38</v>
      </c>
      <c r="I4" s="15">
        <v>1</v>
      </c>
      <c r="J4" s="15">
        <v>2016</v>
      </c>
      <c r="K4" s="18" t="str">
        <f>"0.00"</f>
        <v>0.00</v>
      </c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</row>
    <row r="5" spans="1:31">
      <c r="A5" s="14">
        <v>2</v>
      </c>
      <c r="B5" s="14">
        <v>3081</v>
      </c>
      <c r="C5" s="14" t="s">
        <v>39</v>
      </c>
      <c r="D5" s="14" t="s">
        <v>35</v>
      </c>
      <c r="E5" s="15" t="str">
        <f>"40.47"</f>
        <v>40.47</v>
      </c>
      <c r="F5" s="15"/>
      <c r="G5" s="16" t="str">
        <f>"8.00"</f>
        <v>8.00</v>
      </c>
      <c r="H5" s="17" t="s">
        <v>40</v>
      </c>
      <c r="I5" s="15">
        <v>2</v>
      </c>
      <c r="J5" s="15">
        <v>2016</v>
      </c>
      <c r="K5" s="18" t="str">
        <f>"80.93"</f>
        <v>80.93</v>
      </c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 t="str">
        <f>"0.00"</f>
        <v>0.00</v>
      </c>
      <c r="Y5" s="18"/>
      <c r="Z5" s="18"/>
      <c r="AA5" s="18"/>
      <c r="AB5" s="18"/>
      <c r="AC5" s="18"/>
      <c r="AD5" s="18"/>
      <c r="AE5" s="18"/>
    </row>
    <row r="6" spans="1:31">
      <c r="A6" s="14">
        <v>4</v>
      </c>
      <c r="B6" s="14">
        <v>3431</v>
      </c>
      <c r="C6" s="14" t="s">
        <v>41</v>
      </c>
      <c r="D6" s="14" t="s">
        <v>35</v>
      </c>
      <c r="E6" s="15" t="str">
        <f>"5.01"</f>
        <v>5.01</v>
      </c>
      <c r="F6" s="15"/>
      <c r="G6" s="16" t="str">
        <f>"28.24"</f>
        <v>28.24</v>
      </c>
      <c r="H6" s="17"/>
      <c r="I6" s="15">
        <v>3</v>
      </c>
      <c r="J6" s="15">
        <v>2016</v>
      </c>
      <c r="K6" s="18" t="str">
        <f>"5.01"</f>
        <v>5.01</v>
      </c>
      <c r="L6" s="18" t="str">
        <f>"38.56"</f>
        <v>38.56</v>
      </c>
      <c r="M6" s="18" t="str">
        <f>"17.92"</f>
        <v>17.92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</row>
    <row r="7" spans="1:31">
      <c r="A7" s="14">
        <v>5</v>
      </c>
      <c r="B7" s="14">
        <v>5230</v>
      </c>
      <c r="C7" s="14" t="s">
        <v>42</v>
      </c>
      <c r="D7" s="14" t="s">
        <v>37</v>
      </c>
      <c r="E7" s="15" t="str">
        <f>"37.20"</f>
        <v>37.20</v>
      </c>
      <c r="F7" s="15"/>
      <c r="G7" s="16" t="str">
        <f>"37.20"</f>
        <v>37.20</v>
      </c>
      <c r="H7" s="17"/>
      <c r="I7" s="15">
        <v>3</v>
      </c>
      <c r="J7" s="15">
        <v>2016</v>
      </c>
      <c r="K7" s="18" t="str">
        <f>"41.06"</f>
        <v>41.06</v>
      </c>
      <c r="L7" s="18" t="str">
        <f>"54.68"</f>
        <v>54.68</v>
      </c>
      <c r="M7" s="18" t="str">
        <f>"35.06"</f>
        <v>35.06</v>
      </c>
      <c r="N7" s="18"/>
      <c r="O7" s="18"/>
      <c r="P7" s="18"/>
      <c r="Q7" s="18"/>
      <c r="R7" s="18"/>
      <c r="S7" s="18"/>
      <c r="T7" s="18"/>
      <c r="U7" s="18" t="str">
        <f>"39.34"</f>
        <v>39.34</v>
      </c>
      <c r="V7" s="18" t="str">
        <f>"40.27"</f>
        <v>40.27</v>
      </c>
      <c r="W7" s="18"/>
      <c r="X7" s="18"/>
      <c r="Y7" s="18"/>
      <c r="Z7" s="18" t="str">
        <f>"77.93"</f>
        <v>77.93</v>
      </c>
      <c r="AA7" s="18" t="str">
        <f>"78.44"</f>
        <v>78.44</v>
      </c>
      <c r="AB7" s="18"/>
      <c r="AC7" s="18"/>
      <c r="AD7" s="18"/>
      <c r="AE7" s="18"/>
    </row>
    <row r="8" spans="1:31">
      <c r="A8" s="14">
        <v>6</v>
      </c>
      <c r="B8" s="14">
        <v>6630</v>
      </c>
      <c r="C8" s="14" t="s">
        <v>43</v>
      </c>
      <c r="D8" s="14" t="s">
        <v>35</v>
      </c>
      <c r="E8" s="15" t="str">
        <f>"29.68"</f>
        <v>29.68</v>
      </c>
      <c r="F8" s="15"/>
      <c r="G8" s="16" t="str">
        <f>"42.74"</f>
        <v>42.74</v>
      </c>
      <c r="H8" s="17" t="s">
        <v>38</v>
      </c>
      <c r="I8" s="15">
        <v>1</v>
      </c>
      <c r="J8" s="15">
        <v>2016</v>
      </c>
      <c r="K8" s="18" t="str">
        <f>"29.68"</f>
        <v>29.68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</row>
    <row r="9" spans="1:31">
      <c r="A9" s="14">
        <v>7</v>
      </c>
      <c r="B9" s="14">
        <v>6648</v>
      </c>
      <c r="C9" s="14" t="s">
        <v>44</v>
      </c>
      <c r="D9" s="14" t="s">
        <v>45</v>
      </c>
      <c r="E9" s="15" t="str">
        <f>"2.87"</f>
        <v>2.87</v>
      </c>
      <c r="F9" s="15"/>
      <c r="G9" s="16" t="str">
        <f>"43.81"</f>
        <v>43.81</v>
      </c>
      <c r="H9" s="17"/>
      <c r="I9" s="15">
        <v>3</v>
      </c>
      <c r="J9" s="15">
        <v>2016</v>
      </c>
      <c r="K9" s="18" t="str">
        <f>"2.87"</f>
        <v>2.87</v>
      </c>
      <c r="L9" s="18" t="str">
        <f>"55.15"</f>
        <v>55.15</v>
      </c>
      <c r="M9" s="18" t="str">
        <f>"32.46"</f>
        <v>32.46</v>
      </c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</row>
    <row r="10" spans="1:31">
      <c r="A10" s="14">
        <v>8</v>
      </c>
      <c r="B10" s="14">
        <v>2634</v>
      </c>
      <c r="C10" s="14" t="s">
        <v>46</v>
      </c>
      <c r="D10" s="14" t="s">
        <v>47</v>
      </c>
      <c r="E10" s="15" t="str">
        <f>"30.68"</f>
        <v>30.68</v>
      </c>
      <c r="F10" s="15"/>
      <c r="G10" s="16" t="str">
        <f>"44.18"</f>
        <v>44.18</v>
      </c>
      <c r="H10" s="17" t="s">
        <v>38</v>
      </c>
      <c r="I10" s="15">
        <v>1</v>
      </c>
      <c r="J10" s="15">
        <v>2016</v>
      </c>
      <c r="K10" s="18" t="str">
        <f>"30.68"</f>
        <v>30.68</v>
      </c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</row>
    <row r="11" spans="1:31">
      <c r="A11" s="14">
        <v>9</v>
      </c>
      <c r="B11" s="14">
        <v>10326</v>
      </c>
      <c r="C11" s="14" t="s">
        <v>48</v>
      </c>
      <c r="D11" s="14" t="s">
        <v>37</v>
      </c>
      <c r="E11" s="15" t="str">
        <f>"44.55"</f>
        <v>44.55</v>
      </c>
      <c r="F11" s="15"/>
      <c r="G11" s="16" t="str">
        <f>"52.29"</f>
        <v>52.29</v>
      </c>
      <c r="H11" s="17"/>
      <c r="I11" s="15">
        <v>3</v>
      </c>
      <c r="J11" s="15">
        <v>2016</v>
      </c>
      <c r="K11" s="18" t="str">
        <f>"44.55"</f>
        <v>44.55</v>
      </c>
      <c r="L11" s="18" t="str">
        <f>"75.47"</f>
        <v>75.47</v>
      </c>
      <c r="M11" s="18"/>
      <c r="N11" s="18"/>
      <c r="O11" s="18"/>
      <c r="P11" s="18"/>
      <c r="Q11" s="18"/>
      <c r="R11" s="18"/>
      <c r="S11" s="18"/>
      <c r="T11" s="18"/>
      <c r="U11" s="18" t="str">
        <f>"61.93"</f>
        <v>61.93</v>
      </c>
      <c r="V11" s="18" t="str">
        <f>"52.50"</f>
        <v>52.50</v>
      </c>
      <c r="W11" s="18"/>
      <c r="X11" s="18"/>
      <c r="Y11" s="18"/>
      <c r="Z11" s="18" t="str">
        <f>"54.19"</f>
        <v>54.19</v>
      </c>
      <c r="AA11" s="18" t="str">
        <f>"52.08"</f>
        <v>52.08</v>
      </c>
      <c r="AB11" s="18"/>
      <c r="AC11" s="18"/>
      <c r="AD11" s="18"/>
      <c r="AE11" s="18"/>
    </row>
    <row r="12" spans="1:31">
      <c r="A12" s="14">
        <v>10</v>
      </c>
      <c r="B12" s="14">
        <v>5189</v>
      </c>
      <c r="C12" s="14" t="s">
        <v>49</v>
      </c>
      <c r="D12" s="14" t="s">
        <v>50</v>
      </c>
      <c r="E12" s="15" t="str">
        <f>"63.99"</f>
        <v>63.99</v>
      </c>
      <c r="F12" s="15"/>
      <c r="G12" s="16" t="str">
        <f>"63.99"</f>
        <v>63.99</v>
      </c>
      <c r="H12" s="17"/>
      <c r="I12" s="15">
        <v>3</v>
      </c>
      <c r="J12" s="15">
        <v>2016</v>
      </c>
      <c r="K12" s="18" t="str">
        <f>"78.24"</f>
        <v>78.24</v>
      </c>
      <c r="L12" s="18" t="str">
        <f>"75.01"</f>
        <v>75.01</v>
      </c>
      <c r="M12" s="18" t="str">
        <f>"52.97"</f>
        <v>52.97</v>
      </c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</row>
    <row r="13" spans="1:31">
      <c r="A13" s="14">
        <v>11</v>
      </c>
      <c r="B13" s="14">
        <v>7247</v>
      </c>
      <c r="C13" s="14" t="s">
        <v>51</v>
      </c>
      <c r="D13" s="14" t="s">
        <v>52</v>
      </c>
      <c r="E13" s="15" t="str">
        <f>"33.64"</f>
        <v>33.64</v>
      </c>
      <c r="F13" s="15"/>
      <c r="G13" s="16" t="str">
        <f>"67.97"</f>
        <v>67.97</v>
      </c>
      <c r="H13" s="17"/>
      <c r="I13" s="15">
        <v>3</v>
      </c>
      <c r="J13" s="15">
        <v>2016</v>
      </c>
      <c r="K13" s="18" t="str">
        <f>"33.64"</f>
        <v>33.64</v>
      </c>
      <c r="L13" s="18" t="str">
        <f>"99.07"</f>
        <v>99.07</v>
      </c>
      <c r="M13" s="18" t="str">
        <f>"36.87"</f>
        <v>36.87</v>
      </c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</row>
    <row r="14" spans="1:31">
      <c r="A14" s="14">
        <v>12</v>
      </c>
      <c r="B14" s="14">
        <v>3957</v>
      </c>
      <c r="C14" s="14" t="s">
        <v>53</v>
      </c>
      <c r="D14" s="14" t="s">
        <v>37</v>
      </c>
      <c r="E14" s="15" t="str">
        <f>"55.22"</f>
        <v>55.22</v>
      </c>
      <c r="F14" s="15"/>
      <c r="G14" s="16" t="str">
        <f>"72.27"</f>
        <v>72.27</v>
      </c>
      <c r="H14" s="17"/>
      <c r="I14" s="15">
        <v>3</v>
      </c>
      <c r="J14" s="15">
        <v>2016</v>
      </c>
      <c r="K14" s="18" t="str">
        <f>"55.22"</f>
        <v>55.22</v>
      </c>
      <c r="L14" s="18" t="str">
        <f>"93.23"</f>
        <v>93.23</v>
      </c>
      <c r="M14" s="18" t="str">
        <f>"63.62"</f>
        <v>63.62</v>
      </c>
      <c r="N14" s="18"/>
      <c r="O14" s="18"/>
      <c r="P14" s="18"/>
      <c r="Q14" s="18"/>
      <c r="R14" s="18"/>
      <c r="S14" s="18"/>
      <c r="T14" s="18"/>
      <c r="U14" s="18" t="str">
        <f>"80.92"</f>
        <v>80.92</v>
      </c>
      <c r="V14" s="18" t="str">
        <f>"83.95"</f>
        <v>83.95</v>
      </c>
      <c r="W14" s="18"/>
      <c r="X14" s="18"/>
      <c r="Y14" s="18"/>
      <c r="Z14" s="18"/>
      <c r="AA14" s="18"/>
      <c r="AB14" s="18"/>
      <c r="AC14" s="18"/>
      <c r="AD14" s="18"/>
      <c r="AE14" s="18"/>
    </row>
    <row r="15" spans="1:31">
      <c r="A15" s="14">
        <v>13</v>
      </c>
      <c r="B15" s="14">
        <v>2186</v>
      </c>
      <c r="C15" s="14" t="s">
        <v>54</v>
      </c>
      <c r="D15" s="14" t="s">
        <v>55</v>
      </c>
      <c r="E15" s="15" t="str">
        <f>"123.24"</f>
        <v>123.24</v>
      </c>
      <c r="F15" s="15"/>
      <c r="G15" s="16" t="str">
        <f>"72.98"</f>
        <v>72.98</v>
      </c>
      <c r="H15" s="17" t="s">
        <v>40</v>
      </c>
      <c r="I15" s="15">
        <v>2</v>
      </c>
      <c r="J15" s="15">
        <v>2016</v>
      </c>
      <c r="K15" s="18" t="str">
        <f>"195.79"</f>
        <v>195.79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 t="str">
        <f>"50.68"</f>
        <v>50.68</v>
      </c>
      <c r="Y15" s="18"/>
      <c r="Z15" s="18"/>
      <c r="AA15" s="18"/>
      <c r="AB15" s="18"/>
      <c r="AC15" s="18"/>
      <c r="AD15" s="18"/>
      <c r="AE15" s="18"/>
    </row>
    <row r="16" spans="1:31">
      <c r="A16" s="14">
        <v>14</v>
      </c>
      <c r="B16" s="14">
        <v>4165</v>
      </c>
      <c r="C16" s="14" t="s">
        <v>56</v>
      </c>
      <c r="D16" s="14" t="s">
        <v>37</v>
      </c>
      <c r="E16" s="15" t="str">
        <f>"66.98"</f>
        <v>66.98</v>
      </c>
      <c r="F16" s="15"/>
      <c r="G16" s="16" t="str">
        <f>"73.42"</f>
        <v>73.42</v>
      </c>
      <c r="H16" s="17"/>
      <c r="I16" s="15">
        <v>3</v>
      </c>
      <c r="J16" s="15">
        <v>2016</v>
      </c>
      <c r="K16" s="18" t="str">
        <f>"70.08"</f>
        <v>70.08</v>
      </c>
      <c r="L16" s="18" t="str">
        <f>"82.95"</f>
        <v>82.95</v>
      </c>
      <c r="M16" s="18" t="str">
        <f>"63.88"</f>
        <v>63.88</v>
      </c>
      <c r="N16" s="18"/>
      <c r="O16" s="18"/>
      <c r="P16" s="18"/>
      <c r="Q16" s="18"/>
      <c r="R16" s="18"/>
      <c r="S16" s="18"/>
      <c r="T16" s="18"/>
      <c r="U16" s="18" t="str">
        <f>"96.03"</f>
        <v>96.03</v>
      </c>
      <c r="V16" s="18" t="str">
        <f>"105.85"</f>
        <v>105.85</v>
      </c>
      <c r="W16" s="18"/>
      <c r="X16" s="18"/>
      <c r="Y16" s="18"/>
      <c r="Z16" s="18"/>
      <c r="AA16" s="18"/>
      <c r="AB16" s="18"/>
      <c r="AC16" s="18"/>
      <c r="AD16" s="18"/>
      <c r="AE16" s="18"/>
    </row>
    <row r="17" spans="1:31">
      <c r="A17" s="14">
        <v>15</v>
      </c>
      <c r="B17" s="14">
        <v>5185</v>
      </c>
      <c r="C17" s="14" t="s">
        <v>57</v>
      </c>
      <c r="D17" s="14" t="s">
        <v>37</v>
      </c>
      <c r="E17" s="15" t="str">
        <f>"67.34"</f>
        <v>67.34</v>
      </c>
      <c r="F17" s="15"/>
      <c r="G17" s="16" t="str">
        <f>"74.35"</f>
        <v>74.35</v>
      </c>
      <c r="H17" s="17"/>
      <c r="I17" s="15">
        <v>3</v>
      </c>
      <c r="J17" s="15">
        <v>2016</v>
      </c>
      <c r="K17" s="18" t="str">
        <f>"67.34"</f>
        <v>67.34</v>
      </c>
      <c r="L17" s="18" t="str">
        <f>"113.33"</f>
        <v>113.33</v>
      </c>
      <c r="M17" s="18" t="str">
        <f>"76.08"</f>
        <v>76.08</v>
      </c>
      <c r="N17" s="18"/>
      <c r="O17" s="18"/>
      <c r="P17" s="18"/>
      <c r="Q17" s="18"/>
      <c r="R17" s="18"/>
      <c r="S17" s="18"/>
      <c r="T17" s="18"/>
      <c r="U17" s="18" t="str">
        <f>"81.59"</f>
        <v>81.59</v>
      </c>
      <c r="V17" s="18" t="str">
        <f>"72.61"</f>
        <v>72.61</v>
      </c>
      <c r="W17" s="18"/>
      <c r="X17" s="18"/>
      <c r="Y17" s="18"/>
      <c r="Z17" s="18" t="str">
        <f>"90.07"</f>
        <v>90.07</v>
      </c>
      <c r="AA17" s="18" t="str">
        <f>"103.30"</f>
        <v>103.30</v>
      </c>
      <c r="AB17" s="18"/>
      <c r="AC17" s="18"/>
      <c r="AD17" s="18"/>
      <c r="AE17" s="18"/>
    </row>
    <row r="18" spans="1:31">
      <c r="A18" s="14">
        <v>16</v>
      </c>
      <c r="B18" s="14">
        <v>1961</v>
      </c>
      <c r="C18" s="14" t="s">
        <v>58</v>
      </c>
      <c r="D18" s="14" t="s">
        <v>59</v>
      </c>
      <c r="E18" s="15" t="str">
        <f>"54.24"</f>
        <v>54.24</v>
      </c>
      <c r="F18" s="15"/>
      <c r="G18" s="16" t="str">
        <f>"78.11"</f>
        <v>78.11</v>
      </c>
      <c r="H18" s="17" t="s">
        <v>38</v>
      </c>
      <c r="I18" s="15">
        <v>1</v>
      </c>
      <c r="J18" s="15">
        <v>2016</v>
      </c>
      <c r="K18" s="18" t="str">
        <f>"54.24"</f>
        <v>54.24</v>
      </c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</row>
    <row r="19" spans="1:31">
      <c r="A19" s="14">
        <v>17</v>
      </c>
      <c r="B19" s="14">
        <v>10310</v>
      </c>
      <c r="C19" s="14" t="s">
        <v>60</v>
      </c>
      <c r="D19" s="14" t="s">
        <v>61</v>
      </c>
      <c r="E19" s="15" t="str">
        <f>"80.88"</f>
        <v>80.88</v>
      </c>
      <c r="F19" s="15"/>
      <c r="G19" s="16" t="str">
        <f>"80.88"</f>
        <v>80.88</v>
      </c>
      <c r="H19" s="17"/>
      <c r="I19" s="15">
        <v>3</v>
      </c>
      <c r="J19" s="15">
        <v>2016</v>
      </c>
      <c r="K19" s="18" t="str">
        <f>"130.33"</f>
        <v>130.33</v>
      </c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 t="str">
        <f>"58.60"</f>
        <v>58.60</v>
      </c>
      <c r="Y19" s="18"/>
      <c r="Z19" s="18"/>
      <c r="AA19" s="18"/>
      <c r="AB19" s="18"/>
      <c r="AC19" s="18"/>
      <c r="AD19" s="18"/>
      <c r="AE19" s="18" t="str">
        <f>"103.15"</f>
        <v>103.15</v>
      </c>
    </row>
    <row r="20" spans="1:31">
      <c r="A20" s="14">
        <v>18</v>
      </c>
      <c r="B20" s="14">
        <v>4028</v>
      </c>
      <c r="C20" s="14" t="s">
        <v>62</v>
      </c>
      <c r="D20" s="14" t="s">
        <v>63</v>
      </c>
      <c r="E20" s="15" t="str">
        <f>"83.25"</f>
        <v>83.25</v>
      </c>
      <c r="F20" s="15"/>
      <c r="G20" s="16" t="str">
        <f>"84.27"</f>
        <v>84.27</v>
      </c>
      <c r="H20" s="17"/>
      <c r="I20" s="15">
        <v>3</v>
      </c>
      <c r="J20" s="15">
        <v>2016</v>
      </c>
      <c r="K20" s="18" t="str">
        <f>"104.49"</f>
        <v>104.49</v>
      </c>
      <c r="L20" s="18" t="str">
        <f>"170.81"</f>
        <v>170.81</v>
      </c>
      <c r="M20" s="18" t="str">
        <f>"143.08"</f>
        <v>143.08</v>
      </c>
      <c r="N20" s="18"/>
      <c r="O20" s="18"/>
      <c r="P20" s="18"/>
      <c r="Q20" s="18"/>
      <c r="R20" s="18"/>
      <c r="S20" s="18"/>
      <c r="T20" s="18" t="str">
        <f>"106.54"</f>
        <v>106.54</v>
      </c>
      <c r="U20" s="18"/>
      <c r="V20" s="18"/>
      <c r="W20" s="18"/>
      <c r="X20" s="18" t="str">
        <f>"62.00"</f>
        <v>62.00</v>
      </c>
      <c r="Y20" s="18"/>
      <c r="Z20" s="18"/>
      <c r="AA20" s="18"/>
      <c r="AB20" s="18"/>
      <c r="AC20" s="18"/>
      <c r="AD20" s="18"/>
      <c r="AE20" s="18"/>
    </row>
    <row r="21" spans="1:31">
      <c r="A21" s="14">
        <v>19</v>
      </c>
      <c r="B21" s="14">
        <v>4044</v>
      </c>
      <c r="C21" s="14" t="s">
        <v>64</v>
      </c>
      <c r="D21" s="14" t="s">
        <v>65</v>
      </c>
      <c r="E21" s="15" t="str">
        <f>"84.72"</f>
        <v>84.72</v>
      </c>
      <c r="F21" s="15"/>
      <c r="G21" s="16" t="str">
        <f>"84.72"</f>
        <v>84.72</v>
      </c>
      <c r="H21" s="17"/>
      <c r="I21" s="15">
        <v>3</v>
      </c>
      <c r="J21" s="15">
        <v>2016</v>
      </c>
      <c r="K21" s="18" t="str">
        <f>"127.70"</f>
        <v>127.70</v>
      </c>
      <c r="L21" s="18" t="str">
        <f>"126.18"</f>
        <v>126.18</v>
      </c>
      <c r="M21" s="18" t="str">
        <f>"98.93"</f>
        <v>98.93</v>
      </c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 t="str">
        <f>"70.50"</f>
        <v>70.50</v>
      </c>
      <c r="Y21" s="18"/>
      <c r="Z21" s="18"/>
      <c r="AA21" s="18"/>
      <c r="AB21" s="18"/>
      <c r="AC21" s="18"/>
      <c r="AD21" s="18"/>
      <c r="AE21" s="18"/>
    </row>
    <row r="22" spans="1:31">
      <c r="A22" s="14">
        <v>20</v>
      </c>
      <c r="B22" s="14">
        <v>4322</v>
      </c>
      <c r="C22" s="14" t="s">
        <v>66</v>
      </c>
      <c r="D22" s="14" t="s">
        <v>67</v>
      </c>
      <c r="E22" s="15" t="str">
        <f>"78.47"</f>
        <v>78.47</v>
      </c>
      <c r="F22" s="15"/>
      <c r="G22" s="16" t="str">
        <f>"85.49"</f>
        <v>85.49</v>
      </c>
      <c r="H22" s="17"/>
      <c r="I22" s="15">
        <v>3</v>
      </c>
      <c r="J22" s="15">
        <v>2016</v>
      </c>
      <c r="K22" s="18" t="str">
        <f>"88.27"</f>
        <v>88.27</v>
      </c>
      <c r="L22" s="18" t="str">
        <f>"113.33"</f>
        <v>113.33</v>
      </c>
      <c r="M22" s="18" t="str">
        <f>"102.31"</f>
        <v>102.31</v>
      </c>
      <c r="N22" s="18"/>
      <c r="O22" s="18"/>
      <c r="P22" s="18"/>
      <c r="Q22" s="18"/>
      <c r="R22" s="18"/>
      <c r="S22" s="18"/>
      <c r="T22" s="18" t="str">
        <f>"115.24"</f>
        <v>115.24</v>
      </c>
      <c r="U22" s="18"/>
      <c r="V22" s="18"/>
      <c r="W22" s="18"/>
      <c r="X22" s="18" t="str">
        <f>"68.66"</f>
        <v>68.66</v>
      </c>
      <c r="Y22" s="18"/>
      <c r="Z22" s="18"/>
      <c r="AA22" s="18"/>
      <c r="AB22" s="18"/>
      <c r="AC22" s="18"/>
      <c r="AD22" s="18"/>
      <c r="AE22" s="18"/>
    </row>
    <row r="23" spans="1:31">
      <c r="A23" s="14">
        <v>21</v>
      </c>
      <c r="B23" s="14">
        <v>10215</v>
      </c>
      <c r="C23" s="14" t="s">
        <v>68</v>
      </c>
      <c r="D23" s="14" t="s">
        <v>37</v>
      </c>
      <c r="E23" s="15" t="str">
        <f>"86.15"</f>
        <v>86.15</v>
      </c>
      <c r="F23" s="15"/>
      <c r="G23" s="16" t="str">
        <f>"86.15"</f>
        <v>86.15</v>
      </c>
      <c r="H23" s="17"/>
      <c r="I23" s="15">
        <v>3</v>
      </c>
      <c r="J23" s="15">
        <v>2016</v>
      </c>
      <c r="K23" s="18" t="str">
        <f>"144.13"</f>
        <v>144.13</v>
      </c>
      <c r="L23" s="18" t="str">
        <f>"115.20"</f>
        <v>115.20</v>
      </c>
      <c r="M23" s="18" t="str">
        <f>"87.51"</f>
        <v>87.51</v>
      </c>
      <c r="N23" s="18"/>
      <c r="O23" s="18"/>
      <c r="P23" s="18"/>
      <c r="Q23" s="18"/>
      <c r="R23" s="18"/>
      <c r="S23" s="18"/>
      <c r="T23" s="18"/>
      <c r="U23" s="18"/>
      <c r="V23" s="18" t="str">
        <f>"117.88"</f>
        <v>117.88</v>
      </c>
      <c r="W23" s="18"/>
      <c r="X23" s="18"/>
      <c r="Y23" s="18"/>
      <c r="Z23" s="18"/>
      <c r="AA23" s="18" t="str">
        <f>"84.79"</f>
        <v>84.79</v>
      </c>
      <c r="AB23" s="18"/>
      <c r="AC23" s="18"/>
      <c r="AD23" s="18"/>
      <c r="AE23" s="18"/>
    </row>
    <row r="24" spans="1:31">
      <c r="A24" s="14">
        <v>22</v>
      </c>
      <c r="B24" s="14">
        <v>5236</v>
      </c>
      <c r="C24" s="14" t="s">
        <v>69</v>
      </c>
      <c r="D24" s="14" t="s">
        <v>70</v>
      </c>
      <c r="E24" s="15" t="str">
        <f>"91.51"</f>
        <v>91.51</v>
      </c>
      <c r="F24" s="15"/>
      <c r="G24" s="16" t="str">
        <f>"91.51"</f>
        <v>91.51</v>
      </c>
      <c r="H24" s="17"/>
      <c r="I24" s="15">
        <v>3</v>
      </c>
      <c r="J24" s="15">
        <v>2016</v>
      </c>
      <c r="K24" s="18" t="str">
        <f>"124.39"</f>
        <v>124.39</v>
      </c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 t="str">
        <f>"67.95"</f>
        <v>67.95</v>
      </c>
      <c r="Y24" s="18"/>
      <c r="Z24" s="18"/>
      <c r="AA24" s="18"/>
      <c r="AB24" s="18" t="str">
        <f>"144.20"</f>
        <v>144.20</v>
      </c>
      <c r="AC24" s="18" t="str">
        <f>"115.06"</f>
        <v>115.06</v>
      </c>
      <c r="AD24" s="18"/>
      <c r="AE24" s="18"/>
    </row>
    <row r="25" spans="1:31">
      <c r="A25" s="14">
        <v>23</v>
      </c>
      <c r="B25" s="14">
        <v>3322</v>
      </c>
      <c r="C25" s="14" t="s">
        <v>71</v>
      </c>
      <c r="D25" s="14" t="s">
        <v>72</v>
      </c>
      <c r="E25" s="15" t="str">
        <f>"67.74"</f>
        <v>67.74</v>
      </c>
      <c r="F25" s="15"/>
      <c r="G25" s="16" t="str">
        <f>"97.55"</f>
        <v>97.55</v>
      </c>
      <c r="H25" s="17" t="s">
        <v>38</v>
      </c>
      <c r="I25" s="15">
        <v>1</v>
      </c>
      <c r="J25" s="15">
        <v>2016</v>
      </c>
      <c r="K25" s="18" t="str">
        <f>"67.74"</f>
        <v>67.74</v>
      </c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1:31">
      <c r="A26" s="14">
        <v>24</v>
      </c>
      <c r="B26" s="14">
        <v>8328</v>
      </c>
      <c r="C26" s="14" t="s">
        <v>73</v>
      </c>
      <c r="D26" s="14" t="s">
        <v>74</v>
      </c>
      <c r="E26" s="15" t="str">
        <f>"73.43"</f>
        <v>73.43</v>
      </c>
      <c r="F26" s="15"/>
      <c r="G26" s="16" t="str">
        <f>"99.88"</f>
        <v>99.88</v>
      </c>
      <c r="H26" s="17" t="s">
        <v>40</v>
      </c>
      <c r="I26" s="15">
        <v>2</v>
      </c>
      <c r="J26" s="15">
        <v>2016</v>
      </c>
      <c r="K26" s="18" t="str">
        <f>"77.50"</f>
        <v>77.50</v>
      </c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 t="str">
        <f>"69.36"</f>
        <v>69.36</v>
      </c>
      <c r="Y26" s="18"/>
      <c r="Z26" s="18"/>
      <c r="AA26" s="18"/>
      <c r="AB26" s="18"/>
      <c r="AC26" s="18"/>
      <c r="AD26" s="18"/>
      <c r="AE26" s="18"/>
    </row>
    <row r="27" spans="1:31">
      <c r="A27" s="14">
        <v>25</v>
      </c>
      <c r="B27" s="14">
        <v>3700</v>
      </c>
      <c r="C27" s="14" t="s">
        <v>75</v>
      </c>
      <c r="D27" s="14" t="s">
        <v>76</v>
      </c>
      <c r="E27" s="15" t="str">
        <f>"102.49"</f>
        <v>102.49</v>
      </c>
      <c r="F27" s="15"/>
      <c r="G27" s="16" t="str">
        <f>"102.49"</f>
        <v>102.49</v>
      </c>
      <c r="H27" s="17"/>
      <c r="I27" s="15">
        <v>3</v>
      </c>
      <c r="J27" s="15">
        <v>2016</v>
      </c>
      <c r="K27" s="18" t="str">
        <f>"122.22"</f>
        <v>122.22</v>
      </c>
      <c r="L27" s="18" t="str">
        <f>"106.55"</f>
        <v>106.55</v>
      </c>
      <c r="M27" s="18" t="str">
        <f>"98.42"</f>
        <v>98.42</v>
      </c>
      <c r="N27" s="18"/>
      <c r="O27" s="18" t="str">
        <f>"144.75"</f>
        <v>144.75</v>
      </c>
      <c r="P27" s="18"/>
      <c r="Q27" s="18"/>
      <c r="R27" s="18"/>
      <c r="S27" s="18" t="str">
        <f>"140.48"</f>
        <v>140.48</v>
      </c>
      <c r="T27" s="18"/>
      <c r="U27" s="18"/>
      <c r="V27" s="18"/>
      <c r="W27" s="18" t="str">
        <f>"151.84"</f>
        <v>151.84</v>
      </c>
      <c r="X27" s="18"/>
      <c r="Y27" s="18"/>
      <c r="Z27" s="18"/>
      <c r="AA27" s="18"/>
      <c r="AB27" s="18"/>
      <c r="AC27" s="18"/>
      <c r="AD27" s="18"/>
      <c r="AE27" s="18"/>
    </row>
    <row r="28" spans="1:31">
      <c r="A28" s="14">
        <v>26</v>
      </c>
      <c r="B28" s="14">
        <v>10661</v>
      </c>
      <c r="C28" s="14" t="s">
        <v>77</v>
      </c>
      <c r="D28" s="14" t="s">
        <v>55</v>
      </c>
      <c r="E28" s="15" t="str">
        <f>"99.30"</f>
        <v>99.30</v>
      </c>
      <c r="F28" s="15"/>
      <c r="G28" s="16" t="str">
        <f>"103.20"</f>
        <v>103.20</v>
      </c>
      <c r="H28" s="17"/>
      <c r="I28" s="15">
        <v>3</v>
      </c>
      <c r="J28" s="15">
        <v>2016</v>
      </c>
      <c r="K28" s="18" t="str">
        <f>"127.26"</f>
        <v>127.26</v>
      </c>
      <c r="L28" s="18"/>
      <c r="M28" s="18"/>
      <c r="N28" s="18"/>
      <c r="O28" s="18"/>
      <c r="P28" s="18"/>
      <c r="Q28" s="18"/>
      <c r="R28" s="18"/>
      <c r="S28" s="18"/>
      <c r="T28" s="18" t="str">
        <f>"135.06"</f>
        <v>135.06</v>
      </c>
      <c r="U28" s="18"/>
      <c r="V28" s="18"/>
      <c r="W28" s="18"/>
      <c r="X28" s="18" t="str">
        <f>"71.34"</f>
        <v>71.34</v>
      </c>
      <c r="Y28" s="18"/>
      <c r="Z28" s="18"/>
      <c r="AA28" s="18"/>
      <c r="AB28" s="18"/>
      <c r="AC28" s="18"/>
      <c r="AD28" s="18"/>
      <c r="AE28" s="18"/>
    </row>
    <row r="29" spans="1:31">
      <c r="A29" s="14">
        <v>27</v>
      </c>
      <c r="B29" s="14">
        <v>5731</v>
      </c>
      <c r="C29" s="14" t="s">
        <v>78</v>
      </c>
      <c r="D29" s="14" t="s">
        <v>55</v>
      </c>
      <c r="E29" s="15" t="str">
        <f>"104.82"</f>
        <v>104.82</v>
      </c>
      <c r="F29" s="15"/>
      <c r="G29" s="16" t="str">
        <f>"105.14"</f>
        <v>105.14</v>
      </c>
      <c r="H29" s="17"/>
      <c r="I29" s="15">
        <v>3</v>
      </c>
      <c r="J29" s="15">
        <v>2016</v>
      </c>
      <c r="K29" s="18" t="str">
        <f>"163.35"</f>
        <v>163.35</v>
      </c>
      <c r="L29" s="18"/>
      <c r="M29" s="18"/>
      <c r="N29" s="18"/>
      <c r="O29" s="18" t="str">
        <f>"187.86"</f>
        <v>187.86</v>
      </c>
      <c r="P29" s="18"/>
      <c r="Q29" s="18"/>
      <c r="R29" s="18"/>
      <c r="S29" s="18" t="str">
        <f>"163.98"</f>
        <v>163.98</v>
      </c>
      <c r="T29" s="18"/>
      <c r="U29" s="18"/>
      <c r="V29" s="18"/>
      <c r="W29" s="18"/>
      <c r="X29" s="18" t="str">
        <f>"46.29"</f>
        <v>46.29</v>
      </c>
      <c r="Y29" s="18"/>
      <c r="Z29" s="18"/>
      <c r="AA29" s="18"/>
      <c r="AB29" s="18"/>
      <c r="AC29" s="18"/>
      <c r="AD29" s="18"/>
      <c r="AE29" s="18"/>
    </row>
    <row r="30" spans="1:31">
      <c r="A30" s="14">
        <v>28</v>
      </c>
      <c r="B30" s="14">
        <v>7707</v>
      </c>
      <c r="C30" s="14" t="s">
        <v>79</v>
      </c>
      <c r="D30" s="14" t="s">
        <v>37</v>
      </c>
      <c r="E30" s="15" t="str">
        <f>"102.17"</f>
        <v>102.17</v>
      </c>
      <c r="F30" s="15"/>
      <c r="G30" s="16" t="str">
        <f>"106.96"</f>
        <v>106.96</v>
      </c>
      <c r="H30" s="17"/>
      <c r="I30" s="15">
        <v>3</v>
      </c>
      <c r="J30" s="15">
        <v>2016</v>
      </c>
      <c r="K30" s="18" t="str">
        <f>"110.30"</f>
        <v>110.30</v>
      </c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 t="str">
        <f>"146.67"</f>
        <v>146.67</v>
      </c>
      <c r="W30" s="18"/>
      <c r="X30" s="18" t="str">
        <f>"127.54"</f>
        <v>127.54</v>
      </c>
      <c r="Y30" s="18"/>
      <c r="Z30" s="18" t="str">
        <f>"119.88"</f>
        <v>119.88</v>
      </c>
      <c r="AA30" s="18" t="str">
        <f>"94.04"</f>
        <v>94.04</v>
      </c>
      <c r="AB30" s="18"/>
      <c r="AC30" s="18"/>
      <c r="AD30" s="18"/>
      <c r="AE30" s="18"/>
    </row>
    <row r="31" spans="1:31">
      <c r="A31" s="14">
        <v>29</v>
      </c>
      <c r="B31" s="14">
        <v>7708</v>
      </c>
      <c r="C31" s="14" t="s">
        <v>80</v>
      </c>
      <c r="D31" s="14" t="s">
        <v>76</v>
      </c>
      <c r="E31" s="15" t="str">
        <f>"109.07"</f>
        <v>109.07</v>
      </c>
      <c r="F31" s="15"/>
      <c r="G31" s="16" t="str">
        <f>"109.07"</f>
        <v>109.07</v>
      </c>
      <c r="H31" s="17"/>
      <c r="I31" s="15">
        <v>3</v>
      </c>
      <c r="J31" s="15">
        <v>2016</v>
      </c>
      <c r="K31" s="18" t="str">
        <f>"149.88"</f>
        <v>149.88</v>
      </c>
      <c r="L31" s="18"/>
      <c r="M31" s="18"/>
      <c r="N31" s="18"/>
      <c r="O31" s="18" t="str">
        <f>"204.21"</f>
        <v>204.21</v>
      </c>
      <c r="P31" s="18"/>
      <c r="Q31" s="18"/>
      <c r="R31" s="18"/>
      <c r="S31" s="18" t="str">
        <f>"238.37"</f>
        <v>238.37</v>
      </c>
      <c r="T31" s="18"/>
      <c r="U31" s="18"/>
      <c r="V31" s="18"/>
      <c r="W31" s="18" t="str">
        <f>"184.73"</f>
        <v>184.73</v>
      </c>
      <c r="X31" s="18" t="str">
        <f>"107.58"</f>
        <v>107.58</v>
      </c>
      <c r="Y31" s="18"/>
      <c r="Z31" s="18"/>
      <c r="AA31" s="18"/>
      <c r="AB31" s="18"/>
      <c r="AC31" s="18"/>
      <c r="AD31" s="18" t="str">
        <f>"110.56"</f>
        <v>110.56</v>
      </c>
      <c r="AE31" s="18"/>
    </row>
    <row r="32" spans="1:31">
      <c r="A32" s="14">
        <v>30</v>
      </c>
      <c r="B32" s="14">
        <v>9963</v>
      </c>
      <c r="C32" s="14" t="s">
        <v>81</v>
      </c>
      <c r="D32" s="14" t="s">
        <v>76</v>
      </c>
      <c r="E32" s="15" t="str">
        <f>"109.35"</f>
        <v>109.35</v>
      </c>
      <c r="F32" s="15"/>
      <c r="G32" s="16" t="str">
        <f>"109.35"</f>
        <v>109.35</v>
      </c>
      <c r="H32" s="17"/>
      <c r="I32" s="15">
        <v>3</v>
      </c>
      <c r="J32" s="15">
        <v>2016</v>
      </c>
      <c r="K32" s="18" t="str">
        <f>"175.23"</f>
        <v>175.23</v>
      </c>
      <c r="L32" s="18" t="str">
        <f>"167.77"</f>
        <v>167.77</v>
      </c>
      <c r="M32" s="18" t="str">
        <f>"204.88"</f>
        <v>204.88</v>
      </c>
      <c r="N32" s="18"/>
      <c r="O32" s="18" t="str">
        <f>"221.49"</f>
        <v>221.49</v>
      </c>
      <c r="P32" s="18"/>
      <c r="Q32" s="18"/>
      <c r="R32" s="18"/>
      <c r="S32" s="18"/>
      <c r="T32" s="18"/>
      <c r="U32" s="18"/>
      <c r="V32" s="18"/>
      <c r="W32" s="18" t="str">
        <f>"182.09"</f>
        <v>182.09</v>
      </c>
      <c r="X32" s="18" t="str">
        <f>"64.69"</f>
        <v>64.69</v>
      </c>
      <c r="Y32" s="18"/>
      <c r="Z32" s="18"/>
      <c r="AA32" s="18"/>
      <c r="AB32" s="18"/>
      <c r="AC32" s="18"/>
      <c r="AD32" s="18" t="str">
        <f>"154.00"</f>
        <v>154.00</v>
      </c>
      <c r="AE32" s="18"/>
    </row>
    <row r="33" spans="1:31">
      <c r="A33" s="14">
        <v>31</v>
      </c>
      <c r="B33" s="14">
        <v>10852</v>
      </c>
      <c r="C33" s="14" t="s">
        <v>82</v>
      </c>
      <c r="D33" s="14" t="s">
        <v>37</v>
      </c>
      <c r="E33" s="15" t="str">
        <f>"112.72"</f>
        <v>112.72</v>
      </c>
      <c r="F33" s="15"/>
      <c r="G33" s="16" t="str">
        <f>"112.72"</f>
        <v>112.72</v>
      </c>
      <c r="H33" s="17"/>
      <c r="I33" s="15">
        <v>5</v>
      </c>
      <c r="J33" s="15">
        <v>2016</v>
      </c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 t="str">
        <f>"124.51"</f>
        <v>124.51</v>
      </c>
      <c r="V33" s="18" t="str">
        <f>"100.92"</f>
        <v>100.92</v>
      </c>
      <c r="W33" s="18"/>
      <c r="X33" s="18"/>
      <c r="Y33" s="18"/>
      <c r="Z33" s="18" t="str">
        <f>"171.59"</f>
        <v>171.59</v>
      </c>
      <c r="AA33" s="18" t="str">
        <f>"166.24"</f>
        <v>166.24</v>
      </c>
      <c r="AB33" s="18"/>
      <c r="AC33" s="18"/>
      <c r="AD33" s="18"/>
      <c r="AE33" s="18"/>
    </row>
    <row r="34" spans="1:31">
      <c r="A34" s="14">
        <v>32</v>
      </c>
      <c r="B34" s="14">
        <v>10216</v>
      </c>
      <c r="C34" s="14" t="s">
        <v>83</v>
      </c>
      <c r="D34" s="14" t="s">
        <v>37</v>
      </c>
      <c r="E34" s="15" t="str">
        <f>"113.62"</f>
        <v>113.62</v>
      </c>
      <c r="F34" s="15"/>
      <c r="G34" s="16" t="str">
        <f>"113.62"</f>
        <v>113.62</v>
      </c>
      <c r="H34" s="17"/>
      <c r="I34" s="15">
        <v>3</v>
      </c>
      <c r="J34" s="15">
        <v>2016</v>
      </c>
      <c r="K34" s="18" t="str">
        <f>"308.50"</f>
        <v>308.50</v>
      </c>
      <c r="L34" s="18"/>
      <c r="M34" s="18"/>
      <c r="N34" s="18"/>
      <c r="O34" s="18"/>
      <c r="P34" s="18"/>
      <c r="Q34" s="18"/>
      <c r="R34" s="18"/>
      <c r="S34" s="18"/>
      <c r="T34" s="18"/>
      <c r="U34" s="18" t="str">
        <f>"156.19"</f>
        <v>156.19</v>
      </c>
      <c r="V34" s="18" t="str">
        <f>"131.58"</f>
        <v>131.58</v>
      </c>
      <c r="W34" s="18"/>
      <c r="X34" s="18"/>
      <c r="Y34" s="18"/>
      <c r="Z34" s="18" t="str">
        <f>"115.77"</f>
        <v>115.77</v>
      </c>
      <c r="AA34" s="18" t="str">
        <f>"111.47"</f>
        <v>111.47</v>
      </c>
      <c r="AB34" s="18"/>
      <c r="AC34" s="18"/>
      <c r="AD34" s="18"/>
      <c r="AE34" s="18"/>
    </row>
    <row r="35" spans="1:31">
      <c r="A35" s="14">
        <v>33</v>
      </c>
      <c r="B35" s="14">
        <v>8640</v>
      </c>
      <c r="C35" s="14" t="s">
        <v>84</v>
      </c>
      <c r="D35" s="14" t="s">
        <v>37</v>
      </c>
      <c r="E35" s="15" t="str">
        <f>"114.72"</f>
        <v>114.72</v>
      </c>
      <c r="F35" s="15"/>
      <c r="G35" s="16" t="str">
        <f>"118.98"</f>
        <v>118.98</v>
      </c>
      <c r="H35" s="17"/>
      <c r="I35" s="15">
        <v>3</v>
      </c>
      <c r="J35" s="15">
        <v>2016</v>
      </c>
      <c r="K35" s="18" t="str">
        <f>"130.40"</f>
        <v>130.40</v>
      </c>
      <c r="L35" s="18" t="str">
        <f>"172.91"</f>
        <v>172.91</v>
      </c>
      <c r="M35" s="18" t="str">
        <f>"138.92"</f>
        <v>138.92</v>
      </c>
      <c r="N35" s="18"/>
      <c r="O35" s="18"/>
      <c r="P35" s="18"/>
      <c r="Q35" s="18"/>
      <c r="R35" s="18"/>
      <c r="S35" s="18"/>
      <c r="T35" s="18"/>
      <c r="U35" s="18"/>
      <c r="V35" s="18" t="str">
        <f>"99.04"</f>
        <v>99.04</v>
      </c>
      <c r="W35" s="18"/>
      <c r="X35" s="18"/>
      <c r="Y35" s="18"/>
      <c r="Z35" s="18"/>
      <c r="AA35" s="18"/>
      <c r="AB35" s="18"/>
      <c r="AC35" s="18"/>
      <c r="AD35" s="18"/>
      <c r="AE35" s="18"/>
    </row>
    <row r="36" spans="1:31">
      <c r="A36" s="14">
        <v>34</v>
      </c>
      <c r="B36" s="14">
        <v>7795</v>
      </c>
      <c r="C36" s="14" t="s">
        <v>85</v>
      </c>
      <c r="D36" s="14" t="s">
        <v>76</v>
      </c>
      <c r="E36" s="15" t="str">
        <f>"123.32"</f>
        <v>123.32</v>
      </c>
      <c r="F36" s="15"/>
      <c r="G36" s="16" t="str">
        <f>"123.32"</f>
        <v>123.32</v>
      </c>
      <c r="H36" s="17"/>
      <c r="I36" s="15">
        <v>3</v>
      </c>
      <c r="J36" s="15">
        <v>2016</v>
      </c>
      <c r="K36" s="18" t="str">
        <f>"186.56"</f>
        <v>186.56</v>
      </c>
      <c r="L36" s="18"/>
      <c r="M36" s="18"/>
      <c r="N36" s="18"/>
      <c r="O36" s="18" t="str">
        <f>"135.19"</f>
        <v>135.19</v>
      </c>
      <c r="P36" s="18"/>
      <c r="Q36" s="18"/>
      <c r="R36" s="18"/>
      <c r="S36" s="18" t="str">
        <f>"123.74"</f>
        <v>123.74</v>
      </c>
      <c r="T36" s="18"/>
      <c r="U36" s="18"/>
      <c r="V36" s="18"/>
      <c r="W36" s="18" t="str">
        <f>"122.90"</f>
        <v>122.90</v>
      </c>
      <c r="X36" s="18"/>
      <c r="Y36" s="18"/>
      <c r="Z36" s="18"/>
      <c r="AA36" s="18"/>
      <c r="AB36" s="18"/>
      <c r="AC36" s="18"/>
      <c r="AD36" s="18"/>
      <c r="AE36" s="18"/>
    </row>
    <row r="37" spans="1:31">
      <c r="A37" s="14">
        <v>35</v>
      </c>
      <c r="B37" s="14">
        <v>1356</v>
      </c>
      <c r="C37" s="14" t="s">
        <v>86</v>
      </c>
      <c r="D37" s="14" t="s">
        <v>87</v>
      </c>
      <c r="E37" s="15" t="str">
        <f>"116.97"</f>
        <v>116.97</v>
      </c>
      <c r="F37" s="15"/>
      <c r="G37" s="16" t="str">
        <f>"125.77"</f>
        <v>125.77</v>
      </c>
      <c r="H37" s="17" t="s">
        <v>40</v>
      </c>
      <c r="I37" s="15">
        <v>2</v>
      </c>
      <c r="J37" s="15">
        <v>2016</v>
      </c>
      <c r="K37" s="18" t="str">
        <f>"146.60"</f>
        <v>146.60</v>
      </c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 t="str">
        <f>"87.34"</f>
        <v>87.34</v>
      </c>
      <c r="Y37" s="18"/>
      <c r="Z37" s="18"/>
      <c r="AA37" s="18"/>
      <c r="AB37" s="18"/>
      <c r="AC37" s="18"/>
      <c r="AD37" s="18"/>
      <c r="AE37" s="18"/>
    </row>
    <row r="38" spans="1:31">
      <c r="A38" s="14">
        <v>36</v>
      </c>
      <c r="B38" s="14">
        <v>8642</v>
      </c>
      <c r="C38" s="14" t="s">
        <v>88</v>
      </c>
      <c r="D38" s="14" t="s">
        <v>37</v>
      </c>
      <c r="E38" s="15" t="str">
        <f>"113.18"</f>
        <v>113.18</v>
      </c>
      <c r="F38" s="15"/>
      <c r="G38" s="16" t="str">
        <f>"128.20"</f>
        <v>128.20</v>
      </c>
      <c r="H38" s="17"/>
      <c r="I38" s="15">
        <v>3</v>
      </c>
      <c r="J38" s="15">
        <v>2016</v>
      </c>
      <c r="K38" s="18" t="str">
        <f>"113.18"</f>
        <v>113.18</v>
      </c>
      <c r="L38" s="18" t="str">
        <f>"161.23"</f>
        <v>161.23</v>
      </c>
      <c r="M38" s="18" t="str">
        <f>"147.49"</f>
        <v>147.49</v>
      </c>
      <c r="N38" s="18"/>
      <c r="O38" s="18"/>
      <c r="P38" s="18"/>
      <c r="Q38" s="18"/>
      <c r="R38" s="18"/>
      <c r="S38" s="18"/>
      <c r="T38" s="18"/>
      <c r="U38" s="18"/>
      <c r="V38" s="18" t="str">
        <f>"131.68"</f>
        <v>131.68</v>
      </c>
      <c r="W38" s="18"/>
      <c r="X38" s="18"/>
      <c r="Y38" s="18"/>
      <c r="Z38" s="18"/>
      <c r="AA38" s="18" t="str">
        <f>"124.71"</f>
        <v>124.71</v>
      </c>
      <c r="AB38" s="18"/>
      <c r="AC38" s="18"/>
      <c r="AD38" s="18"/>
      <c r="AE38" s="18"/>
    </row>
    <row r="39" spans="1:31">
      <c r="A39" s="14">
        <v>37</v>
      </c>
      <c r="B39" s="14">
        <v>2410</v>
      </c>
      <c r="C39" s="14" t="s">
        <v>89</v>
      </c>
      <c r="D39" s="14" t="s">
        <v>37</v>
      </c>
      <c r="E39" s="15" t="str">
        <f>"105.10"</f>
        <v>105.10</v>
      </c>
      <c r="F39" s="15"/>
      <c r="G39" s="16" t="str">
        <f>"128.58"</f>
        <v>128.58</v>
      </c>
      <c r="H39" s="17"/>
      <c r="I39" s="15">
        <v>3</v>
      </c>
      <c r="J39" s="15">
        <v>2016</v>
      </c>
      <c r="K39" s="18" t="str">
        <f>"105.10"</f>
        <v>105.10</v>
      </c>
      <c r="L39" s="18" t="str">
        <f>"162.63"</f>
        <v>162.63</v>
      </c>
      <c r="M39" s="18" t="str">
        <f>"133.47"</f>
        <v>133.47</v>
      </c>
      <c r="N39" s="18"/>
      <c r="O39" s="18"/>
      <c r="P39" s="18"/>
      <c r="Q39" s="18"/>
      <c r="R39" s="18"/>
      <c r="S39" s="18"/>
      <c r="T39" s="18"/>
      <c r="U39" s="18"/>
      <c r="V39" s="18" t="str">
        <f>"135.33"</f>
        <v>135.33</v>
      </c>
      <c r="W39" s="18"/>
      <c r="X39" s="18"/>
      <c r="Y39" s="18"/>
      <c r="Z39" s="18" t="str">
        <f>"123.68"</f>
        <v>123.68</v>
      </c>
      <c r="AA39" s="18" t="str">
        <f>"148.49"</f>
        <v>148.49</v>
      </c>
      <c r="AB39" s="18"/>
      <c r="AC39" s="18"/>
      <c r="AD39" s="18"/>
      <c r="AE39" s="18"/>
    </row>
    <row r="40" spans="1:31">
      <c r="A40" s="14">
        <v>38</v>
      </c>
      <c r="B40" s="14">
        <v>7841</v>
      </c>
      <c r="C40" s="14" t="s">
        <v>90</v>
      </c>
      <c r="D40" s="14" t="s">
        <v>76</v>
      </c>
      <c r="E40" s="15" t="str">
        <f>"130.54"</f>
        <v>130.54</v>
      </c>
      <c r="F40" s="15"/>
      <c r="G40" s="16" t="str">
        <f>"130.54"</f>
        <v>130.54</v>
      </c>
      <c r="H40" s="17"/>
      <c r="I40" s="15">
        <v>3</v>
      </c>
      <c r="J40" s="15">
        <v>2016</v>
      </c>
      <c r="K40" s="18" t="str">
        <f>"271.69"</f>
        <v>271.69</v>
      </c>
      <c r="L40" s="18"/>
      <c r="M40" s="18" t="str">
        <f>"164.11"</f>
        <v>164.11</v>
      </c>
      <c r="N40" s="18"/>
      <c r="O40" s="18" t="str">
        <f>"220.74"</f>
        <v>220.74</v>
      </c>
      <c r="P40" s="18"/>
      <c r="Q40" s="18"/>
      <c r="R40" s="18"/>
      <c r="S40" s="18"/>
      <c r="T40" s="18"/>
      <c r="U40" s="18"/>
      <c r="V40" s="18"/>
      <c r="W40" s="18" t="str">
        <f>"229.01"</f>
        <v>229.01</v>
      </c>
      <c r="X40" s="18" t="str">
        <f>"96.97"</f>
        <v>96.97</v>
      </c>
      <c r="Y40" s="18"/>
      <c r="Z40" s="18"/>
      <c r="AA40" s="18"/>
      <c r="AB40" s="18"/>
      <c r="AC40" s="18"/>
      <c r="AD40" s="18"/>
      <c r="AE40" s="18"/>
    </row>
    <row r="41" spans="1:31">
      <c r="A41" s="14">
        <v>39</v>
      </c>
      <c r="B41" s="14">
        <v>8199</v>
      </c>
      <c r="C41" s="14" t="s">
        <v>91</v>
      </c>
      <c r="D41" s="14" t="s">
        <v>92</v>
      </c>
      <c r="E41" s="15" t="str">
        <f>"127.29"</f>
        <v>127.29</v>
      </c>
      <c r="F41" s="15"/>
      <c r="G41" s="16" t="str">
        <f>"130.99"</f>
        <v>130.99</v>
      </c>
      <c r="H41" s="17"/>
      <c r="I41" s="15">
        <v>3</v>
      </c>
      <c r="J41" s="15">
        <v>2016</v>
      </c>
      <c r="K41" s="18" t="str">
        <f>"151.53"</f>
        <v>151.53</v>
      </c>
      <c r="L41" s="18" t="str">
        <f>"211.47"</f>
        <v>211.47</v>
      </c>
      <c r="M41" s="18" t="str">
        <f>"158.92"</f>
        <v>158.92</v>
      </c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 t="str">
        <f>"103.05"</f>
        <v>103.05</v>
      </c>
      <c r="Y41" s="18"/>
      <c r="Z41" s="18"/>
      <c r="AA41" s="18"/>
      <c r="AB41" s="18"/>
      <c r="AC41" s="18"/>
      <c r="AD41" s="18" t="str">
        <f>"212.04"</f>
        <v>212.04</v>
      </c>
      <c r="AE41" s="18"/>
    </row>
    <row r="42" spans="1:31">
      <c r="A42" s="14">
        <v>40</v>
      </c>
      <c r="B42" s="14">
        <v>9964</v>
      </c>
      <c r="C42" s="14" t="s">
        <v>93</v>
      </c>
      <c r="D42" s="14" t="s">
        <v>37</v>
      </c>
      <c r="E42" s="15" t="str">
        <f>"131.55"</f>
        <v>131.55</v>
      </c>
      <c r="F42" s="15"/>
      <c r="G42" s="16" t="str">
        <f>"131.55"</f>
        <v>131.55</v>
      </c>
      <c r="H42" s="17"/>
      <c r="I42" s="15">
        <v>3</v>
      </c>
      <c r="J42" s="15">
        <v>2016</v>
      </c>
      <c r="K42" s="18" t="str">
        <f>"199.18"</f>
        <v>199.18</v>
      </c>
      <c r="L42" s="18" t="str">
        <f>"277.83"</f>
        <v>277.83</v>
      </c>
      <c r="M42" s="18" t="str">
        <f>"164.11"</f>
        <v>164.11</v>
      </c>
      <c r="N42" s="18"/>
      <c r="O42" s="18"/>
      <c r="P42" s="18"/>
      <c r="Q42" s="18"/>
      <c r="R42" s="18"/>
      <c r="S42" s="18"/>
      <c r="T42" s="18"/>
      <c r="U42" s="18"/>
      <c r="V42" s="18" t="str">
        <f>"195.98"</f>
        <v>195.98</v>
      </c>
      <c r="W42" s="18"/>
      <c r="X42" s="18"/>
      <c r="Y42" s="18"/>
      <c r="Z42" s="18"/>
      <c r="AA42" s="18" t="str">
        <f>"98.99"</f>
        <v>98.99</v>
      </c>
      <c r="AB42" s="18"/>
      <c r="AC42" s="18"/>
      <c r="AD42" s="18"/>
      <c r="AE42" s="18"/>
    </row>
    <row r="43" spans="1:31">
      <c r="A43" s="14">
        <v>41</v>
      </c>
      <c r="B43" s="14">
        <v>7565</v>
      </c>
      <c r="C43" s="14" t="s">
        <v>94</v>
      </c>
      <c r="D43" s="14" t="s">
        <v>95</v>
      </c>
      <c r="E43" s="15" t="str">
        <f>"96.48"</f>
        <v>96.48</v>
      </c>
      <c r="F43" s="15"/>
      <c r="G43" s="16" t="str">
        <f>"134.45"</f>
        <v>134.45</v>
      </c>
      <c r="H43" s="17" t="s">
        <v>40</v>
      </c>
      <c r="I43" s="15">
        <v>2</v>
      </c>
      <c r="J43" s="15">
        <v>2016</v>
      </c>
      <c r="K43" s="18" t="str">
        <f>"98.51"</f>
        <v>98.51</v>
      </c>
      <c r="L43" s="18"/>
      <c r="M43" s="18"/>
      <c r="N43" s="18"/>
      <c r="O43" s="18"/>
      <c r="P43" s="18"/>
      <c r="Q43" s="18"/>
      <c r="R43" s="18"/>
      <c r="S43" s="18"/>
      <c r="T43" s="18" t="str">
        <f>"94.45"</f>
        <v>94.45</v>
      </c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</row>
    <row r="44" spans="1:31">
      <c r="A44" s="14">
        <v>42</v>
      </c>
      <c r="B44" s="14">
        <v>4368</v>
      </c>
      <c r="C44" s="14" t="s">
        <v>96</v>
      </c>
      <c r="D44" s="14" t="s">
        <v>95</v>
      </c>
      <c r="E44" s="15" t="str">
        <f>"134.53"</f>
        <v>134.53</v>
      </c>
      <c r="F44" s="15"/>
      <c r="G44" s="16" t="str">
        <f>"134.53"</f>
        <v>134.53</v>
      </c>
      <c r="H44" s="17"/>
      <c r="I44" s="15">
        <v>3</v>
      </c>
      <c r="J44" s="15">
        <v>2016</v>
      </c>
      <c r="K44" s="18" t="str">
        <f>"144.23"</f>
        <v>144.23</v>
      </c>
      <c r="L44" s="18" t="str">
        <f>"182.49"</f>
        <v>182.49</v>
      </c>
      <c r="M44" s="18" t="str">
        <f>"163.85"</f>
        <v>163.85</v>
      </c>
      <c r="N44" s="18"/>
      <c r="O44" s="18"/>
      <c r="P44" s="18"/>
      <c r="Q44" s="18"/>
      <c r="R44" s="18"/>
      <c r="S44" s="18"/>
      <c r="T44" s="18" t="str">
        <f>"141.67"</f>
        <v>141.67</v>
      </c>
      <c r="U44" s="18"/>
      <c r="V44" s="18"/>
      <c r="W44" s="18"/>
      <c r="X44" s="18"/>
      <c r="Y44" s="18"/>
      <c r="Z44" s="18"/>
      <c r="AA44" s="18"/>
      <c r="AB44" s="18" t="str">
        <f>"136.40"</f>
        <v>136.40</v>
      </c>
      <c r="AC44" s="18" t="str">
        <f>"132.65"</f>
        <v>132.65</v>
      </c>
      <c r="AD44" s="18" t="str">
        <f>"168.01"</f>
        <v>168.01</v>
      </c>
      <c r="AE44" s="18"/>
    </row>
    <row r="45" spans="1:31">
      <c r="A45" s="14">
        <v>43</v>
      </c>
      <c r="B45" s="14">
        <v>2418</v>
      </c>
      <c r="C45" s="14" t="s">
        <v>97</v>
      </c>
      <c r="D45" s="14" t="s">
        <v>37</v>
      </c>
      <c r="E45" s="15" t="str">
        <f>"138.44"</f>
        <v>138.44</v>
      </c>
      <c r="F45" s="15"/>
      <c r="G45" s="16" t="str">
        <f>"138.44"</f>
        <v>138.44</v>
      </c>
      <c r="H45" s="17"/>
      <c r="I45" s="15">
        <v>3</v>
      </c>
      <c r="J45" s="15">
        <v>2016</v>
      </c>
      <c r="K45" s="18" t="str">
        <f>"248.42"</f>
        <v>248.42</v>
      </c>
      <c r="L45" s="18" t="str">
        <f>"271.52"</f>
        <v>271.52</v>
      </c>
      <c r="M45" s="18" t="str">
        <f>"296.03"</f>
        <v>296.03</v>
      </c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 t="str">
        <f>"93.14"</f>
        <v>93.14</v>
      </c>
      <c r="Y45" s="18"/>
      <c r="Z45" s="18"/>
      <c r="AA45" s="18"/>
      <c r="AB45" s="18"/>
      <c r="AC45" s="18"/>
      <c r="AD45" s="18" t="str">
        <f>"253.68"</f>
        <v>253.68</v>
      </c>
      <c r="AE45" s="18" t="str">
        <f>"183.73"</f>
        <v>183.73</v>
      </c>
    </row>
    <row r="46" spans="1:31">
      <c r="A46" s="14">
        <v>44</v>
      </c>
      <c r="B46" s="14">
        <v>5736</v>
      </c>
      <c r="C46" s="14" t="s">
        <v>98</v>
      </c>
      <c r="D46" s="14" t="s">
        <v>55</v>
      </c>
      <c r="E46" s="15" t="str">
        <f>"112.48"</f>
        <v>112.48</v>
      </c>
      <c r="F46" s="15"/>
      <c r="G46" s="16" t="str">
        <f>"139.80"</f>
        <v>139.80</v>
      </c>
      <c r="H46" s="17" t="s">
        <v>40</v>
      </c>
      <c r="I46" s="15">
        <v>2</v>
      </c>
      <c r="J46" s="15">
        <v>2016</v>
      </c>
      <c r="K46" s="18" t="str">
        <f>"125.15"</f>
        <v>125.15</v>
      </c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 t="str">
        <f>"99.80"</f>
        <v>99.80</v>
      </c>
      <c r="Y46" s="18"/>
      <c r="Z46" s="18"/>
      <c r="AA46" s="18"/>
      <c r="AB46" s="18"/>
      <c r="AC46" s="18"/>
      <c r="AD46" s="18"/>
      <c r="AE46" s="18"/>
    </row>
    <row r="47" spans="1:31">
      <c r="A47" s="14">
        <v>45</v>
      </c>
      <c r="B47" s="14">
        <v>5490</v>
      </c>
      <c r="C47" s="14" t="s">
        <v>99</v>
      </c>
      <c r="D47" s="14" t="s">
        <v>45</v>
      </c>
      <c r="E47" s="15" t="str">
        <f>"140.69"</f>
        <v>140.69</v>
      </c>
      <c r="F47" s="15"/>
      <c r="G47" s="16" t="str">
        <f>"140.69"</f>
        <v>140.69</v>
      </c>
      <c r="H47" s="17"/>
      <c r="I47" s="15">
        <v>3</v>
      </c>
      <c r="J47" s="15">
        <v>2016</v>
      </c>
      <c r="K47" s="18" t="str">
        <f>"229.18"</f>
        <v>229.18</v>
      </c>
      <c r="L47" s="18"/>
      <c r="M47" s="18"/>
      <c r="N47" s="18" t="str">
        <f>"174.45"</f>
        <v>174.45</v>
      </c>
      <c r="O47" s="18"/>
      <c r="P47" s="18"/>
      <c r="Q47" s="18"/>
      <c r="R47" s="18" t="str">
        <f>"106.93"</f>
        <v>106.93</v>
      </c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</row>
    <row r="48" spans="1:31">
      <c r="A48" s="14">
        <v>46</v>
      </c>
      <c r="B48" s="14">
        <v>3043</v>
      </c>
      <c r="C48" s="14" t="s">
        <v>100</v>
      </c>
      <c r="D48" s="14" t="s">
        <v>101</v>
      </c>
      <c r="E48" s="15" t="str">
        <f>"109.73"</f>
        <v>109.73</v>
      </c>
      <c r="F48" s="15"/>
      <c r="G48" s="16" t="str">
        <f>"140.97"</f>
        <v>140.97</v>
      </c>
      <c r="H48" s="17"/>
      <c r="I48" s="15">
        <v>3</v>
      </c>
      <c r="J48" s="15">
        <v>2016</v>
      </c>
      <c r="K48" s="18" t="str">
        <f>"109.73"</f>
        <v>109.73</v>
      </c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 t="str">
        <f>"135.75"</f>
        <v>135.75</v>
      </c>
      <c r="Y48" s="18"/>
      <c r="Z48" s="18"/>
      <c r="AA48" s="18"/>
      <c r="AB48" s="18"/>
      <c r="AC48" s="18"/>
      <c r="AD48" s="18" t="str">
        <f>"146.19"</f>
        <v>146.19</v>
      </c>
      <c r="AE48" s="18"/>
    </row>
    <row r="49" spans="1:31">
      <c r="A49" s="14">
        <v>47</v>
      </c>
      <c r="B49" s="14">
        <v>5095</v>
      </c>
      <c r="C49" s="14" t="s">
        <v>102</v>
      </c>
      <c r="D49" s="14" t="s">
        <v>37</v>
      </c>
      <c r="E49" s="15" t="str">
        <f>"126.05"</f>
        <v>126.05</v>
      </c>
      <c r="F49" s="15"/>
      <c r="G49" s="16" t="str">
        <f>"142.44"</f>
        <v>142.44</v>
      </c>
      <c r="H49" s="17"/>
      <c r="I49" s="15">
        <v>3</v>
      </c>
      <c r="J49" s="15">
        <v>2016</v>
      </c>
      <c r="K49" s="18" t="str">
        <f>"126.13"</f>
        <v>126.13</v>
      </c>
      <c r="L49" s="18" t="str">
        <f>"162.63"</f>
        <v>162.63</v>
      </c>
      <c r="M49" s="18" t="str">
        <f>"158.92"</f>
        <v>158.92</v>
      </c>
      <c r="N49" s="18"/>
      <c r="O49" s="18"/>
      <c r="P49" s="18"/>
      <c r="Q49" s="18"/>
      <c r="R49" s="18"/>
      <c r="S49" s="18"/>
      <c r="T49" s="18"/>
      <c r="U49" s="18"/>
      <c r="V49" s="18" t="str">
        <f>"125.96"</f>
        <v>125.96</v>
      </c>
      <c r="W49" s="18"/>
      <c r="X49" s="18"/>
      <c r="Y49" s="18"/>
      <c r="Z49" s="18"/>
      <c r="AA49" s="18" t="str">
        <f>"173.02"</f>
        <v>173.02</v>
      </c>
      <c r="AB49" s="18"/>
      <c r="AC49" s="18"/>
      <c r="AD49" s="18"/>
      <c r="AE49" s="18"/>
    </row>
    <row r="50" spans="1:31">
      <c r="A50" s="14">
        <v>48</v>
      </c>
      <c r="B50" s="14">
        <v>4573</v>
      </c>
      <c r="C50" s="14" t="s">
        <v>103</v>
      </c>
      <c r="D50" s="14" t="s">
        <v>104</v>
      </c>
      <c r="E50" s="15" t="str">
        <f>"123.97"</f>
        <v>123.97</v>
      </c>
      <c r="F50" s="15"/>
      <c r="G50" s="16" t="str">
        <f>"143.78"</f>
        <v>143.78</v>
      </c>
      <c r="H50" s="17"/>
      <c r="I50" s="15">
        <v>3</v>
      </c>
      <c r="J50" s="15">
        <v>2016</v>
      </c>
      <c r="K50" s="18" t="str">
        <f>"135.26"</f>
        <v>135.26</v>
      </c>
      <c r="L50" s="18"/>
      <c r="M50" s="18"/>
      <c r="N50" s="18"/>
      <c r="O50" s="18"/>
      <c r="P50" s="18"/>
      <c r="Q50" s="18"/>
      <c r="R50" s="18"/>
      <c r="S50" s="18"/>
      <c r="T50" s="18" t="str">
        <f>"184.05"</f>
        <v>184.05</v>
      </c>
      <c r="U50" s="18"/>
      <c r="V50" s="18"/>
      <c r="W50" s="18"/>
      <c r="X50" s="18" t="str">
        <f>"112.68"</f>
        <v>112.68</v>
      </c>
      <c r="Y50" s="18"/>
      <c r="Z50" s="18"/>
      <c r="AA50" s="18"/>
      <c r="AB50" s="18" t="str">
        <f>"174.87"</f>
        <v>174.87</v>
      </c>
      <c r="AC50" s="18" t="str">
        <f>"201.32"</f>
        <v>201.32</v>
      </c>
      <c r="AD50" s="18"/>
      <c r="AE50" s="18" t="str">
        <f>"190.97"</f>
        <v>190.97</v>
      </c>
    </row>
    <row r="51" spans="1:31">
      <c r="A51" s="14">
        <v>49</v>
      </c>
      <c r="B51" s="14">
        <v>8326</v>
      </c>
      <c r="C51" s="14" t="s">
        <v>105</v>
      </c>
      <c r="D51" s="14" t="s">
        <v>76</v>
      </c>
      <c r="E51" s="15" t="str">
        <f>"145.56"</f>
        <v>145.56</v>
      </c>
      <c r="F51" s="15"/>
      <c r="G51" s="16" t="str">
        <f>"145.56"</f>
        <v>145.56</v>
      </c>
      <c r="H51" s="17"/>
      <c r="I51" s="15">
        <v>3</v>
      </c>
      <c r="J51" s="15">
        <v>2016</v>
      </c>
      <c r="K51" s="18" t="str">
        <f>"260.88"</f>
        <v>260.88</v>
      </c>
      <c r="L51" s="18"/>
      <c r="M51" s="18"/>
      <c r="N51" s="18"/>
      <c r="O51" s="18" t="str">
        <f>"222.92"</f>
        <v>222.92</v>
      </c>
      <c r="P51" s="18"/>
      <c r="Q51" s="18"/>
      <c r="R51" s="18"/>
      <c r="S51" s="18" t="str">
        <f>"226.75"</f>
        <v>226.75</v>
      </c>
      <c r="T51" s="18"/>
      <c r="U51" s="18"/>
      <c r="V51" s="18"/>
      <c r="W51" s="18" t="str">
        <f>"201.39"</f>
        <v>201.39</v>
      </c>
      <c r="X51" s="18"/>
      <c r="Y51" s="18"/>
      <c r="Z51" s="18"/>
      <c r="AA51" s="18"/>
      <c r="AB51" s="18"/>
      <c r="AC51" s="18"/>
      <c r="AD51" s="18" t="str">
        <f>"167.01"</f>
        <v>167.01</v>
      </c>
      <c r="AE51" s="18" t="str">
        <f>"124.11"</f>
        <v>124.11</v>
      </c>
    </row>
    <row r="52" spans="1:31">
      <c r="A52" s="14">
        <v>50</v>
      </c>
      <c r="B52" s="14">
        <v>7572</v>
      </c>
      <c r="C52" s="14" t="s">
        <v>106</v>
      </c>
      <c r="D52" s="14" t="s">
        <v>76</v>
      </c>
      <c r="E52" s="15" t="str">
        <f>"147.27"</f>
        <v>147.27</v>
      </c>
      <c r="F52" s="15"/>
      <c r="G52" s="16" t="str">
        <f>"147.27"</f>
        <v>147.27</v>
      </c>
      <c r="H52" s="17"/>
      <c r="I52" s="15">
        <v>3</v>
      </c>
      <c r="J52" s="15">
        <v>2016</v>
      </c>
      <c r="K52" s="18" t="str">
        <f>"179.46"</f>
        <v>179.46</v>
      </c>
      <c r="L52" s="18"/>
      <c r="M52" s="18"/>
      <c r="N52" s="18"/>
      <c r="O52" s="18" t="str">
        <f>"161.11"</f>
        <v>161.11</v>
      </c>
      <c r="P52" s="18"/>
      <c r="Q52" s="18"/>
      <c r="R52" s="18"/>
      <c r="S52" s="18"/>
      <c r="T52" s="18"/>
      <c r="U52" s="18"/>
      <c r="V52" s="18"/>
      <c r="W52" s="18" t="str">
        <f>"133.42"</f>
        <v>133.42</v>
      </c>
      <c r="X52" s="18"/>
      <c r="Y52" s="18"/>
      <c r="Z52" s="18"/>
      <c r="AA52" s="18"/>
      <c r="AB52" s="18"/>
      <c r="AC52" s="18"/>
      <c r="AD52" s="18"/>
      <c r="AE52" s="18"/>
    </row>
    <row r="53" spans="1:31">
      <c r="A53" s="14">
        <v>51</v>
      </c>
      <c r="B53" s="14">
        <v>5507</v>
      </c>
      <c r="C53" s="14" t="s">
        <v>107</v>
      </c>
      <c r="D53" s="14" t="s">
        <v>76</v>
      </c>
      <c r="E53" s="15" t="str">
        <f>"147.75"</f>
        <v>147.75</v>
      </c>
      <c r="F53" s="15"/>
      <c r="G53" s="16" t="str">
        <f>"147.75"</f>
        <v>147.75</v>
      </c>
      <c r="H53" s="17"/>
      <c r="I53" s="15">
        <v>3</v>
      </c>
      <c r="J53" s="15">
        <v>2016</v>
      </c>
      <c r="K53" s="18" t="str">
        <f>"184.57"</f>
        <v>184.57</v>
      </c>
      <c r="L53" s="18" t="str">
        <f>"161.00"</f>
        <v>161.00</v>
      </c>
      <c r="M53" s="18" t="str">
        <f>"138.40"</f>
        <v>138.40</v>
      </c>
      <c r="N53" s="18"/>
      <c r="O53" s="18" t="str">
        <f>"193.06"</f>
        <v>193.06</v>
      </c>
      <c r="P53" s="18"/>
      <c r="Q53" s="18"/>
      <c r="R53" s="18"/>
      <c r="S53" s="18" t="str">
        <f>"172.17"</f>
        <v>172.17</v>
      </c>
      <c r="T53" s="18"/>
      <c r="U53" s="18"/>
      <c r="V53" s="18"/>
      <c r="W53" s="18" t="str">
        <f>"157.10"</f>
        <v>157.10</v>
      </c>
      <c r="X53" s="18"/>
      <c r="Y53" s="18"/>
      <c r="Z53" s="18"/>
      <c r="AA53" s="18"/>
      <c r="AB53" s="18"/>
      <c r="AC53" s="18"/>
      <c r="AD53" s="18"/>
      <c r="AE53" s="18"/>
    </row>
    <row r="54" spans="1:31">
      <c r="A54" s="14">
        <v>52</v>
      </c>
      <c r="B54" s="14">
        <v>10561</v>
      </c>
      <c r="C54" s="14" t="s">
        <v>108</v>
      </c>
      <c r="D54" s="14" t="s">
        <v>37</v>
      </c>
      <c r="E54" s="15" t="str">
        <f>"112.35"</f>
        <v>112.35</v>
      </c>
      <c r="F54" s="15"/>
      <c r="G54" s="16" t="str">
        <f>"148.20"</f>
        <v>148.20</v>
      </c>
      <c r="H54" s="17"/>
      <c r="I54" s="15">
        <v>3</v>
      </c>
      <c r="J54" s="15">
        <v>2016</v>
      </c>
      <c r="K54" s="18" t="str">
        <f>"112.35"</f>
        <v>112.35</v>
      </c>
      <c r="L54" s="18" t="str">
        <f>"208.20"</f>
        <v>208.20</v>
      </c>
      <c r="M54" s="18" t="str">
        <f>"142.04"</f>
        <v>142.04</v>
      </c>
      <c r="N54" s="18"/>
      <c r="O54" s="18"/>
      <c r="P54" s="18"/>
      <c r="Q54" s="18"/>
      <c r="R54" s="18"/>
      <c r="S54" s="18"/>
      <c r="T54" s="18"/>
      <c r="U54" s="18"/>
      <c r="V54" s="18" t="str">
        <f>"154.36"</f>
        <v>154.36</v>
      </c>
      <c r="W54" s="18"/>
      <c r="X54" s="18"/>
      <c r="Y54" s="18"/>
      <c r="Z54" s="18"/>
      <c r="AA54" s="18"/>
      <c r="AB54" s="18"/>
      <c r="AC54" s="18"/>
      <c r="AD54" s="18"/>
      <c r="AE54" s="18"/>
    </row>
    <row r="55" spans="1:31">
      <c r="A55" s="14">
        <v>53</v>
      </c>
      <c r="B55" s="14">
        <v>5147</v>
      </c>
      <c r="C55" s="14" t="s">
        <v>109</v>
      </c>
      <c r="D55" s="14" t="s">
        <v>110</v>
      </c>
      <c r="E55" s="15" t="str">
        <f>"137.89"</f>
        <v>137.89</v>
      </c>
      <c r="F55" s="15"/>
      <c r="G55" s="16" t="str">
        <f>"148.21"</f>
        <v>148.21</v>
      </c>
      <c r="H55" s="17"/>
      <c r="I55" s="15">
        <v>3</v>
      </c>
      <c r="J55" s="15">
        <v>2016</v>
      </c>
      <c r="K55" s="18" t="str">
        <f>"152.77"</f>
        <v>152.77</v>
      </c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 t="str">
        <f>"123.01"</f>
        <v>123.01</v>
      </c>
      <c r="Y55" s="18"/>
      <c r="Z55" s="18"/>
      <c r="AA55" s="18"/>
      <c r="AB55" s="18"/>
      <c r="AC55" s="18"/>
      <c r="AD55" s="18" t="str">
        <f>"173.41"</f>
        <v>173.41</v>
      </c>
      <c r="AE55" s="18"/>
    </row>
    <row r="56" spans="1:31">
      <c r="A56" s="14">
        <v>54</v>
      </c>
      <c r="B56" s="14">
        <v>10964</v>
      </c>
      <c r="C56" s="14" t="s">
        <v>111</v>
      </c>
      <c r="D56" s="14" t="s">
        <v>112</v>
      </c>
      <c r="E56" s="15" t="str">
        <f>"148.92"</f>
        <v>148.92</v>
      </c>
      <c r="F56" s="15"/>
      <c r="G56" s="16" t="str">
        <f>"148.92"</f>
        <v>148.92</v>
      </c>
      <c r="H56" s="17"/>
      <c r="I56" s="15">
        <v>5</v>
      </c>
      <c r="J56" s="15">
        <v>2016</v>
      </c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 t="str">
        <f>"95.41"</f>
        <v>95.41</v>
      </c>
      <c r="Y56" s="18"/>
      <c r="Z56" s="18"/>
      <c r="AA56" s="18"/>
      <c r="AB56" s="18"/>
      <c r="AC56" s="18"/>
      <c r="AD56" s="18" t="str">
        <f>"202.43"</f>
        <v>202.43</v>
      </c>
      <c r="AE56" s="18"/>
    </row>
    <row r="57" spans="1:31">
      <c r="A57" s="14">
        <v>55</v>
      </c>
      <c r="B57" s="14">
        <v>3285</v>
      </c>
      <c r="C57" s="14" t="s">
        <v>113</v>
      </c>
      <c r="D57" s="14" t="s">
        <v>114</v>
      </c>
      <c r="E57" s="15" t="str">
        <f>"112.70"</f>
        <v>112.70</v>
      </c>
      <c r="F57" s="15"/>
      <c r="G57" s="16" t="str">
        <f>"152.70"</f>
        <v>152.70</v>
      </c>
      <c r="H57" s="17" t="s">
        <v>38</v>
      </c>
      <c r="I57" s="15">
        <v>1</v>
      </c>
      <c r="J57" s="15">
        <v>2016</v>
      </c>
      <c r="K57" s="18" t="str">
        <f>"112.70"</f>
        <v>112.70</v>
      </c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</row>
    <row r="58" spans="1:31">
      <c r="A58" s="14">
        <v>56</v>
      </c>
      <c r="B58" s="14">
        <v>10110</v>
      </c>
      <c r="C58" s="14" t="s">
        <v>115</v>
      </c>
      <c r="D58" s="14" t="s">
        <v>59</v>
      </c>
      <c r="E58" s="15" t="str">
        <f>"154.25"</f>
        <v>154.25</v>
      </c>
      <c r="F58" s="15"/>
      <c r="G58" s="16" t="str">
        <f>"154.25"</f>
        <v>154.25</v>
      </c>
      <c r="H58" s="17"/>
      <c r="I58" s="15">
        <v>3</v>
      </c>
      <c r="J58" s="15">
        <v>2016</v>
      </c>
      <c r="K58" s="18" t="str">
        <f>"285.47"</f>
        <v>285.47</v>
      </c>
      <c r="L58" s="18"/>
      <c r="M58" s="18"/>
      <c r="N58" s="18" t="str">
        <f>"158.79"</f>
        <v>158.79</v>
      </c>
      <c r="O58" s="18"/>
      <c r="P58" s="18"/>
      <c r="Q58" s="18" t="str">
        <f>"149.70"</f>
        <v>149.70</v>
      </c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</row>
    <row r="59" spans="1:31">
      <c r="A59" s="14">
        <v>57</v>
      </c>
      <c r="B59" s="14">
        <v>8341</v>
      </c>
      <c r="C59" s="14" t="s">
        <v>116</v>
      </c>
      <c r="D59" s="14" t="s">
        <v>76</v>
      </c>
      <c r="E59" s="15" t="str">
        <f>"154.26"</f>
        <v>154.26</v>
      </c>
      <c r="F59" s="15"/>
      <c r="G59" s="16" t="str">
        <f>"154.26"</f>
        <v>154.26</v>
      </c>
      <c r="H59" s="17"/>
      <c r="I59" s="15">
        <v>3</v>
      </c>
      <c r="J59" s="15">
        <v>2016</v>
      </c>
      <c r="K59" s="18" t="str">
        <f>"182.86"</f>
        <v>182.86</v>
      </c>
      <c r="L59" s="18"/>
      <c r="M59" s="18"/>
      <c r="N59" s="18"/>
      <c r="O59" s="18" t="str">
        <f>"156.24"</f>
        <v>156.24</v>
      </c>
      <c r="P59" s="18"/>
      <c r="Q59" s="18"/>
      <c r="R59" s="18"/>
      <c r="S59" s="18" t="str">
        <f>"176.14"</f>
        <v>176.14</v>
      </c>
      <c r="T59" s="18"/>
      <c r="U59" s="18"/>
      <c r="V59" s="18"/>
      <c r="W59" s="18" t="str">
        <f>"152.28"</f>
        <v>152.28</v>
      </c>
      <c r="X59" s="18"/>
      <c r="Y59" s="18"/>
      <c r="Z59" s="18"/>
      <c r="AA59" s="18"/>
      <c r="AB59" s="18"/>
      <c r="AC59" s="18"/>
      <c r="AD59" s="18"/>
      <c r="AE59" s="18"/>
    </row>
    <row r="60" spans="1:31">
      <c r="A60" s="14">
        <v>58</v>
      </c>
      <c r="B60" s="14">
        <v>8104</v>
      </c>
      <c r="C60" s="14" t="s">
        <v>117</v>
      </c>
      <c r="D60" s="14" t="s">
        <v>118</v>
      </c>
      <c r="E60" s="15" t="str">
        <f>"146.43"</f>
        <v>146.43</v>
      </c>
      <c r="F60" s="15"/>
      <c r="G60" s="16" t="str">
        <f>"155.42"</f>
        <v>155.42</v>
      </c>
      <c r="H60" s="17"/>
      <c r="I60" s="15">
        <v>3</v>
      </c>
      <c r="J60" s="15">
        <v>2016</v>
      </c>
      <c r="K60" s="18" t="str">
        <f>"159.23"</f>
        <v>159.23</v>
      </c>
      <c r="L60" s="18" t="str">
        <f>"242.55"</f>
        <v>242.55</v>
      </c>
      <c r="M60" s="18" t="str">
        <f>"204.36"</f>
        <v>204.36</v>
      </c>
      <c r="N60" s="18"/>
      <c r="O60" s="18"/>
      <c r="P60" s="18"/>
      <c r="Q60" s="18"/>
      <c r="R60" s="18"/>
      <c r="S60" s="18"/>
      <c r="T60" s="18" t="str">
        <f>"189.86"</f>
        <v>189.86</v>
      </c>
      <c r="U60" s="18"/>
      <c r="V60" s="18"/>
      <c r="W60" s="18"/>
      <c r="X60" s="18" t="str">
        <f>"133.63"</f>
        <v>133.63</v>
      </c>
      <c r="Y60" s="18"/>
      <c r="Z60" s="18"/>
      <c r="AA60" s="18"/>
      <c r="AB60" s="18" t="str">
        <f>"183.59"</f>
        <v>183.59</v>
      </c>
      <c r="AC60" s="18" t="str">
        <f>"200.44"</f>
        <v>200.44</v>
      </c>
      <c r="AD60" s="18" t="str">
        <f>"177.21"</f>
        <v>177.21</v>
      </c>
      <c r="AE60" s="18"/>
    </row>
    <row r="61" spans="1:31">
      <c r="A61" s="14">
        <v>59</v>
      </c>
      <c r="B61" s="14">
        <v>4474</v>
      </c>
      <c r="C61" s="14" t="s">
        <v>119</v>
      </c>
      <c r="D61" s="14" t="s">
        <v>120</v>
      </c>
      <c r="E61" s="15" t="str">
        <f>"117.96"</f>
        <v>117.96</v>
      </c>
      <c r="F61" s="15"/>
      <c r="G61" s="16" t="str">
        <f>"157.96"</f>
        <v>157.96</v>
      </c>
      <c r="H61" s="17" t="s">
        <v>38</v>
      </c>
      <c r="I61" s="15">
        <v>1</v>
      </c>
      <c r="J61" s="15">
        <v>2016</v>
      </c>
      <c r="K61" s="18" t="str">
        <f>"117.96"</f>
        <v>117.96</v>
      </c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</row>
    <row r="62" spans="1:31">
      <c r="A62" s="14">
        <v>60</v>
      </c>
      <c r="B62" s="14">
        <v>5486</v>
      </c>
      <c r="C62" s="14" t="s">
        <v>121</v>
      </c>
      <c r="D62" s="14" t="s">
        <v>76</v>
      </c>
      <c r="E62" s="15" t="str">
        <f>"159.48"</f>
        <v>159.48</v>
      </c>
      <c r="F62" s="15"/>
      <c r="G62" s="16" t="str">
        <f>"159.48"</f>
        <v>159.48</v>
      </c>
      <c r="H62" s="17"/>
      <c r="I62" s="15">
        <v>3</v>
      </c>
      <c r="J62" s="15">
        <v>2016</v>
      </c>
      <c r="K62" s="18" t="str">
        <f>"246.17"</f>
        <v>246.17</v>
      </c>
      <c r="L62" s="18"/>
      <c r="M62" s="18"/>
      <c r="N62" s="18"/>
      <c r="O62" s="18" t="str">
        <f>"166.64"</f>
        <v>166.64</v>
      </c>
      <c r="P62" s="18"/>
      <c r="Q62" s="18"/>
      <c r="R62" s="18"/>
      <c r="S62" s="18" t="str">
        <f>"166.23"</f>
        <v>166.23</v>
      </c>
      <c r="T62" s="18"/>
      <c r="U62" s="18"/>
      <c r="V62" s="18"/>
      <c r="W62" s="18" t="str">
        <f>"152.72"</f>
        <v>152.72</v>
      </c>
      <c r="X62" s="18"/>
      <c r="Y62" s="18"/>
      <c r="Z62" s="18"/>
      <c r="AA62" s="18"/>
      <c r="AB62" s="18"/>
      <c r="AC62" s="18"/>
      <c r="AD62" s="18"/>
      <c r="AE62" s="18"/>
    </row>
    <row r="63" spans="1:31">
      <c r="A63" s="14">
        <v>61</v>
      </c>
      <c r="B63" s="14">
        <v>1490</v>
      </c>
      <c r="C63" s="14" t="s">
        <v>122</v>
      </c>
      <c r="D63" s="14" t="s">
        <v>123</v>
      </c>
      <c r="E63" s="15" t="str">
        <f>"120.13"</f>
        <v>120.13</v>
      </c>
      <c r="F63" s="15"/>
      <c r="G63" s="16" t="str">
        <f>"160.13"</f>
        <v>160.13</v>
      </c>
      <c r="H63" s="17" t="s">
        <v>38</v>
      </c>
      <c r="I63" s="15">
        <v>1</v>
      </c>
      <c r="J63" s="15">
        <v>2016</v>
      </c>
      <c r="K63" s="18" t="str">
        <f>"120.13"</f>
        <v>120.13</v>
      </c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</row>
    <row r="64" spans="1:31">
      <c r="A64" s="14">
        <v>62</v>
      </c>
      <c r="B64" s="14">
        <v>1835</v>
      </c>
      <c r="C64" s="14" t="s">
        <v>124</v>
      </c>
      <c r="D64" s="14" t="s">
        <v>37</v>
      </c>
      <c r="E64" s="15" t="str">
        <f>"132.98"</f>
        <v>132.98</v>
      </c>
      <c r="F64" s="15"/>
      <c r="G64" s="16" t="str">
        <f>"163.23"</f>
        <v>163.23</v>
      </c>
      <c r="H64" s="17"/>
      <c r="I64" s="15">
        <v>3</v>
      </c>
      <c r="J64" s="15">
        <v>2016</v>
      </c>
      <c r="K64" s="18" t="str">
        <f>"138.42"</f>
        <v>138.42</v>
      </c>
      <c r="L64" s="18" t="str">
        <f>"248.15"</f>
        <v>248.15</v>
      </c>
      <c r="M64" s="18" t="str">
        <f>"198.91"</f>
        <v>198.91</v>
      </c>
      <c r="N64" s="18"/>
      <c r="O64" s="18"/>
      <c r="P64" s="18"/>
      <c r="Q64" s="18"/>
      <c r="R64" s="18"/>
      <c r="S64" s="18"/>
      <c r="T64" s="18"/>
      <c r="U64" s="18"/>
      <c r="V64" s="18" t="str">
        <f>"127.54"</f>
        <v>127.54</v>
      </c>
      <c r="W64" s="18"/>
      <c r="X64" s="18"/>
      <c r="Y64" s="18"/>
      <c r="Z64" s="18"/>
      <c r="AA64" s="18"/>
      <c r="AB64" s="18"/>
      <c r="AC64" s="18"/>
      <c r="AD64" s="18" t="str">
        <f>"236.06"</f>
        <v>236.06</v>
      </c>
      <c r="AE64" s="18"/>
    </row>
    <row r="65" spans="1:31">
      <c r="A65" s="14">
        <v>63</v>
      </c>
      <c r="B65" s="14">
        <v>3902</v>
      </c>
      <c r="C65" s="14" t="s">
        <v>125</v>
      </c>
      <c r="D65" s="14" t="s">
        <v>126</v>
      </c>
      <c r="E65" s="15" t="str">
        <f>"164.11"</f>
        <v>164.11</v>
      </c>
      <c r="F65" s="15"/>
      <c r="G65" s="16" t="str">
        <f>"164.11"</f>
        <v>164.11</v>
      </c>
      <c r="H65" s="17"/>
      <c r="I65" s="15">
        <v>3</v>
      </c>
      <c r="J65" s="15">
        <v>2016</v>
      </c>
      <c r="K65" s="18" t="str">
        <f>"211.09"</f>
        <v>211.09</v>
      </c>
      <c r="L65" s="18" t="str">
        <f>"207.96"</f>
        <v>207.96</v>
      </c>
      <c r="M65" s="18" t="str">
        <f>"184.11"</f>
        <v>184.11</v>
      </c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 t="str">
        <f>"144.11"</f>
        <v>144.11</v>
      </c>
      <c r="Y65" s="18"/>
      <c r="Z65" s="18"/>
      <c r="AA65" s="18"/>
      <c r="AB65" s="18"/>
      <c r="AC65" s="18"/>
      <c r="AD65" s="18"/>
      <c r="AE65" s="18"/>
    </row>
    <row r="66" spans="1:31">
      <c r="A66" s="14">
        <v>64</v>
      </c>
      <c r="B66" s="14">
        <v>9962</v>
      </c>
      <c r="C66" s="14" t="s">
        <v>127</v>
      </c>
      <c r="D66" s="14" t="s">
        <v>76</v>
      </c>
      <c r="E66" s="15" t="str">
        <f>"166.44"</f>
        <v>166.44</v>
      </c>
      <c r="F66" s="15"/>
      <c r="G66" s="16" t="str">
        <f>"166.44"</f>
        <v>166.44</v>
      </c>
      <c r="H66" s="17"/>
      <c r="I66" s="15">
        <v>3</v>
      </c>
      <c r="J66" s="15">
        <v>2016</v>
      </c>
      <c r="K66" s="18" t="str">
        <f>"183.73"</f>
        <v>183.73</v>
      </c>
      <c r="L66" s="18"/>
      <c r="M66" s="18"/>
      <c r="N66" s="18"/>
      <c r="O66" s="18" t="str">
        <f>"166.98"</f>
        <v>166.98</v>
      </c>
      <c r="P66" s="18"/>
      <c r="Q66" s="18"/>
      <c r="R66" s="18"/>
      <c r="S66" s="18" t="str">
        <f>"165.89"</f>
        <v>165.89</v>
      </c>
      <c r="T66" s="18"/>
      <c r="U66" s="18"/>
      <c r="V66" s="18"/>
      <c r="W66" s="18" t="str">
        <f>"194.81"</f>
        <v>194.81</v>
      </c>
      <c r="X66" s="18"/>
      <c r="Y66" s="18"/>
      <c r="Z66" s="18"/>
      <c r="AA66" s="18"/>
      <c r="AB66" s="18"/>
      <c r="AC66" s="18"/>
      <c r="AD66" s="18"/>
      <c r="AE66" s="18"/>
    </row>
    <row r="67" spans="1:31">
      <c r="A67" s="14">
        <v>65</v>
      </c>
      <c r="B67" s="14">
        <v>5501</v>
      </c>
      <c r="C67" s="14" t="s">
        <v>128</v>
      </c>
      <c r="D67" s="14" t="s">
        <v>129</v>
      </c>
      <c r="E67" s="15" t="str">
        <f>"166.87"</f>
        <v>166.87</v>
      </c>
      <c r="F67" s="15"/>
      <c r="G67" s="16" t="str">
        <f>"166.87"</f>
        <v>166.87</v>
      </c>
      <c r="H67" s="17"/>
      <c r="I67" s="15">
        <v>3</v>
      </c>
      <c r="J67" s="15">
        <v>2016</v>
      </c>
      <c r="K67" s="18" t="str">
        <f>"345.56"</f>
        <v>345.56</v>
      </c>
      <c r="L67" s="18"/>
      <c r="M67" s="18"/>
      <c r="N67" s="18" t="str">
        <f>"227.05"</f>
        <v>227.05</v>
      </c>
      <c r="O67" s="18"/>
      <c r="P67" s="18"/>
      <c r="Q67" s="18" t="str">
        <f>"184.39"</f>
        <v>184.39</v>
      </c>
      <c r="R67" s="18"/>
      <c r="S67" s="18"/>
      <c r="T67" s="18"/>
      <c r="U67" s="18"/>
      <c r="V67" s="18"/>
      <c r="W67" s="18"/>
      <c r="X67" s="18" t="str">
        <f>"149.34"</f>
        <v>149.34</v>
      </c>
      <c r="Y67" s="18"/>
      <c r="Z67" s="18"/>
      <c r="AA67" s="18"/>
      <c r="AB67" s="18"/>
      <c r="AC67" s="18"/>
      <c r="AD67" s="18"/>
      <c r="AE67" s="18"/>
    </row>
    <row r="68" spans="1:31">
      <c r="A68" s="14">
        <v>66</v>
      </c>
      <c r="B68" s="14">
        <v>4331</v>
      </c>
      <c r="C68" s="14" t="s">
        <v>130</v>
      </c>
      <c r="D68" s="14" t="s">
        <v>131</v>
      </c>
      <c r="E68" s="15" t="str">
        <f>"160.88"</f>
        <v>160.88</v>
      </c>
      <c r="F68" s="15"/>
      <c r="G68" s="16" t="str">
        <f>"166.91"</f>
        <v>166.91</v>
      </c>
      <c r="H68" s="17"/>
      <c r="I68" s="15">
        <v>3</v>
      </c>
      <c r="J68" s="15">
        <v>2016</v>
      </c>
      <c r="K68" s="18" t="str">
        <f>"188.40"</f>
        <v>188.40</v>
      </c>
      <c r="L68" s="18" t="str">
        <f>"234.84"</f>
        <v>234.84</v>
      </c>
      <c r="M68" s="18" t="str">
        <f>"200.47"</f>
        <v>200.47</v>
      </c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 t="str">
        <f>"133.35"</f>
        <v>133.35</v>
      </c>
      <c r="Y68" s="18"/>
      <c r="Z68" s="18"/>
      <c r="AA68" s="18"/>
      <c r="AB68" s="18"/>
      <c r="AC68" s="18"/>
      <c r="AD68" s="18"/>
      <c r="AE68" s="18"/>
    </row>
    <row r="69" spans="1:31">
      <c r="A69" s="14">
        <v>67</v>
      </c>
      <c r="B69" s="14">
        <v>1775</v>
      </c>
      <c r="C69" s="14" t="s">
        <v>132</v>
      </c>
      <c r="D69" s="14" t="s">
        <v>104</v>
      </c>
      <c r="E69" s="15" t="str">
        <f>"127.73"</f>
        <v>127.73</v>
      </c>
      <c r="F69" s="15"/>
      <c r="G69" s="16" t="str">
        <f>"167.73"</f>
        <v>167.73</v>
      </c>
      <c r="H69" s="17" t="s">
        <v>38</v>
      </c>
      <c r="I69" s="15">
        <v>1</v>
      </c>
      <c r="J69" s="15">
        <v>2016</v>
      </c>
      <c r="K69" s="18" t="str">
        <f>"127.73"</f>
        <v>127.73</v>
      </c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</row>
    <row r="70" spans="1:31">
      <c r="A70" s="14">
        <v>68</v>
      </c>
      <c r="B70" s="14">
        <v>4319</v>
      </c>
      <c r="C70" s="14" t="s">
        <v>133</v>
      </c>
      <c r="D70" s="14" t="s">
        <v>37</v>
      </c>
      <c r="E70" s="15" t="str">
        <f>"141.09"</f>
        <v>141.09</v>
      </c>
      <c r="F70" s="15"/>
      <c r="G70" s="16" t="str">
        <f>"170.30"</f>
        <v>170.30</v>
      </c>
      <c r="H70" s="17"/>
      <c r="I70" s="15">
        <v>3</v>
      </c>
      <c r="J70" s="15">
        <v>2016</v>
      </c>
      <c r="K70" s="18" t="str">
        <f>"141.09"</f>
        <v>141.09</v>
      </c>
      <c r="L70" s="18" t="str">
        <f>"193.94"</f>
        <v>193.94</v>
      </c>
      <c r="M70" s="18" t="str">
        <f>"210.33"</f>
        <v>210.33</v>
      </c>
      <c r="N70" s="18"/>
      <c r="O70" s="18"/>
      <c r="P70" s="18"/>
      <c r="Q70" s="18"/>
      <c r="R70" s="18"/>
      <c r="S70" s="18"/>
      <c r="T70" s="18"/>
      <c r="U70" s="18"/>
      <c r="V70" s="18" t="str">
        <f>"152.88"</f>
        <v>152.88</v>
      </c>
      <c r="W70" s="18"/>
      <c r="X70" s="18"/>
      <c r="Y70" s="18"/>
      <c r="Z70" s="18"/>
      <c r="AA70" s="18" t="str">
        <f>"205.73"</f>
        <v>205.73</v>
      </c>
      <c r="AB70" s="18"/>
      <c r="AC70" s="18"/>
      <c r="AD70" s="18" t="str">
        <f>"196.03"</f>
        <v>196.03</v>
      </c>
      <c r="AE70" s="18" t="str">
        <f>"187.72"</f>
        <v>187.72</v>
      </c>
    </row>
    <row r="71" spans="1:31">
      <c r="A71" s="14">
        <v>69</v>
      </c>
      <c r="B71" s="14">
        <v>5260</v>
      </c>
      <c r="C71" s="14" t="s">
        <v>134</v>
      </c>
      <c r="D71" s="14" t="s">
        <v>135</v>
      </c>
      <c r="E71" s="15" t="str">
        <f>"131.60"</f>
        <v>131.60</v>
      </c>
      <c r="F71" s="15"/>
      <c r="G71" s="16" t="str">
        <f>"171.60"</f>
        <v>171.60</v>
      </c>
      <c r="H71" s="17" t="s">
        <v>38</v>
      </c>
      <c r="I71" s="15">
        <v>1</v>
      </c>
      <c r="J71" s="15">
        <v>2016</v>
      </c>
      <c r="K71" s="18" t="str">
        <f>"131.60"</f>
        <v>131.60</v>
      </c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</row>
    <row r="72" spans="1:31">
      <c r="A72" s="14">
        <v>70</v>
      </c>
      <c r="B72" s="14">
        <v>5415</v>
      </c>
      <c r="C72" s="14" t="s">
        <v>136</v>
      </c>
      <c r="D72" s="14" t="s">
        <v>76</v>
      </c>
      <c r="E72" s="15" t="str">
        <f>"95.34"</f>
        <v>95.34</v>
      </c>
      <c r="F72" s="15"/>
      <c r="G72" s="16" t="str">
        <f>"171.67"</f>
        <v>171.67</v>
      </c>
      <c r="H72" s="17" t="s">
        <v>40</v>
      </c>
      <c r="I72" s="15">
        <v>2</v>
      </c>
      <c r="J72" s="15">
        <v>2016</v>
      </c>
      <c r="K72" s="18" t="str">
        <f>"95.34"</f>
        <v>95.34</v>
      </c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 t="str">
        <f>"131.67"</f>
        <v>131.67</v>
      </c>
      <c r="X72" s="18"/>
      <c r="Y72" s="18"/>
      <c r="Z72" s="18"/>
      <c r="AA72" s="18"/>
      <c r="AB72" s="18"/>
      <c r="AC72" s="18"/>
      <c r="AD72" s="18"/>
      <c r="AE72" s="18"/>
    </row>
    <row r="73" spans="1:31">
      <c r="A73" s="14">
        <v>71</v>
      </c>
      <c r="B73" s="14">
        <v>5448</v>
      </c>
      <c r="C73" s="14" t="s">
        <v>137</v>
      </c>
      <c r="D73" s="14" t="s">
        <v>52</v>
      </c>
      <c r="E73" s="15" t="str">
        <f>"144.78"</f>
        <v>144.78</v>
      </c>
      <c r="F73" s="15"/>
      <c r="G73" s="16" t="str">
        <f>"172.23"</f>
        <v>172.23</v>
      </c>
      <c r="H73" s="17"/>
      <c r="I73" s="15">
        <v>3</v>
      </c>
      <c r="J73" s="15">
        <v>2016</v>
      </c>
      <c r="K73" s="18" t="str">
        <f>"151.74"</f>
        <v>151.74</v>
      </c>
      <c r="L73" s="18"/>
      <c r="M73" s="18"/>
      <c r="N73" s="18"/>
      <c r="O73" s="18"/>
      <c r="P73" s="18"/>
      <c r="Q73" s="18"/>
      <c r="R73" s="18"/>
      <c r="S73" s="18"/>
      <c r="T73" s="18" t="str">
        <f>"213.71"</f>
        <v>213.71</v>
      </c>
      <c r="U73" s="18"/>
      <c r="V73" s="18"/>
      <c r="W73" s="18"/>
      <c r="X73" s="18"/>
      <c r="Y73" s="18" t="str">
        <f>"137.81"</f>
        <v>137.81</v>
      </c>
      <c r="Z73" s="18"/>
      <c r="AA73" s="18"/>
      <c r="AB73" s="18"/>
      <c r="AC73" s="18"/>
      <c r="AD73" s="18" t="str">
        <f>"206.64"</f>
        <v>206.64</v>
      </c>
      <c r="AE73" s="18"/>
    </row>
    <row r="74" spans="1:31">
      <c r="A74" s="14">
        <v>72</v>
      </c>
      <c r="B74" s="14">
        <v>7582</v>
      </c>
      <c r="C74" s="14" t="s">
        <v>138</v>
      </c>
      <c r="D74" s="14" t="s">
        <v>139</v>
      </c>
      <c r="E74" s="15" t="str">
        <f>"134.00"</f>
        <v>134.00</v>
      </c>
      <c r="F74" s="15"/>
      <c r="G74" s="16" t="str">
        <f>"174.00"</f>
        <v>174.00</v>
      </c>
      <c r="H74" s="17" t="s">
        <v>38</v>
      </c>
      <c r="I74" s="15">
        <v>1</v>
      </c>
      <c r="J74" s="15">
        <v>2016</v>
      </c>
      <c r="K74" s="18" t="str">
        <f>"134.00"</f>
        <v>134.00</v>
      </c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</row>
    <row r="75" spans="1:31">
      <c r="A75" s="14">
        <v>73</v>
      </c>
      <c r="B75" s="14">
        <v>8622</v>
      </c>
      <c r="C75" s="14" t="s">
        <v>140</v>
      </c>
      <c r="D75" s="14" t="s">
        <v>37</v>
      </c>
      <c r="E75" s="15" t="str">
        <f>"168.41"</f>
        <v>168.41</v>
      </c>
      <c r="F75" s="15"/>
      <c r="G75" s="16" t="str">
        <f>"175.70"</f>
        <v>175.70</v>
      </c>
      <c r="H75" s="17"/>
      <c r="I75" s="15">
        <v>3</v>
      </c>
      <c r="J75" s="15">
        <v>2016</v>
      </c>
      <c r="K75" s="18" t="str">
        <f>"183.93"</f>
        <v>183.93</v>
      </c>
      <c r="L75" s="18" t="str">
        <f>"251.19"</f>
        <v>251.19</v>
      </c>
      <c r="M75" s="18" t="str">
        <f>"221.50"</f>
        <v>221.50</v>
      </c>
      <c r="N75" s="18"/>
      <c r="O75" s="18"/>
      <c r="P75" s="18"/>
      <c r="Q75" s="18"/>
      <c r="R75" s="18"/>
      <c r="S75" s="18"/>
      <c r="T75" s="18"/>
      <c r="U75" s="18"/>
      <c r="V75" s="18" t="str">
        <f>"152.88"</f>
        <v>152.88</v>
      </c>
      <c r="W75" s="18"/>
      <c r="X75" s="18"/>
      <c r="Y75" s="18"/>
      <c r="Z75" s="18"/>
      <c r="AA75" s="18" t="str">
        <f>"198.52"</f>
        <v>198.52</v>
      </c>
      <c r="AB75" s="18"/>
      <c r="AC75" s="18"/>
      <c r="AD75" s="18"/>
      <c r="AE75" s="18"/>
    </row>
    <row r="76" spans="1:31">
      <c r="A76" s="14">
        <v>74</v>
      </c>
      <c r="B76" s="14">
        <v>2217</v>
      </c>
      <c r="C76" s="14" t="s">
        <v>141</v>
      </c>
      <c r="D76" s="14" t="s">
        <v>142</v>
      </c>
      <c r="E76" s="15" t="str">
        <f>"136.67"</f>
        <v>136.67</v>
      </c>
      <c r="F76" s="15"/>
      <c r="G76" s="16" t="str">
        <f>"176.67"</f>
        <v>176.67</v>
      </c>
      <c r="H76" s="17" t="s">
        <v>38</v>
      </c>
      <c r="I76" s="15">
        <v>1</v>
      </c>
      <c r="J76" s="15">
        <v>2016</v>
      </c>
      <c r="K76" s="18" t="str">
        <f>"136.67"</f>
        <v>136.67</v>
      </c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</row>
    <row r="77" spans="1:31">
      <c r="A77" s="14">
        <v>75</v>
      </c>
      <c r="B77" s="14">
        <v>5734</v>
      </c>
      <c r="C77" s="14" t="s">
        <v>143</v>
      </c>
      <c r="D77" s="14" t="s">
        <v>76</v>
      </c>
      <c r="E77" s="15" t="str">
        <f>"148.06"</f>
        <v>148.06</v>
      </c>
      <c r="F77" s="15"/>
      <c r="G77" s="16" t="str">
        <f>"177.78"</f>
        <v>177.78</v>
      </c>
      <c r="H77" s="17" t="s">
        <v>40</v>
      </c>
      <c r="I77" s="15">
        <v>2</v>
      </c>
      <c r="J77" s="15">
        <v>2016</v>
      </c>
      <c r="K77" s="18" t="str">
        <f>"158.33"</f>
        <v>158.33</v>
      </c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 t="str">
        <f>"137.78"</f>
        <v>137.78</v>
      </c>
      <c r="AE77" s="18"/>
    </row>
    <row r="78" spans="1:31">
      <c r="A78" s="14">
        <v>76</v>
      </c>
      <c r="B78" s="14">
        <v>6601</v>
      </c>
      <c r="C78" s="14" t="s">
        <v>144</v>
      </c>
      <c r="D78" s="14" t="s">
        <v>76</v>
      </c>
      <c r="E78" s="15" t="str">
        <f>"143.33"</f>
        <v>143.33</v>
      </c>
      <c r="F78" s="15"/>
      <c r="G78" s="16" t="str">
        <f>"178.60"</f>
        <v>178.60</v>
      </c>
      <c r="H78" s="17"/>
      <c r="I78" s="15">
        <v>3</v>
      </c>
      <c r="J78" s="15">
        <v>2016</v>
      </c>
      <c r="K78" s="18" t="str">
        <f>"143.33"</f>
        <v>143.33</v>
      </c>
      <c r="L78" s="18"/>
      <c r="M78" s="18"/>
      <c r="N78" s="18"/>
      <c r="O78" s="18" t="str">
        <f>"205.05"</f>
        <v>205.05</v>
      </c>
      <c r="P78" s="18"/>
      <c r="Q78" s="18"/>
      <c r="R78" s="18"/>
      <c r="S78" s="18" t="str">
        <f>"187.82"</f>
        <v>187.82</v>
      </c>
      <c r="T78" s="18"/>
      <c r="U78" s="18"/>
      <c r="V78" s="18"/>
      <c r="W78" s="18" t="str">
        <f>"169.38"</f>
        <v>169.38</v>
      </c>
      <c r="X78" s="18"/>
      <c r="Y78" s="18"/>
      <c r="Z78" s="18"/>
      <c r="AA78" s="18"/>
      <c r="AB78" s="18"/>
      <c r="AC78" s="18"/>
      <c r="AD78" s="18"/>
      <c r="AE78" s="18"/>
    </row>
    <row r="79" spans="1:31">
      <c r="A79" s="14">
        <v>77</v>
      </c>
      <c r="B79" s="14">
        <v>10176</v>
      </c>
      <c r="C79" s="14" t="s">
        <v>145</v>
      </c>
      <c r="D79" s="14" t="s">
        <v>76</v>
      </c>
      <c r="E79" s="15" t="str">
        <f>"166.35"</f>
        <v>166.35</v>
      </c>
      <c r="F79" s="15"/>
      <c r="G79" s="16" t="str">
        <f>"178.69"</f>
        <v>178.69</v>
      </c>
      <c r="H79" s="17"/>
      <c r="I79" s="15">
        <v>3</v>
      </c>
      <c r="J79" s="15">
        <v>2016</v>
      </c>
      <c r="K79" s="18" t="str">
        <f>"203.46"</f>
        <v>203.46</v>
      </c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 t="str">
        <f>"228.13"</f>
        <v>228.13</v>
      </c>
      <c r="X79" s="18" t="str">
        <f>"129.24"</f>
        <v>129.24</v>
      </c>
      <c r="Y79" s="18"/>
      <c r="Z79" s="18"/>
      <c r="AA79" s="18"/>
      <c r="AB79" s="18"/>
      <c r="AC79" s="18"/>
      <c r="AD79" s="18"/>
      <c r="AE79" s="18"/>
    </row>
    <row r="80" spans="1:31">
      <c r="A80" s="14">
        <v>78</v>
      </c>
      <c r="B80" s="14">
        <v>3875</v>
      </c>
      <c r="C80" s="14" t="s">
        <v>146</v>
      </c>
      <c r="D80" s="14" t="s">
        <v>147</v>
      </c>
      <c r="E80" s="15" t="str">
        <f>"143.52"</f>
        <v>143.52</v>
      </c>
      <c r="F80" s="15"/>
      <c r="G80" s="16" t="str">
        <f>"179.29"</f>
        <v>179.29</v>
      </c>
      <c r="H80" s="17" t="s">
        <v>40</v>
      </c>
      <c r="I80" s="15">
        <v>2</v>
      </c>
      <c r="J80" s="15">
        <v>2016</v>
      </c>
      <c r="K80" s="18" t="str">
        <f>"147.74"</f>
        <v>147.74</v>
      </c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 t="str">
        <f>"139.29"</f>
        <v>139.29</v>
      </c>
      <c r="Y80" s="18"/>
      <c r="Z80" s="18"/>
      <c r="AA80" s="18"/>
      <c r="AB80" s="18"/>
      <c r="AC80" s="18"/>
      <c r="AD80" s="18"/>
      <c r="AE80" s="18"/>
    </row>
    <row r="81" spans="1:31">
      <c r="A81" s="14">
        <v>79</v>
      </c>
      <c r="B81" s="14">
        <v>1957</v>
      </c>
      <c r="C81" s="14" t="s">
        <v>148</v>
      </c>
      <c r="D81" s="14" t="s">
        <v>37</v>
      </c>
      <c r="E81" s="15" t="str">
        <f>"181.96"</f>
        <v>181.96</v>
      </c>
      <c r="F81" s="15"/>
      <c r="G81" s="16" t="str">
        <f>"181.96"</f>
        <v>181.96</v>
      </c>
      <c r="H81" s="17"/>
      <c r="I81" s="15">
        <v>3</v>
      </c>
      <c r="J81" s="15">
        <v>2016</v>
      </c>
      <c r="K81" s="18" t="str">
        <f>"183.95"</f>
        <v>183.95</v>
      </c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 t="str">
        <f>"217.77"</f>
        <v>217.77</v>
      </c>
      <c r="W81" s="18"/>
      <c r="X81" s="18"/>
      <c r="Y81" s="18"/>
      <c r="Z81" s="18"/>
      <c r="AA81" s="18" t="str">
        <f>"182.49"</f>
        <v>182.49</v>
      </c>
      <c r="AB81" s="18"/>
      <c r="AC81" s="18"/>
      <c r="AD81" s="18" t="str">
        <f>"181.42"</f>
        <v>181.42</v>
      </c>
      <c r="AE81" s="18"/>
    </row>
    <row r="82" spans="1:31">
      <c r="A82" s="14">
        <v>80</v>
      </c>
      <c r="B82" s="14">
        <v>10347</v>
      </c>
      <c r="C82" s="14" t="s">
        <v>149</v>
      </c>
      <c r="D82" s="14" t="s">
        <v>37</v>
      </c>
      <c r="E82" s="15" t="str">
        <f>"144.83"</f>
        <v>144.83</v>
      </c>
      <c r="F82" s="15"/>
      <c r="G82" s="16" t="str">
        <f>"184.83"</f>
        <v>184.83</v>
      </c>
      <c r="H82" s="17" t="s">
        <v>38</v>
      </c>
      <c r="I82" s="15">
        <v>1</v>
      </c>
      <c r="J82" s="15">
        <v>2016</v>
      </c>
      <c r="K82" s="18" t="str">
        <f>"144.83"</f>
        <v>144.83</v>
      </c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</row>
    <row r="83" spans="1:31">
      <c r="A83" s="14">
        <v>81</v>
      </c>
      <c r="B83" s="14">
        <v>10713</v>
      </c>
      <c r="C83" s="14" t="s">
        <v>150</v>
      </c>
      <c r="D83" s="14" t="s">
        <v>151</v>
      </c>
      <c r="E83" s="15" t="str">
        <f>"185.42"</f>
        <v>185.42</v>
      </c>
      <c r="F83" s="15"/>
      <c r="G83" s="16" t="str">
        <f>"185.74"</f>
        <v>185.74</v>
      </c>
      <c r="H83" s="17"/>
      <c r="I83" s="15">
        <v>3</v>
      </c>
      <c r="J83" s="15">
        <v>2016</v>
      </c>
      <c r="K83" s="18" t="str">
        <f>"248.38"</f>
        <v>248.38</v>
      </c>
      <c r="L83" s="18" t="str">
        <f>"278.53"</f>
        <v>278.53</v>
      </c>
      <c r="M83" s="18" t="str">
        <f>"249.02"</f>
        <v>249.02</v>
      </c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 t="str">
        <f>"122.45"</f>
        <v>122.45</v>
      </c>
      <c r="Y83" s="18"/>
      <c r="Z83" s="18"/>
      <c r="AA83" s="18"/>
      <c r="AB83" s="18"/>
      <c r="AC83" s="18"/>
      <c r="AD83" s="18"/>
      <c r="AE83" s="18"/>
    </row>
    <row r="84" spans="1:31">
      <c r="A84" s="14">
        <v>82</v>
      </c>
      <c r="B84" s="14">
        <v>3058</v>
      </c>
      <c r="C84" s="14" t="s">
        <v>152</v>
      </c>
      <c r="D84" s="14" t="s">
        <v>153</v>
      </c>
      <c r="E84" s="15" t="str">
        <f>"146.49"</f>
        <v>146.49</v>
      </c>
      <c r="F84" s="15"/>
      <c r="G84" s="16" t="str">
        <f>"186.49"</f>
        <v>186.49</v>
      </c>
      <c r="H84" s="17" t="s">
        <v>38</v>
      </c>
      <c r="I84" s="15">
        <v>1</v>
      </c>
      <c r="J84" s="15">
        <v>2016</v>
      </c>
      <c r="K84" s="18" t="str">
        <f>"146.49"</f>
        <v>146.49</v>
      </c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</row>
    <row r="85" spans="1:31">
      <c r="A85" s="14">
        <v>83</v>
      </c>
      <c r="B85" s="14">
        <v>10333</v>
      </c>
      <c r="C85" s="14" t="s">
        <v>154</v>
      </c>
      <c r="D85" s="14" t="s">
        <v>45</v>
      </c>
      <c r="E85" s="15" t="str">
        <f>"162.63"</f>
        <v>162.63</v>
      </c>
      <c r="F85" s="15"/>
      <c r="G85" s="16" t="str">
        <f>"190.79"</f>
        <v>190.79</v>
      </c>
      <c r="H85" s="17" t="s">
        <v>40</v>
      </c>
      <c r="I85" s="15">
        <v>2</v>
      </c>
      <c r="J85" s="15">
        <v>2016</v>
      </c>
      <c r="K85" s="18" t="str">
        <f>"174.46"</f>
        <v>174.46</v>
      </c>
      <c r="L85" s="18"/>
      <c r="M85" s="18"/>
      <c r="N85" s="18"/>
      <c r="O85" s="18" t="str">
        <f>"150.79"</f>
        <v>150.79</v>
      </c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</row>
    <row r="86" spans="1:31">
      <c r="A86" s="14">
        <v>84</v>
      </c>
      <c r="B86" s="14">
        <v>4569</v>
      </c>
      <c r="C86" s="14" t="s">
        <v>155</v>
      </c>
      <c r="D86" s="14" t="s">
        <v>156</v>
      </c>
      <c r="E86" s="15" t="str">
        <f>"251.35"</f>
        <v>251.35</v>
      </c>
      <c r="F86" s="15"/>
      <c r="G86" s="16" t="str">
        <f>"191.06"</f>
        <v>191.06</v>
      </c>
      <c r="H86" s="17" t="s">
        <v>40</v>
      </c>
      <c r="I86" s="15">
        <v>2</v>
      </c>
      <c r="J86" s="15">
        <v>2016</v>
      </c>
      <c r="K86" s="18" t="str">
        <f>"351.64"</f>
        <v>351.64</v>
      </c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 t="str">
        <f>"151.06"</f>
        <v>151.06</v>
      </c>
      <c r="Z86" s="18"/>
      <c r="AA86" s="18"/>
      <c r="AB86" s="18"/>
      <c r="AC86" s="18"/>
      <c r="AD86" s="18"/>
      <c r="AE86" s="18"/>
    </row>
    <row r="87" spans="1:31">
      <c r="A87" s="14">
        <v>85</v>
      </c>
      <c r="B87" s="14">
        <v>7994</v>
      </c>
      <c r="C87" s="14" t="s">
        <v>157</v>
      </c>
      <c r="D87" s="14" t="s">
        <v>158</v>
      </c>
      <c r="E87" s="15" t="str">
        <f>"152.98"</f>
        <v>152.98</v>
      </c>
      <c r="F87" s="15"/>
      <c r="G87" s="16" t="str">
        <f>"192.98"</f>
        <v>192.98</v>
      </c>
      <c r="H87" s="17" t="s">
        <v>38</v>
      </c>
      <c r="I87" s="15">
        <v>1</v>
      </c>
      <c r="J87" s="15">
        <v>2016</v>
      </c>
      <c r="K87" s="18" t="str">
        <f>"152.98"</f>
        <v>152.98</v>
      </c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</row>
    <row r="88" spans="1:31">
      <c r="A88" s="14">
        <v>86</v>
      </c>
      <c r="B88" s="14">
        <v>2469</v>
      </c>
      <c r="C88" s="14" t="s">
        <v>159</v>
      </c>
      <c r="D88" s="14" t="s">
        <v>160</v>
      </c>
      <c r="E88" s="15" t="str">
        <f>"162.29"</f>
        <v>162.29</v>
      </c>
      <c r="F88" s="15"/>
      <c r="G88" s="16" t="str">
        <f>"194.38"</f>
        <v>194.38</v>
      </c>
      <c r="H88" s="17"/>
      <c r="I88" s="15">
        <v>3</v>
      </c>
      <c r="J88" s="15">
        <v>2016</v>
      </c>
      <c r="K88" s="18" t="str">
        <f>"162.77"</f>
        <v>162.77</v>
      </c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 t="str">
        <f>"161.80"</f>
        <v>161.80</v>
      </c>
      <c r="Y88" s="18"/>
      <c r="Z88" s="18"/>
      <c r="AA88" s="18"/>
      <c r="AB88" s="18"/>
      <c r="AC88" s="18" t="str">
        <f>"226.96"</f>
        <v>226.96</v>
      </c>
      <c r="AD88" s="18"/>
      <c r="AE88" s="18"/>
    </row>
    <row r="89" spans="1:31">
      <c r="A89" s="14">
        <v>87</v>
      </c>
      <c r="B89" s="14">
        <v>1281</v>
      </c>
      <c r="C89" s="14" t="s">
        <v>161</v>
      </c>
      <c r="D89" s="14" t="s">
        <v>162</v>
      </c>
      <c r="E89" s="15" t="str">
        <f>"155.26"</f>
        <v>155.26</v>
      </c>
      <c r="F89" s="15"/>
      <c r="G89" s="16" t="str">
        <f>"195.26"</f>
        <v>195.26</v>
      </c>
      <c r="H89" s="17" t="s">
        <v>38</v>
      </c>
      <c r="I89" s="15">
        <v>1</v>
      </c>
      <c r="J89" s="15">
        <v>2016</v>
      </c>
      <c r="K89" s="18" t="str">
        <f>"155.26"</f>
        <v>155.26</v>
      </c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</row>
    <row r="90" spans="1:31">
      <c r="A90" s="14">
        <v>88</v>
      </c>
      <c r="B90" s="14">
        <v>2152</v>
      </c>
      <c r="C90" s="14" t="s">
        <v>163</v>
      </c>
      <c r="D90" s="14" t="s">
        <v>164</v>
      </c>
      <c r="E90" s="15" t="str">
        <f>"155.41"</f>
        <v>155.41</v>
      </c>
      <c r="F90" s="15"/>
      <c r="G90" s="16" t="str">
        <f>"195.41"</f>
        <v>195.41</v>
      </c>
      <c r="H90" s="17" t="s">
        <v>38</v>
      </c>
      <c r="I90" s="15">
        <v>1</v>
      </c>
      <c r="J90" s="15">
        <v>2016</v>
      </c>
      <c r="K90" s="18" t="str">
        <f>"155.41"</f>
        <v>155.41</v>
      </c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</row>
    <row r="91" spans="1:31">
      <c r="A91" s="14">
        <v>89</v>
      </c>
      <c r="B91" s="14">
        <v>7567</v>
      </c>
      <c r="C91" s="14" t="s">
        <v>165</v>
      </c>
      <c r="D91" s="14" t="s">
        <v>76</v>
      </c>
      <c r="E91" s="15" t="str">
        <f>"156.51"</f>
        <v>156.51</v>
      </c>
      <c r="F91" s="15"/>
      <c r="G91" s="16" t="str">
        <f>"196.00"</f>
        <v>196.00</v>
      </c>
      <c r="H91" s="17"/>
      <c r="I91" s="15">
        <v>3</v>
      </c>
      <c r="J91" s="15">
        <v>2016</v>
      </c>
      <c r="K91" s="18" t="str">
        <f>"156.51"</f>
        <v>156.51</v>
      </c>
      <c r="L91" s="18"/>
      <c r="M91" s="18"/>
      <c r="N91" s="18"/>
      <c r="O91" s="18" t="str">
        <f>"214.19"</f>
        <v>214.19</v>
      </c>
      <c r="P91" s="18"/>
      <c r="Q91" s="18"/>
      <c r="R91" s="18"/>
      <c r="S91" s="18" t="str">
        <f>"216.44"</f>
        <v>216.44</v>
      </c>
      <c r="T91" s="18"/>
      <c r="U91" s="18"/>
      <c r="V91" s="18"/>
      <c r="W91" s="18" t="str">
        <f>"224.19"</f>
        <v>224.19</v>
      </c>
      <c r="X91" s="18"/>
      <c r="Y91" s="18"/>
      <c r="Z91" s="18"/>
      <c r="AA91" s="18"/>
      <c r="AB91" s="18"/>
      <c r="AC91" s="18"/>
      <c r="AD91" s="18" t="str">
        <f>"177.81"</f>
        <v>177.81</v>
      </c>
      <c r="AE91" s="18"/>
    </row>
    <row r="92" spans="1:31">
      <c r="A92" s="14">
        <v>90</v>
      </c>
      <c r="B92" s="14">
        <v>6972</v>
      </c>
      <c r="C92" s="14" t="s">
        <v>166</v>
      </c>
      <c r="D92" s="14" t="s">
        <v>126</v>
      </c>
      <c r="E92" s="15" t="str">
        <f>"198.61"</f>
        <v>198.61</v>
      </c>
      <c r="F92" s="15"/>
      <c r="G92" s="16" t="str">
        <f>"198.61"</f>
        <v>198.61</v>
      </c>
      <c r="H92" s="17"/>
      <c r="I92" s="15">
        <v>3</v>
      </c>
      <c r="J92" s="15">
        <v>2016</v>
      </c>
      <c r="K92" s="18" t="str">
        <f>"254.64"</f>
        <v>254.64</v>
      </c>
      <c r="L92" s="18"/>
      <c r="M92" s="18"/>
      <c r="N92" s="18"/>
      <c r="O92" s="18"/>
      <c r="P92" s="18"/>
      <c r="Q92" s="18"/>
      <c r="R92" s="18"/>
      <c r="S92" s="18"/>
      <c r="T92" s="18" t="str">
        <f>"195.50"</f>
        <v>195.50</v>
      </c>
      <c r="U92" s="18"/>
      <c r="V92" s="18"/>
      <c r="W92" s="18"/>
      <c r="X92" s="18" t="str">
        <f>"201.72"</f>
        <v>201.72</v>
      </c>
      <c r="Y92" s="18"/>
      <c r="Z92" s="18"/>
      <c r="AA92" s="18"/>
      <c r="AB92" s="18"/>
      <c r="AC92" s="18"/>
      <c r="AD92" s="18"/>
      <c r="AE92" s="18"/>
    </row>
    <row r="93" spans="1:31">
      <c r="A93" s="14">
        <v>91</v>
      </c>
      <c r="B93" s="14">
        <v>10104</v>
      </c>
      <c r="C93" s="14" t="s">
        <v>167</v>
      </c>
      <c r="D93" s="14" t="s">
        <v>118</v>
      </c>
      <c r="E93" s="15" t="str">
        <f>"159.59"</f>
        <v>159.59</v>
      </c>
      <c r="F93" s="15"/>
      <c r="G93" s="16" t="str">
        <f>"199.59"</f>
        <v>199.59</v>
      </c>
      <c r="H93" s="17" t="s">
        <v>38</v>
      </c>
      <c r="I93" s="15">
        <v>1</v>
      </c>
      <c r="J93" s="15">
        <v>2016</v>
      </c>
      <c r="K93" s="18" t="str">
        <f>"159.59"</f>
        <v>159.59</v>
      </c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</row>
    <row r="94" spans="1:31">
      <c r="A94" s="14">
        <v>92</v>
      </c>
      <c r="B94" s="14">
        <v>3308</v>
      </c>
      <c r="C94" s="14" t="s">
        <v>168</v>
      </c>
      <c r="D94" s="14" t="s">
        <v>169</v>
      </c>
      <c r="E94" s="15" t="str">
        <f>"157.89"</f>
        <v>157.89</v>
      </c>
      <c r="F94" s="15"/>
      <c r="G94" s="16" t="str">
        <f>"201.00"</f>
        <v>201.00</v>
      </c>
      <c r="H94" s="17"/>
      <c r="I94" s="15">
        <v>3</v>
      </c>
      <c r="J94" s="15">
        <v>2016</v>
      </c>
      <c r="K94" s="18" t="str">
        <f>"157.89"</f>
        <v>157.89</v>
      </c>
      <c r="L94" s="18" t="str">
        <f>"223.85"</f>
        <v>223.85</v>
      </c>
      <c r="M94" s="18" t="str">
        <f>"206.96"</f>
        <v>206.96</v>
      </c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 t="str">
        <f>"195.03"</f>
        <v>195.03</v>
      </c>
      <c r="AE94" s="18" t="str">
        <f>"232.59"</f>
        <v>232.59</v>
      </c>
    </row>
    <row r="95" spans="1:31">
      <c r="A95" s="14">
        <v>93</v>
      </c>
      <c r="B95" s="14">
        <v>10423</v>
      </c>
      <c r="C95" s="14" t="s">
        <v>170</v>
      </c>
      <c r="D95" s="14" t="s">
        <v>76</v>
      </c>
      <c r="E95" s="15" t="str">
        <f>"201.31"</f>
        <v>201.31</v>
      </c>
      <c r="F95" s="15"/>
      <c r="G95" s="16" t="str">
        <f>"201.31"</f>
        <v>201.31</v>
      </c>
      <c r="H95" s="17"/>
      <c r="I95" s="15">
        <v>3</v>
      </c>
      <c r="J95" s="15">
        <v>2016</v>
      </c>
      <c r="K95" s="18" t="str">
        <f>"244.62"</f>
        <v>244.62</v>
      </c>
      <c r="L95" s="18"/>
      <c r="M95" s="18"/>
      <c r="N95" s="18"/>
      <c r="O95" s="18" t="str">
        <f>"227.53"</f>
        <v>227.53</v>
      </c>
      <c r="P95" s="18"/>
      <c r="Q95" s="18"/>
      <c r="R95" s="18"/>
      <c r="S95" s="18" t="str">
        <f>"243.42"</f>
        <v>243.42</v>
      </c>
      <c r="T95" s="18"/>
      <c r="U95" s="18"/>
      <c r="V95" s="18"/>
      <c r="W95" s="18" t="str">
        <f>"175.08"</f>
        <v>175.08</v>
      </c>
      <c r="X95" s="18"/>
      <c r="Y95" s="18"/>
      <c r="Z95" s="18"/>
      <c r="AA95" s="18"/>
      <c r="AB95" s="18"/>
      <c r="AC95" s="18"/>
      <c r="AD95" s="18"/>
      <c r="AE95" s="18"/>
    </row>
    <row r="96" spans="1:31">
      <c r="A96" s="14">
        <v>94</v>
      </c>
      <c r="B96" s="14">
        <v>1838</v>
      </c>
      <c r="C96" s="14" t="s">
        <v>171</v>
      </c>
      <c r="D96" s="14" t="s">
        <v>37</v>
      </c>
      <c r="E96" s="15" t="str">
        <f>"161.49"</f>
        <v>161.49</v>
      </c>
      <c r="F96" s="15"/>
      <c r="G96" s="16" t="str">
        <f>"201.49"</f>
        <v>201.49</v>
      </c>
      <c r="H96" s="17" t="s">
        <v>38</v>
      </c>
      <c r="I96" s="15">
        <v>1</v>
      </c>
      <c r="J96" s="15">
        <v>2016</v>
      </c>
      <c r="K96" s="18" t="str">
        <f>"161.49"</f>
        <v>161.49</v>
      </c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</row>
    <row r="97" spans="1:31">
      <c r="A97" s="14">
        <v>95</v>
      </c>
      <c r="B97" s="14">
        <v>9953</v>
      </c>
      <c r="C97" s="14" t="s">
        <v>172</v>
      </c>
      <c r="D97" s="14" t="s">
        <v>76</v>
      </c>
      <c r="E97" s="15" t="str">
        <f>"201.79"</f>
        <v>201.79</v>
      </c>
      <c r="F97" s="15"/>
      <c r="G97" s="16" t="str">
        <f>"201.79"</f>
        <v>201.79</v>
      </c>
      <c r="H97" s="17"/>
      <c r="I97" s="15">
        <v>3</v>
      </c>
      <c r="J97" s="15">
        <v>2016</v>
      </c>
      <c r="K97" s="18" t="str">
        <f>"273.68"</f>
        <v>273.68</v>
      </c>
      <c r="L97" s="18"/>
      <c r="M97" s="18"/>
      <c r="N97" s="18"/>
      <c r="O97" s="18" t="str">
        <f>"248.41"</f>
        <v>248.41</v>
      </c>
      <c r="P97" s="18"/>
      <c r="Q97" s="18"/>
      <c r="R97" s="18"/>
      <c r="S97" s="18" t="str">
        <f>"273.89"</f>
        <v>273.89</v>
      </c>
      <c r="T97" s="18"/>
      <c r="U97" s="18"/>
      <c r="V97" s="18"/>
      <c r="W97" s="18" t="str">
        <f>"225.50"</f>
        <v>225.50</v>
      </c>
      <c r="X97" s="18" t="str">
        <f>"178.08"</f>
        <v>178.08</v>
      </c>
      <c r="Y97" s="18"/>
      <c r="Z97" s="18"/>
      <c r="AA97" s="18"/>
      <c r="AB97" s="18"/>
      <c r="AC97" s="18"/>
      <c r="AD97" s="18"/>
      <c r="AE97" s="18"/>
    </row>
    <row r="98" spans="1:31">
      <c r="A98" s="14">
        <v>96</v>
      </c>
      <c r="B98" s="14">
        <v>3433</v>
      </c>
      <c r="C98" s="14" t="s">
        <v>173</v>
      </c>
      <c r="D98" s="14" t="s">
        <v>35</v>
      </c>
      <c r="E98" s="15" t="str">
        <f>"172.71"</f>
        <v>172.71</v>
      </c>
      <c r="F98" s="15"/>
      <c r="G98" s="16" t="str">
        <f>"203.53"</f>
        <v>203.53</v>
      </c>
      <c r="H98" s="17"/>
      <c r="I98" s="15">
        <v>3</v>
      </c>
      <c r="J98" s="15">
        <v>2016</v>
      </c>
      <c r="K98" s="18" t="str">
        <f>"172.71"</f>
        <v>172.71</v>
      </c>
      <c r="L98" s="18" t="str">
        <f>"248.39"</f>
        <v>248.39</v>
      </c>
      <c r="M98" s="18" t="str">
        <f>"229.29"</f>
        <v>229.29</v>
      </c>
      <c r="N98" s="18"/>
      <c r="O98" s="18"/>
      <c r="P98" s="18"/>
      <c r="Q98" s="18"/>
      <c r="R98" s="18"/>
      <c r="S98" s="18"/>
      <c r="T98" s="18" t="str">
        <f>"182.60"</f>
        <v>182.60</v>
      </c>
      <c r="U98" s="18"/>
      <c r="V98" s="18"/>
      <c r="W98" s="18"/>
      <c r="X98" s="18"/>
      <c r="Y98" s="18"/>
      <c r="Z98" s="18"/>
      <c r="AA98" s="18"/>
      <c r="AB98" s="18"/>
      <c r="AC98" s="18"/>
      <c r="AD98" s="18" t="str">
        <f>"224.45"</f>
        <v>224.45</v>
      </c>
      <c r="AE98" s="18"/>
    </row>
    <row r="99" spans="1:31">
      <c r="A99" s="14">
        <v>97</v>
      </c>
      <c r="B99" s="14">
        <v>8379</v>
      </c>
      <c r="C99" s="14" t="s">
        <v>174</v>
      </c>
      <c r="D99" s="14" t="s">
        <v>175</v>
      </c>
      <c r="E99" s="15" t="str">
        <f>"164.01"</f>
        <v>164.01</v>
      </c>
      <c r="F99" s="15"/>
      <c r="G99" s="16" t="str">
        <f>"204.01"</f>
        <v>204.01</v>
      </c>
      <c r="H99" s="17" t="s">
        <v>38</v>
      </c>
      <c r="I99" s="15">
        <v>1</v>
      </c>
      <c r="J99" s="15">
        <v>2016</v>
      </c>
      <c r="K99" s="18" t="str">
        <f>"164.01"</f>
        <v>164.01</v>
      </c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</row>
    <row r="100" spans="1:31">
      <c r="A100" s="14">
        <v>98</v>
      </c>
      <c r="B100" s="14">
        <v>3679</v>
      </c>
      <c r="C100" s="14" t="s">
        <v>176</v>
      </c>
      <c r="D100" s="14" t="s">
        <v>177</v>
      </c>
      <c r="E100" s="15" t="str">
        <f>"168.99"</f>
        <v>168.99</v>
      </c>
      <c r="F100" s="15"/>
      <c r="G100" s="16" t="str">
        <f>"205.97"</f>
        <v>205.97</v>
      </c>
      <c r="H100" s="17"/>
      <c r="I100" s="15">
        <v>3</v>
      </c>
      <c r="J100" s="15">
        <v>2016</v>
      </c>
      <c r="K100" s="18" t="str">
        <f>"168.99"</f>
        <v>168.99</v>
      </c>
      <c r="L100" s="18"/>
      <c r="M100" s="18"/>
      <c r="N100" s="18"/>
      <c r="O100" s="18"/>
      <c r="P100" s="18"/>
      <c r="Q100" s="18"/>
      <c r="R100" s="18"/>
      <c r="S100" s="18"/>
      <c r="T100" s="18" t="str">
        <f>"207.10"</f>
        <v>207.10</v>
      </c>
      <c r="U100" s="18"/>
      <c r="V100" s="18"/>
      <c r="W100" s="18"/>
      <c r="X100" s="18" t="str">
        <f>"204.83"</f>
        <v>204.83</v>
      </c>
      <c r="Y100" s="18"/>
      <c r="Z100" s="18"/>
      <c r="AA100" s="18"/>
      <c r="AB100" s="18"/>
      <c r="AC100" s="18"/>
      <c r="AD100" s="18" t="str">
        <f>"249.27"</f>
        <v>249.27</v>
      </c>
      <c r="AE100" s="18"/>
    </row>
    <row r="101" spans="1:31">
      <c r="A101" s="14">
        <v>99</v>
      </c>
      <c r="B101" s="14">
        <v>5716</v>
      </c>
      <c r="C101" s="14" t="s">
        <v>178</v>
      </c>
      <c r="D101" s="14" t="s">
        <v>37</v>
      </c>
      <c r="E101" s="15" t="str">
        <f>"171.83"</f>
        <v>171.83</v>
      </c>
      <c r="F101" s="15"/>
      <c r="G101" s="16" t="str">
        <f>"206.68"</f>
        <v>206.68</v>
      </c>
      <c r="H101" s="17"/>
      <c r="I101" s="15">
        <v>3</v>
      </c>
      <c r="J101" s="15">
        <v>2016</v>
      </c>
      <c r="K101" s="18" t="str">
        <f>"171.83"</f>
        <v>171.83</v>
      </c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 t="str">
        <f>"241.24"</f>
        <v>241.24</v>
      </c>
      <c r="W101" s="18"/>
      <c r="X101" s="18"/>
      <c r="Y101" s="18"/>
      <c r="Z101" s="18"/>
      <c r="AA101" s="18" t="str">
        <f>"185.29"</f>
        <v>185.29</v>
      </c>
      <c r="AB101" s="18"/>
      <c r="AC101" s="18"/>
      <c r="AD101" s="18" t="str">
        <f>"228.06"</f>
        <v>228.06</v>
      </c>
      <c r="AE101" s="18"/>
    </row>
    <row r="102" spans="1:31">
      <c r="A102" s="14">
        <v>100</v>
      </c>
      <c r="B102" s="14">
        <v>7703</v>
      </c>
      <c r="C102" s="14" t="s">
        <v>179</v>
      </c>
      <c r="D102" s="14" t="s">
        <v>180</v>
      </c>
      <c r="E102" s="15" t="str">
        <f>"208.41"</f>
        <v>208.41</v>
      </c>
      <c r="F102" s="15"/>
      <c r="G102" s="16" t="str">
        <f>"208.41"</f>
        <v>208.41</v>
      </c>
      <c r="H102" s="17" t="s">
        <v>40</v>
      </c>
      <c r="I102" s="15">
        <v>4</v>
      </c>
      <c r="J102" s="15">
        <v>2016</v>
      </c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 t="str">
        <f>"168.41"</f>
        <v>168.41</v>
      </c>
      <c r="AE102" s="18"/>
    </row>
    <row r="103" spans="1:31">
      <c r="A103" s="14">
        <v>101</v>
      </c>
      <c r="B103" s="14">
        <v>10042</v>
      </c>
      <c r="C103" s="14" t="s">
        <v>181</v>
      </c>
      <c r="D103" s="14" t="s">
        <v>37</v>
      </c>
      <c r="E103" s="15" t="str">
        <f>"197.57"</f>
        <v>197.57</v>
      </c>
      <c r="F103" s="15"/>
      <c r="G103" s="16" t="str">
        <f>"211.89"</f>
        <v>211.89</v>
      </c>
      <c r="H103" s="17"/>
      <c r="I103" s="15">
        <v>3</v>
      </c>
      <c r="J103" s="15">
        <v>2016</v>
      </c>
      <c r="K103" s="18" t="str">
        <f>"205.18"</f>
        <v>205.18</v>
      </c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 t="str">
        <f>"189.96"</f>
        <v>189.96</v>
      </c>
      <c r="W103" s="18"/>
      <c r="X103" s="18"/>
      <c r="Y103" s="18"/>
      <c r="Z103" s="18"/>
      <c r="AA103" s="18" t="str">
        <f>"233.81"</f>
        <v>233.81</v>
      </c>
      <c r="AB103" s="18"/>
      <c r="AC103" s="18"/>
      <c r="AD103" s="18"/>
      <c r="AE103" s="18"/>
    </row>
    <row r="104" spans="1:31">
      <c r="A104" s="14">
        <v>102</v>
      </c>
      <c r="B104" s="14">
        <v>4295</v>
      </c>
      <c r="C104" s="14" t="s">
        <v>182</v>
      </c>
      <c r="D104" s="14" t="s">
        <v>180</v>
      </c>
      <c r="E104" s="15" t="str">
        <f>"182.02"</f>
        <v>182.02</v>
      </c>
      <c r="F104" s="15"/>
      <c r="G104" s="16" t="str">
        <f>"211.92"</f>
        <v>211.92</v>
      </c>
      <c r="H104" s="17"/>
      <c r="I104" s="15">
        <v>3</v>
      </c>
      <c r="J104" s="15">
        <v>2016</v>
      </c>
      <c r="K104" s="18" t="str">
        <f>"182.02"</f>
        <v>182.02</v>
      </c>
      <c r="L104" s="18" t="str">
        <f>"217.78"</f>
        <v>217.78</v>
      </c>
      <c r="M104" s="18" t="str">
        <f>"217.60"</f>
        <v>217.60</v>
      </c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 t="str">
        <f>"206.24"</f>
        <v>206.24</v>
      </c>
      <c r="AE104" s="18"/>
    </row>
    <row r="105" spans="1:31">
      <c r="A105" s="14">
        <v>103</v>
      </c>
      <c r="B105" s="14">
        <v>6652</v>
      </c>
      <c r="C105" s="14" t="s">
        <v>183</v>
      </c>
      <c r="D105" s="14" t="s">
        <v>76</v>
      </c>
      <c r="E105" s="15" t="str">
        <f>"197.88"</f>
        <v>197.88</v>
      </c>
      <c r="F105" s="15"/>
      <c r="G105" s="16" t="str">
        <f>"213.49"</f>
        <v>213.49</v>
      </c>
      <c r="H105" s="17"/>
      <c r="I105" s="15">
        <v>3</v>
      </c>
      <c r="J105" s="15">
        <v>2016</v>
      </c>
      <c r="K105" s="18" t="str">
        <f>"197.88"</f>
        <v>197.88</v>
      </c>
      <c r="L105" s="18"/>
      <c r="M105" s="18"/>
      <c r="N105" s="18"/>
      <c r="O105" s="18"/>
      <c r="P105" s="18"/>
      <c r="Q105" s="18"/>
      <c r="R105" s="18"/>
      <c r="S105" s="18" t="str">
        <f>"206.74"</f>
        <v>206.74</v>
      </c>
      <c r="T105" s="18"/>
      <c r="U105" s="18"/>
      <c r="V105" s="18"/>
      <c r="W105" s="18" t="str">
        <f>"220.24"</f>
        <v>220.24</v>
      </c>
      <c r="X105" s="18"/>
      <c r="Y105" s="18"/>
      <c r="Z105" s="18"/>
      <c r="AA105" s="18"/>
      <c r="AB105" s="18"/>
      <c r="AC105" s="18"/>
      <c r="AD105" s="18"/>
      <c r="AE105" s="18"/>
    </row>
    <row r="106" spans="1:31">
      <c r="A106" s="14">
        <v>104</v>
      </c>
      <c r="B106" s="14">
        <v>3604</v>
      </c>
      <c r="C106" s="14" t="s">
        <v>184</v>
      </c>
      <c r="D106" s="14" t="s">
        <v>185</v>
      </c>
      <c r="E106" s="15" t="str">
        <f>"175.53"</f>
        <v>175.53</v>
      </c>
      <c r="F106" s="15"/>
      <c r="G106" s="16" t="str">
        <f>"213.94"</f>
        <v>213.94</v>
      </c>
      <c r="H106" s="17"/>
      <c r="I106" s="15">
        <v>3</v>
      </c>
      <c r="J106" s="15">
        <v>2016</v>
      </c>
      <c r="K106" s="18" t="str">
        <f>"176.93"</f>
        <v>176.93</v>
      </c>
      <c r="L106" s="18" t="str">
        <f>"253.76"</f>
        <v>253.76</v>
      </c>
      <c r="M106" s="18" t="str">
        <f>"270.58"</f>
        <v>270.58</v>
      </c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 t="str">
        <f>"174.12"</f>
        <v>174.12</v>
      </c>
      <c r="Y106" s="18"/>
      <c r="Z106" s="18"/>
      <c r="AA106" s="18"/>
      <c r="AB106" s="18"/>
      <c r="AC106" s="18"/>
      <c r="AD106" s="18"/>
      <c r="AE106" s="18"/>
    </row>
    <row r="107" spans="1:31">
      <c r="A107" s="14">
        <v>105</v>
      </c>
      <c r="B107" s="14">
        <v>8275</v>
      </c>
      <c r="C107" s="14" t="s">
        <v>186</v>
      </c>
      <c r="D107" s="14" t="s">
        <v>187</v>
      </c>
      <c r="E107" s="15" t="str">
        <f>"239.41"</f>
        <v>239.41</v>
      </c>
      <c r="F107" s="15"/>
      <c r="G107" s="16" t="str">
        <f>"215.51"</f>
        <v>215.51</v>
      </c>
      <c r="H107" s="17" t="s">
        <v>40</v>
      </c>
      <c r="I107" s="15">
        <v>2</v>
      </c>
      <c r="J107" s="15">
        <v>2016</v>
      </c>
      <c r="K107" s="18" t="str">
        <f>"303.30"</f>
        <v>303.30</v>
      </c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 t="str">
        <f>"175.51"</f>
        <v>175.51</v>
      </c>
      <c r="Z107" s="18"/>
      <c r="AA107" s="18"/>
      <c r="AB107" s="18"/>
      <c r="AC107" s="18"/>
      <c r="AD107" s="18"/>
      <c r="AE107" s="18"/>
    </row>
    <row r="108" spans="1:31">
      <c r="A108" s="14">
        <v>106</v>
      </c>
      <c r="B108" s="14">
        <v>2876</v>
      </c>
      <c r="C108" s="14" t="s">
        <v>188</v>
      </c>
      <c r="D108" s="14" t="s">
        <v>189</v>
      </c>
      <c r="E108" s="15" t="str">
        <f>"226.95"</f>
        <v>226.95</v>
      </c>
      <c r="F108" s="15"/>
      <c r="G108" s="16" t="str">
        <f>"215.81"</f>
        <v>215.81</v>
      </c>
      <c r="H108" s="17" t="s">
        <v>40</v>
      </c>
      <c r="I108" s="15">
        <v>2</v>
      </c>
      <c r="J108" s="15">
        <v>2016</v>
      </c>
      <c r="K108" s="18" t="str">
        <f>"278.08"</f>
        <v>278.08</v>
      </c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 t="str">
        <f>"175.81"</f>
        <v>175.81</v>
      </c>
      <c r="Y108" s="18"/>
      <c r="Z108" s="18"/>
      <c r="AA108" s="18"/>
      <c r="AB108" s="18"/>
      <c r="AC108" s="18"/>
      <c r="AD108" s="18"/>
      <c r="AE108" s="18"/>
    </row>
    <row r="109" spans="1:31">
      <c r="A109" s="14">
        <v>107</v>
      </c>
      <c r="B109" s="14">
        <v>3209</v>
      </c>
      <c r="C109" s="14" t="s">
        <v>190</v>
      </c>
      <c r="D109" s="14" t="s">
        <v>87</v>
      </c>
      <c r="E109" s="15" t="str">
        <f>"193.86"</f>
        <v>193.86</v>
      </c>
      <c r="F109" s="15"/>
      <c r="G109" s="16" t="str">
        <f>"215.96"</f>
        <v>215.96</v>
      </c>
      <c r="H109" s="17" t="s">
        <v>40</v>
      </c>
      <c r="I109" s="15">
        <v>2</v>
      </c>
      <c r="J109" s="15">
        <v>2016</v>
      </c>
      <c r="K109" s="18" t="str">
        <f>"211.76"</f>
        <v>211.76</v>
      </c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 t="str">
        <f>"175.96"</f>
        <v>175.96</v>
      </c>
      <c r="Y109" s="18"/>
      <c r="Z109" s="18"/>
      <c r="AA109" s="18"/>
      <c r="AB109" s="18"/>
      <c r="AC109" s="18"/>
      <c r="AD109" s="18"/>
      <c r="AE109" s="18"/>
    </row>
    <row r="110" spans="1:31">
      <c r="A110" s="14">
        <v>108</v>
      </c>
      <c r="B110" s="14">
        <v>5462</v>
      </c>
      <c r="C110" s="14" t="s">
        <v>191</v>
      </c>
      <c r="D110" s="14" t="s">
        <v>126</v>
      </c>
      <c r="E110" s="15" t="str">
        <f>"212.42"</f>
        <v>212.42</v>
      </c>
      <c r="F110" s="15"/>
      <c r="G110" s="16" t="str">
        <f>"217.28"</f>
        <v>217.28</v>
      </c>
      <c r="H110" s="17"/>
      <c r="I110" s="15">
        <v>3</v>
      </c>
      <c r="J110" s="15">
        <v>2016</v>
      </c>
      <c r="K110" s="18" t="str">
        <f>"223.97"</f>
        <v>223.97</v>
      </c>
      <c r="L110" s="18"/>
      <c r="M110" s="18"/>
      <c r="N110" s="18"/>
      <c r="O110" s="18"/>
      <c r="P110" s="18"/>
      <c r="Q110" s="18"/>
      <c r="R110" s="18"/>
      <c r="S110" s="18"/>
      <c r="T110" s="18" t="str">
        <f>"233.69"</f>
        <v>233.69</v>
      </c>
      <c r="U110" s="18"/>
      <c r="V110" s="18"/>
      <c r="W110" s="18"/>
      <c r="X110" s="18" t="str">
        <f>"200.87"</f>
        <v>200.87</v>
      </c>
      <c r="Y110" s="18"/>
      <c r="Z110" s="18"/>
      <c r="AA110" s="18"/>
      <c r="AB110" s="18"/>
      <c r="AC110" s="18"/>
      <c r="AD110" s="18"/>
      <c r="AE110" s="18"/>
    </row>
    <row r="111" spans="1:31">
      <c r="A111" s="14">
        <v>109</v>
      </c>
      <c r="B111" s="14">
        <v>9955</v>
      </c>
      <c r="C111" s="14" t="s">
        <v>192</v>
      </c>
      <c r="D111" s="14" t="s">
        <v>193</v>
      </c>
      <c r="E111" s="15" t="str">
        <f>"181.82"</f>
        <v>181.82</v>
      </c>
      <c r="F111" s="15"/>
      <c r="G111" s="16" t="str">
        <f>"218.00"</f>
        <v>218.00</v>
      </c>
      <c r="H111" s="17" t="s">
        <v>40</v>
      </c>
      <c r="I111" s="15">
        <v>2</v>
      </c>
      <c r="J111" s="15">
        <v>2016</v>
      </c>
      <c r="K111" s="18" t="str">
        <f>"185.63"</f>
        <v>185.63</v>
      </c>
      <c r="L111" s="18"/>
      <c r="M111" s="18"/>
      <c r="N111" s="18"/>
      <c r="O111" s="18"/>
      <c r="P111" s="18" t="str">
        <f>"178.00"</f>
        <v>178.00</v>
      </c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</row>
    <row r="112" spans="1:31">
      <c r="A112" s="14">
        <v>110</v>
      </c>
      <c r="B112" s="14">
        <v>10287</v>
      </c>
      <c r="C112" s="14" t="s">
        <v>194</v>
      </c>
      <c r="D112" s="14" t="s">
        <v>76</v>
      </c>
      <c r="E112" s="15" t="str">
        <f>"218.29"</f>
        <v>218.29</v>
      </c>
      <c r="F112" s="15"/>
      <c r="G112" s="16" t="str">
        <f>"218.29"</f>
        <v>218.29</v>
      </c>
      <c r="H112" s="17"/>
      <c r="I112" s="15">
        <v>3</v>
      </c>
      <c r="J112" s="15">
        <v>2016</v>
      </c>
      <c r="K112" s="18" t="str">
        <f>"278.38"</f>
        <v>278.38</v>
      </c>
      <c r="L112" s="18"/>
      <c r="M112" s="18"/>
      <c r="N112" s="18"/>
      <c r="O112" s="18"/>
      <c r="P112" s="18"/>
      <c r="Q112" s="18"/>
      <c r="R112" s="18"/>
      <c r="S112" s="18" t="str">
        <f>"222.04"</f>
        <v>222.04</v>
      </c>
      <c r="T112" s="18"/>
      <c r="U112" s="18"/>
      <c r="V112" s="18"/>
      <c r="W112" s="18" t="str">
        <f>"214.54"</f>
        <v>214.54</v>
      </c>
      <c r="X112" s="18"/>
      <c r="Y112" s="18"/>
      <c r="Z112" s="18"/>
      <c r="AA112" s="18"/>
      <c r="AB112" s="18"/>
      <c r="AC112" s="18"/>
      <c r="AD112" s="18"/>
      <c r="AE112" s="18"/>
    </row>
    <row r="113" spans="1:31">
      <c r="A113" s="14">
        <v>111</v>
      </c>
      <c r="B113" s="14">
        <v>7791</v>
      </c>
      <c r="C113" s="14" t="s">
        <v>195</v>
      </c>
      <c r="D113" s="14" t="s">
        <v>45</v>
      </c>
      <c r="E113" s="15" t="str">
        <f>"190.95"</f>
        <v>190.95</v>
      </c>
      <c r="F113" s="15"/>
      <c r="G113" s="16" t="str">
        <f>"218.46"</f>
        <v>218.46</v>
      </c>
      <c r="H113" s="17"/>
      <c r="I113" s="15">
        <v>3</v>
      </c>
      <c r="J113" s="15">
        <v>2016</v>
      </c>
      <c r="K113" s="18" t="str">
        <f>"190.95"</f>
        <v>190.95</v>
      </c>
      <c r="L113" s="18" t="str">
        <f>"270.59"</f>
        <v>270.59</v>
      </c>
      <c r="M113" s="18" t="str">
        <f>"236.04"</f>
        <v>236.04</v>
      </c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 t="str">
        <f>"200.87"</f>
        <v>200.87</v>
      </c>
      <c r="Y113" s="18"/>
      <c r="Z113" s="18"/>
      <c r="AA113" s="18"/>
      <c r="AB113" s="18"/>
      <c r="AC113" s="18"/>
      <c r="AD113" s="18" t="str">
        <f>"237.86"</f>
        <v>237.86</v>
      </c>
      <c r="AE113" s="18"/>
    </row>
    <row r="114" spans="1:31">
      <c r="A114" s="14">
        <v>112</v>
      </c>
      <c r="B114" s="14">
        <v>4381</v>
      </c>
      <c r="C114" s="14" t="s">
        <v>196</v>
      </c>
      <c r="D114" s="14" t="s">
        <v>197</v>
      </c>
      <c r="E114" s="15" t="str">
        <f>"82.24"</f>
        <v>82.24</v>
      </c>
      <c r="F114" s="15"/>
      <c r="G114" s="16" t="str">
        <f>"218.82"</f>
        <v>218.82</v>
      </c>
      <c r="H114" s="17" t="s">
        <v>40</v>
      </c>
      <c r="I114" s="15">
        <v>2</v>
      </c>
      <c r="J114" s="15">
        <v>2016</v>
      </c>
      <c r="K114" s="18" t="str">
        <f>"82.24"</f>
        <v>82.24</v>
      </c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 t="str">
        <f>"178.82"</f>
        <v>178.82</v>
      </c>
      <c r="AE114" s="18"/>
    </row>
    <row r="115" spans="1:31">
      <c r="A115" s="14">
        <v>113</v>
      </c>
      <c r="B115" s="14">
        <v>2336</v>
      </c>
      <c r="C115" s="14" t="s">
        <v>198</v>
      </c>
      <c r="D115" s="14" t="s">
        <v>199</v>
      </c>
      <c r="E115" s="15" t="str">
        <f>"216.57"</f>
        <v>216.57</v>
      </c>
      <c r="F115" s="15"/>
      <c r="G115" s="16" t="str">
        <f>"219.70"</f>
        <v>219.70</v>
      </c>
      <c r="H115" s="17"/>
      <c r="I115" s="15">
        <v>3</v>
      </c>
      <c r="J115" s="15">
        <v>2016</v>
      </c>
      <c r="K115" s="18" t="str">
        <f>"216.57"</f>
        <v>216.57</v>
      </c>
      <c r="L115" s="18"/>
      <c r="M115" s="18"/>
      <c r="N115" s="18"/>
      <c r="O115" s="18"/>
      <c r="P115" s="18"/>
      <c r="Q115" s="18"/>
      <c r="R115" s="18"/>
      <c r="S115" s="18"/>
      <c r="T115" s="18" t="str">
        <f>"221.12"</f>
        <v>221.12</v>
      </c>
      <c r="U115" s="18"/>
      <c r="V115" s="18"/>
      <c r="W115" s="18"/>
      <c r="X115" s="18" t="str">
        <f>"218.28"</f>
        <v>218.28</v>
      </c>
      <c r="Y115" s="18"/>
      <c r="Z115" s="18"/>
      <c r="AA115" s="18"/>
      <c r="AB115" s="18"/>
      <c r="AC115" s="18"/>
      <c r="AD115" s="18"/>
      <c r="AE115" s="18" t="str">
        <f>"243.21"</f>
        <v>243.21</v>
      </c>
    </row>
    <row r="116" spans="1:31">
      <c r="A116" s="14">
        <v>114</v>
      </c>
      <c r="B116" s="14">
        <v>3668</v>
      </c>
      <c r="C116" s="14" t="s">
        <v>200</v>
      </c>
      <c r="D116" s="14" t="s">
        <v>201</v>
      </c>
      <c r="E116" s="15" t="str">
        <f>"156.01"</f>
        <v>156.01</v>
      </c>
      <c r="F116" s="15"/>
      <c r="G116" s="16" t="str">
        <f>"219.82"</f>
        <v>219.82</v>
      </c>
      <c r="H116" s="17" t="s">
        <v>40</v>
      </c>
      <c r="I116" s="15">
        <v>2</v>
      </c>
      <c r="J116" s="15">
        <v>2016</v>
      </c>
      <c r="K116" s="18" t="str">
        <f>"156.01"</f>
        <v>156.01</v>
      </c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 t="str">
        <f>"179.82"</f>
        <v>179.82</v>
      </c>
      <c r="AE116" s="18"/>
    </row>
    <row r="117" spans="1:31">
      <c r="A117" s="14">
        <v>115</v>
      </c>
      <c r="B117" s="14">
        <v>2518</v>
      </c>
      <c r="C117" s="14" t="s">
        <v>202</v>
      </c>
      <c r="D117" s="14" t="s">
        <v>92</v>
      </c>
      <c r="E117" s="15" t="str">
        <f>"179.92"</f>
        <v>179.92</v>
      </c>
      <c r="F117" s="15"/>
      <c r="G117" s="16" t="str">
        <f>"219.92"</f>
        <v>219.92</v>
      </c>
      <c r="H117" s="17" t="s">
        <v>38</v>
      </c>
      <c r="I117" s="15">
        <v>1</v>
      </c>
      <c r="J117" s="15">
        <v>2016</v>
      </c>
      <c r="K117" s="18" t="str">
        <f>"179.92"</f>
        <v>179.92</v>
      </c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</row>
    <row r="118" spans="1:31">
      <c r="A118" s="14">
        <v>116</v>
      </c>
      <c r="B118" s="14">
        <v>10970</v>
      </c>
      <c r="C118" s="14" t="s">
        <v>203</v>
      </c>
      <c r="D118" s="14" t="s">
        <v>55</v>
      </c>
      <c r="E118" s="15" t="str">
        <f>"221.65"</f>
        <v>221.65</v>
      </c>
      <c r="F118" s="15"/>
      <c r="G118" s="16" t="str">
        <f>"221.65"</f>
        <v>221.65</v>
      </c>
      <c r="H118" s="17"/>
      <c r="I118" s="15">
        <v>5</v>
      </c>
      <c r="J118" s="15">
        <v>2016</v>
      </c>
      <c r="K118" s="18"/>
      <c r="L118" s="18"/>
      <c r="M118" s="18"/>
      <c r="N118" s="18" t="str">
        <f>"261.18"</f>
        <v>261.18</v>
      </c>
      <c r="O118" s="18"/>
      <c r="P118" s="18" t="str">
        <f>"182.11"</f>
        <v>182.11</v>
      </c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</row>
    <row r="119" spans="1:31">
      <c r="A119" s="14">
        <v>117</v>
      </c>
      <c r="B119" s="14">
        <v>5484</v>
      </c>
      <c r="C119" s="14" t="s">
        <v>204</v>
      </c>
      <c r="D119" s="14" t="s">
        <v>76</v>
      </c>
      <c r="E119" s="15" t="str">
        <f>"245.22"</f>
        <v>245.22</v>
      </c>
      <c r="F119" s="15"/>
      <c r="G119" s="16" t="str">
        <f>"222.53"</f>
        <v>222.53</v>
      </c>
      <c r="H119" s="17" t="s">
        <v>40</v>
      </c>
      <c r="I119" s="15">
        <v>2</v>
      </c>
      <c r="J119" s="15">
        <v>2016</v>
      </c>
      <c r="K119" s="18" t="str">
        <f>"307.91"</f>
        <v>307.91</v>
      </c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 t="str">
        <f>"182.53"</f>
        <v>182.53</v>
      </c>
      <c r="X119" s="18"/>
      <c r="Y119" s="18"/>
      <c r="Z119" s="18"/>
      <c r="AA119" s="18"/>
      <c r="AB119" s="18"/>
      <c r="AC119" s="18"/>
      <c r="AD119" s="18"/>
      <c r="AE119" s="18"/>
    </row>
    <row r="120" spans="1:31">
      <c r="A120" s="14">
        <v>118</v>
      </c>
      <c r="B120" s="14">
        <v>11037</v>
      </c>
      <c r="C120" s="14" t="s">
        <v>205</v>
      </c>
      <c r="D120" s="14" t="s">
        <v>45</v>
      </c>
      <c r="E120" s="15" t="str">
        <f>"223.42"</f>
        <v>223.42</v>
      </c>
      <c r="F120" s="15"/>
      <c r="G120" s="16" t="str">
        <f>"223.42"</f>
        <v>223.42</v>
      </c>
      <c r="H120" s="17"/>
      <c r="I120" s="15">
        <v>5</v>
      </c>
      <c r="J120" s="15">
        <v>2016</v>
      </c>
      <c r="K120" s="18"/>
      <c r="L120" s="18"/>
      <c r="M120" s="18"/>
      <c r="N120" s="18" t="str">
        <f>"230.18"</f>
        <v>230.18</v>
      </c>
      <c r="O120" s="18"/>
      <c r="P120" s="18"/>
      <c r="Q120" s="18"/>
      <c r="R120" s="18" t="str">
        <f>"216.65"</f>
        <v>216.65</v>
      </c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</row>
    <row r="121" spans="1:31">
      <c r="A121" s="14">
        <v>119</v>
      </c>
      <c r="B121" s="14">
        <v>6674</v>
      </c>
      <c r="C121" s="14" t="s">
        <v>206</v>
      </c>
      <c r="D121" s="14" t="s">
        <v>87</v>
      </c>
      <c r="E121" s="15" t="str">
        <f>"190.39"</f>
        <v>190.39</v>
      </c>
      <c r="F121" s="15"/>
      <c r="G121" s="16" t="str">
        <f>"223.92"</f>
        <v>223.92</v>
      </c>
      <c r="H121" s="17"/>
      <c r="I121" s="15">
        <v>3</v>
      </c>
      <c r="J121" s="15">
        <v>2016</v>
      </c>
      <c r="K121" s="18" t="str">
        <f>"190.39"</f>
        <v>190.39</v>
      </c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 t="str">
        <f>"225.78"</f>
        <v>225.78</v>
      </c>
      <c r="Y121" s="18"/>
      <c r="Z121" s="18"/>
      <c r="AA121" s="18"/>
      <c r="AB121" s="18"/>
      <c r="AC121" s="18"/>
      <c r="AD121" s="18" t="str">
        <f>"222.05"</f>
        <v>222.05</v>
      </c>
      <c r="AE121" s="18"/>
    </row>
    <row r="122" spans="1:31">
      <c r="A122" s="14">
        <v>120</v>
      </c>
      <c r="B122" s="14">
        <v>3988</v>
      </c>
      <c r="C122" s="14" t="s">
        <v>207</v>
      </c>
      <c r="D122" s="14" t="s">
        <v>59</v>
      </c>
      <c r="E122" s="15" t="str">
        <f>"205.94"</f>
        <v>205.94</v>
      </c>
      <c r="F122" s="15"/>
      <c r="G122" s="16" t="str">
        <f>"228.80"</f>
        <v>228.80</v>
      </c>
      <c r="H122" s="17"/>
      <c r="I122" s="15">
        <v>3</v>
      </c>
      <c r="J122" s="15">
        <v>2016</v>
      </c>
      <c r="K122" s="18" t="str">
        <f>"205.94"</f>
        <v>205.94</v>
      </c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 t="str">
        <f>"227.20"</f>
        <v>227.20</v>
      </c>
      <c r="Y122" s="18"/>
      <c r="Z122" s="18"/>
      <c r="AA122" s="18"/>
      <c r="AB122" s="18"/>
      <c r="AC122" s="18" t="str">
        <f>"230.40"</f>
        <v>230.40</v>
      </c>
      <c r="AD122" s="18"/>
      <c r="AE122" s="18"/>
    </row>
    <row r="123" spans="1:31">
      <c r="A123" s="14">
        <v>121</v>
      </c>
      <c r="B123" s="14">
        <v>2023</v>
      </c>
      <c r="C123" s="14" t="s">
        <v>208</v>
      </c>
      <c r="D123" s="14" t="s">
        <v>156</v>
      </c>
      <c r="E123" s="15" t="str">
        <f>"196.30"</f>
        <v>196.30</v>
      </c>
      <c r="F123" s="15"/>
      <c r="G123" s="16" t="str">
        <f>"229.69"</f>
        <v>229.69</v>
      </c>
      <c r="H123" s="17" t="s">
        <v>40</v>
      </c>
      <c r="I123" s="15">
        <v>2</v>
      </c>
      <c r="J123" s="15">
        <v>2016</v>
      </c>
      <c r="K123" s="18" t="str">
        <f>"202.90"</f>
        <v>202.90</v>
      </c>
      <c r="L123" s="18"/>
      <c r="M123" s="18"/>
      <c r="N123" s="18"/>
      <c r="O123" s="18"/>
      <c r="P123" s="18"/>
      <c r="Q123" s="18"/>
      <c r="R123" s="18"/>
      <c r="S123" s="18"/>
      <c r="T123" s="18" t="str">
        <f>"189.69"</f>
        <v>189.69</v>
      </c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</row>
    <row r="124" spans="1:31">
      <c r="A124" s="14">
        <v>122</v>
      </c>
      <c r="B124" s="14">
        <v>5479</v>
      </c>
      <c r="C124" s="14" t="s">
        <v>209</v>
      </c>
      <c r="D124" s="14" t="s">
        <v>55</v>
      </c>
      <c r="E124" s="15" t="str">
        <f>"202.96"</f>
        <v>202.96</v>
      </c>
      <c r="F124" s="15"/>
      <c r="G124" s="16" t="str">
        <f>"229.70"</f>
        <v>229.70</v>
      </c>
      <c r="H124" s="17"/>
      <c r="I124" s="15">
        <v>3</v>
      </c>
      <c r="J124" s="15">
        <v>2016</v>
      </c>
      <c r="K124" s="18" t="str">
        <f>"208.35"</f>
        <v>208.35</v>
      </c>
      <c r="L124" s="18"/>
      <c r="M124" s="18"/>
      <c r="N124" s="18" t="str">
        <f>"261.84"</f>
        <v>261.84</v>
      </c>
      <c r="O124" s="18"/>
      <c r="P124" s="18" t="str">
        <f>"197.56"</f>
        <v>197.56</v>
      </c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</row>
    <row r="125" spans="1:31">
      <c r="A125" s="14">
        <v>123</v>
      </c>
      <c r="B125" s="14">
        <v>7579</v>
      </c>
      <c r="C125" s="14" t="s">
        <v>210</v>
      </c>
      <c r="D125" s="14" t="s">
        <v>211</v>
      </c>
      <c r="E125" s="15" t="str">
        <f>"190.85"</f>
        <v>190.85</v>
      </c>
      <c r="F125" s="15"/>
      <c r="G125" s="16" t="str">
        <f>"230.85"</f>
        <v>230.85</v>
      </c>
      <c r="H125" s="17" t="s">
        <v>38</v>
      </c>
      <c r="I125" s="15">
        <v>1</v>
      </c>
      <c r="J125" s="15">
        <v>2016</v>
      </c>
      <c r="K125" s="18" t="str">
        <f>"190.85"</f>
        <v>190.85</v>
      </c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</row>
    <row r="126" spans="1:31">
      <c r="A126" s="14">
        <v>124</v>
      </c>
      <c r="B126" s="14">
        <v>8337</v>
      </c>
      <c r="C126" s="14" t="s">
        <v>212</v>
      </c>
      <c r="D126" s="14" t="s">
        <v>45</v>
      </c>
      <c r="E126" s="15" t="str">
        <f>"162.28"</f>
        <v>162.28</v>
      </c>
      <c r="F126" s="15"/>
      <c r="G126" s="16" t="str">
        <f>"232.38"</f>
        <v>232.38</v>
      </c>
      <c r="H126" s="17"/>
      <c r="I126" s="15">
        <v>3</v>
      </c>
      <c r="J126" s="15">
        <v>2016</v>
      </c>
      <c r="K126" s="18" t="str">
        <f>"162.28"</f>
        <v>162.28</v>
      </c>
      <c r="L126" s="18"/>
      <c r="M126" s="18"/>
      <c r="N126" s="18" t="str">
        <f>"263.48"</f>
        <v>263.48</v>
      </c>
      <c r="O126" s="18"/>
      <c r="P126" s="18"/>
      <c r="Q126" s="18"/>
      <c r="R126" s="18" t="str">
        <f>"201.27"</f>
        <v>201.27</v>
      </c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</row>
    <row r="127" spans="1:31">
      <c r="A127" s="14">
        <v>125</v>
      </c>
      <c r="B127" s="14">
        <v>8619</v>
      </c>
      <c r="C127" s="14" t="s">
        <v>213</v>
      </c>
      <c r="D127" s="14" t="s">
        <v>37</v>
      </c>
      <c r="E127" s="15" t="str">
        <f>"233.00"</f>
        <v>233.00</v>
      </c>
      <c r="F127" s="15"/>
      <c r="G127" s="16" t="str">
        <f>"233.00"</f>
        <v>233.00</v>
      </c>
      <c r="H127" s="17"/>
      <c r="I127" s="15">
        <v>3</v>
      </c>
      <c r="J127" s="15">
        <v>2016</v>
      </c>
      <c r="K127" s="18" t="str">
        <f>"252.39"</f>
        <v>252.39</v>
      </c>
      <c r="L127" s="18"/>
      <c r="M127" s="18"/>
      <c r="N127" s="18"/>
      <c r="O127" s="18"/>
      <c r="P127" s="18"/>
      <c r="Q127" s="18"/>
      <c r="R127" s="18"/>
      <c r="S127" s="18"/>
      <c r="T127" s="18"/>
      <c r="U127" s="18" t="str">
        <f>"249.51"</f>
        <v>249.51</v>
      </c>
      <c r="V127" s="18" t="str">
        <f>"282.26"</f>
        <v>282.26</v>
      </c>
      <c r="W127" s="18"/>
      <c r="X127" s="18"/>
      <c r="Y127" s="18"/>
      <c r="Z127" s="18" t="str">
        <f>"216.48"</f>
        <v>216.48</v>
      </c>
      <c r="AA127" s="18" t="str">
        <f>"284.38"</f>
        <v>284.38</v>
      </c>
      <c r="AB127" s="18"/>
      <c r="AC127" s="18"/>
      <c r="AD127" s="18"/>
      <c r="AE127" s="18"/>
    </row>
    <row r="128" spans="1:31">
      <c r="A128" s="14">
        <v>126</v>
      </c>
      <c r="B128" s="14">
        <v>7785</v>
      </c>
      <c r="C128" s="14" t="s">
        <v>214</v>
      </c>
      <c r="D128" s="14" t="s">
        <v>45</v>
      </c>
      <c r="E128" s="15" t="str">
        <f>"193.49"</f>
        <v>193.49</v>
      </c>
      <c r="F128" s="15"/>
      <c r="G128" s="16" t="str">
        <f>"233.49"</f>
        <v>233.49</v>
      </c>
      <c r="H128" s="17" t="s">
        <v>38</v>
      </c>
      <c r="I128" s="15">
        <v>1</v>
      </c>
      <c r="J128" s="15">
        <v>2016</v>
      </c>
      <c r="K128" s="18" t="str">
        <f>"193.49"</f>
        <v>193.49</v>
      </c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</row>
    <row r="129" spans="1:31">
      <c r="A129" s="14">
        <v>127</v>
      </c>
      <c r="B129" s="14">
        <v>3094</v>
      </c>
      <c r="C129" s="14" t="s">
        <v>215</v>
      </c>
      <c r="D129" s="14" t="s">
        <v>216</v>
      </c>
      <c r="E129" s="15" t="str">
        <f>"195.42"</f>
        <v>195.42</v>
      </c>
      <c r="F129" s="15"/>
      <c r="G129" s="16" t="str">
        <f>"235.42"</f>
        <v>235.42</v>
      </c>
      <c r="H129" s="17" t="s">
        <v>38</v>
      </c>
      <c r="I129" s="15">
        <v>1</v>
      </c>
      <c r="J129" s="15">
        <v>2016</v>
      </c>
      <c r="K129" s="18" t="str">
        <f>"195.42"</f>
        <v>195.42</v>
      </c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</row>
    <row r="130" spans="1:31">
      <c r="A130" s="14">
        <v>128</v>
      </c>
      <c r="B130" s="14">
        <v>7798</v>
      </c>
      <c r="C130" s="14" t="s">
        <v>217</v>
      </c>
      <c r="D130" s="14" t="s">
        <v>218</v>
      </c>
      <c r="E130" s="15" t="str">
        <f>"197.08"</f>
        <v>197.08</v>
      </c>
      <c r="F130" s="15"/>
      <c r="G130" s="16" t="str">
        <f>"237.08"</f>
        <v>237.08</v>
      </c>
      <c r="H130" s="17" t="s">
        <v>38</v>
      </c>
      <c r="I130" s="15">
        <v>1</v>
      </c>
      <c r="J130" s="15">
        <v>2016</v>
      </c>
      <c r="K130" s="18" t="str">
        <f>"197.08"</f>
        <v>197.08</v>
      </c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</row>
    <row r="131" spans="1:31">
      <c r="A131" s="14">
        <v>129</v>
      </c>
      <c r="B131" s="14">
        <v>10022</v>
      </c>
      <c r="C131" s="14" t="s">
        <v>219</v>
      </c>
      <c r="D131" s="14" t="s">
        <v>37</v>
      </c>
      <c r="E131" s="15" t="str">
        <f>"238.59"</f>
        <v>238.59</v>
      </c>
      <c r="F131" s="15"/>
      <c r="G131" s="16" t="str">
        <f>"238.59"</f>
        <v>238.59</v>
      </c>
      <c r="H131" s="17"/>
      <c r="I131" s="15">
        <v>3</v>
      </c>
      <c r="J131" s="15">
        <v>2016</v>
      </c>
      <c r="K131" s="18" t="str">
        <f>"301.30"</f>
        <v>301.30</v>
      </c>
      <c r="L131" s="18"/>
      <c r="M131" s="18"/>
      <c r="N131" s="18"/>
      <c r="O131" s="18"/>
      <c r="P131" s="18"/>
      <c r="Q131" s="18"/>
      <c r="R131" s="18"/>
      <c r="S131" s="18"/>
      <c r="T131" s="18"/>
      <c r="U131" s="18" t="str">
        <f>"249.38"</f>
        <v>249.38</v>
      </c>
      <c r="V131" s="18" t="str">
        <f>"241.73"</f>
        <v>241.73</v>
      </c>
      <c r="W131" s="18"/>
      <c r="X131" s="18"/>
      <c r="Y131" s="18"/>
      <c r="Z131" s="18" t="str">
        <f>"235.45"</f>
        <v>235.45</v>
      </c>
      <c r="AA131" s="18" t="str">
        <f>"262.76"</f>
        <v>262.76</v>
      </c>
      <c r="AB131" s="18"/>
      <c r="AC131" s="18"/>
      <c r="AD131" s="18"/>
      <c r="AE131" s="18"/>
    </row>
    <row r="132" spans="1:31">
      <c r="A132" s="14">
        <v>130</v>
      </c>
      <c r="B132" s="14">
        <v>5751</v>
      </c>
      <c r="C132" s="14" t="s">
        <v>220</v>
      </c>
      <c r="D132" s="14" t="s">
        <v>45</v>
      </c>
      <c r="E132" s="15" t="str">
        <f>"199.17"</f>
        <v>199.17</v>
      </c>
      <c r="F132" s="15"/>
      <c r="G132" s="16" t="str">
        <f>"239.17"</f>
        <v>239.17</v>
      </c>
      <c r="H132" s="17" t="s">
        <v>38</v>
      </c>
      <c r="I132" s="15">
        <v>1</v>
      </c>
      <c r="J132" s="15">
        <v>2016</v>
      </c>
      <c r="K132" s="18" t="str">
        <f>"199.17"</f>
        <v>199.17</v>
      </c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</row>
    <row r="133" spans="1:31">
      <c r="A133" s="14">
        <v>131</v>
      </c>
      <c r="B133" s="14">
        <v>10602</v>
      </c>
      <c r="C133" s="14" t="s">
        <v>221</v>
      </c>
      <c r="D133" s="14" t="s">
        <v>37</v>
      </c>
      <c r="E133" s="15" t="str">
        <f>"239.36"</f>
        <v>239.36</v>
      </c>
      <c r="F133" s="15"/>
      <c r="G133" s="16" t="str">
        <f>"239.36"</f>
        <v>239.36</v>
      </c>
      <c r="H133" s="17"/>
      <c r="I133" s="15">
        <v>3</v>
      </c>
      <c r="J133" s="15">
        <v>2016</v>
      </c>
      <c r="K133" s="18" t="str">
        <f>"276.71"</f>
        <v>276.71</v>
      </c>
      <c r="L133" s="18"/>
      <c r="M133" s="18"/>
      <c r="N133" s="18"/>
      <c r="O133" s="18"/>
      <c r="P133" s="18"/>
      <c r="Q133" s="18"/>
      <c r="R133" s="18"/>
      <c r="S133" s="18"/>
      <c r="T133" s="18"/>
      <c r="U133" s="18" t="str">
        <f>"296.57"</f>
        <v>296.57</v>
      </c>
      <c r="V133" s="18" t="str">
        <f>"313.42"</f>
        <v>313.42</v>
      </c>
      <c r="W133" s="18"/>
      <c r="X133" s="18"/>
      <c r="Y133" s="18"/>
      <c r="Z133" s="18" t="str">
        <f>"211.60"</f>
        <v>211.60</v>
      </c>
      <c r="AA133" s="18"/>
      <c r="AB133" s="18"/>
      <c r="AC133" s="18"/>
      <c r="AD133" s="18"/>
      <c r="AE133" s="18" t="str">
        <f>"267.12"</f>
        <v>267.12</v>
      </c>
    </row>
    <row r="134" spans="1:31">
      <c r="A134" s="14">
        <v>132</v>
      </c>
      <c r="B134" s="14">
        <v>7601</v>
      </c>
      <c r="C134" s="14" t="s">
        <v>222</v>
      </c>
      <c r="D134" s="14" t="s">
        <v>223</v>
      </c>
      <c r="E134" s="15" t="str">
        <f>"177.90"</f>
        <v>177.90</v>
      </c>
      <c r="F134" s="15"/>
      <c r="G134" s="16" t="str">
        <f>"240.30"</f>
        <v>240.30</v>
      </c>
      <c r="H134" s="17" t="s">
        <v>40</v>
      </c>
      <c r="I134" s="15">
        <v>2</v>
      </c>
      <c r="J134" s="15">
        <v>2016</v>
      </c>
      <c r="K134" s="18" t="str">
        <f>"177.90"</f>
        <v>177.90</v>
      </c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 t="str">
        <f>"200.30"</f>
        <v>200.30</v>
      </c>
      <c r="Y134" s="18"/>
      <c r="Z134" s="18"/>
      <c r="AA134" s="18"/>
      <c r="AB134" s="18"/>
      <c r="AC134" s="18"/>
      <c r="AD134" s="18"/>
      <c r="AE134" s="18"/>
    </row>
    <row r="135" spans="1:31">
      <c r="A135" s="14">
        <v>133</v>
      </c>
      <c r="B135" s="14">
        <v>5489</v>
      </c>
      <c r="C135" s="14" t="s">
        <v>224</v>
      </c>
      <c r="D135" s="14" t="s">
        <v>45</v>
      </c>
      <c r="E135" s="15" t="str">
        <f>"220.94"</f>
        <v>220.94</v>
      </c>
      <c r="F135" s="15"/>
      <c r="G135" s="16">
        <v>240.94</v>
      </c>
      <c r="H135" s="17" t="s">
        <v>225</v>
      </c>
      <c r="I135" s="15">
        <v>1</v>
      </c>
      <c r="J135" s="15">
        <v>2016</v>
      </c>
      <c r="K135" s="18" t="str">
        <f>"220.94"</f>
        <v>220.94</v>
      </c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</row>
    <row r="136" spans="1:31">
      <c r="A136" s="14">
        <v>134</v>
      </c>
      <c r="B136" s="14">
        <v>2398</v>
      </c>
      <c r="C136" s="14" t="s">
        <v>226</v>
      </c>
      <c r="D136" s="14" t="s">
        <v>37</v>
      </c>
      <c r="E136" s="15" t="str">
        <f>"241.54"</f>
        <v>241.54</v>
      </c>
      <c r="F136" s="15"/>
      <c r="G136" s="16" t="str">
        <f>"241.54"</f>
        <v>241.54</v>
      </c>
      <c r="H136" s="17"/>
      <c r="I136" s="15">
        <v>3</v>
      </c>
      <c r="J136" s="15">
        <v>2016</v>
      </c>
      <c r="K136" s="18" t="str">
        <f>"261.90"</f>
        <v>261.90</v>
      </c>
      <c r="L136" s="18"/>
      <c r="M136" s="18"/>
      <c r="N136" s="18"/>
      <c r="O136" s="18"/>
      <c r="P136" s="18"/>
      <c r="Q136" s="18"/>
      <c r="R136" s="18"/>
      <c r="S136" s="18"/>
      <c r="T136" s="18"/>
      <c r="U136" s="18" t="str">
        <f>"279.33"</f>
        <v>279.33</v>
      </c>
      <c r="V136" s="18"/>
      <c r="W136" s="18"/>
      <c r="X136" s="18"/>
      <c r="Y136" s="18"/>
      <c r="Z136" s="18" t="str">
        <f>"242.38"</f>
        <v>242.38</v>
      </c>
      <c r="AA136" s="18" t="str">
        <f>"240.70"</f>
        <v>240.70</v>
      </c>
      <c r="AB136" s="18"/>
      <c r="AC136" s="18"/>
      <c r="AD136" s="18"/>
      <c r="AE136" s="18"/>
    </row>
    <row r="137" spans="1:31">
      <c r="A137" s="14">
        <v>135</v>
      </c>
      <c r="B137" s="14">
        <v>10581</v>
      </c>
      <c r="C137" s="14" t="s">
        <v>227</v>
      </c>
      <c r="D137" s="14" t="s">
        <v>37</v>
      </c>
      <c r="E137" s="15" t="str">
        <f>"241.88"</f>
        <v>241.88</v>
      </c>
      <c r="F137" s="15"/>
      <c r="G137" s="16" t="str">
        <f>"241.88"</f>
        <v>241.88</v>
      </c>
      <c r="H137" s="17"/>
      <c r="I137" s="15">
        <v>3</v>
      </c>
      <c r="J137" s="15">
        <v>2016</v>
      </c>
      <c r="K137" s="18" t="str">
        <f>"333.01"</f>
        <v>333.01</v>
      </c>
      <c r="L137" s="18"/>
      <c r="M137" s="18"/>
      <c r="N137" s="18"/>
      <c r="O137" s="18"/>
      <c r="P137" s="18"/>
      <c r="Q137" s="18"/>
      <c r="R137" s="18"/>
      <c r="S137" s="18"/>
      <c r="T137" s="18"/>
      <c r="U137" s="18" t="str">
        <f>"232.26"</f>
        <v>232.26</v>
      </c>
      <c r="V137" s="18" t="str">
        <f>"251.50"</f>
        <v>251.50</v>
      </c>
      <c r="W137" s="18"/>
      <c r="X137" s="18"/>
      <c r="Y137" s="18"/>
      <c r="Z137" s="18"/>
      <c r="AA137" s="18"/>
      <c r="AB137" s="18"/>
      <c r="AC137" s="18"/>
      <c r="AD137" s="18"/>
      <c r="AE137" s="18"/>
    </row>
    <row r="138" spans="1:31">
      <c r="A138" s="14">
        <v>136</v>
      </c>
      <c r="B138" s="14">
        <v>10263</v>
      </c>
      <c r="C138" s="14" t="s">
        <v>228</v>
      </c>
      <c r="D138" s="14" t="s">
        <v>55</v>
      </c>
      <c r="E138" s="15" t="str">
        <f>"217.11"</f>
        <v>217.11</v>
      </c>
      <c r="F138" s="15"/>
      <c r="G138" s="16" t="str">
        <f>"243.15"</f>
        <v>243.15</v>
      </c>
      <c r="H138" s="17"/>
      <c r="I138" s="15">
        <v>3</v>
      </c>
      <c r="J138" s="15">
        <v>2016</v>
      </c>
      <c r="K138" s="18" t="str">
        <f>"229.05"</f>
        <v>229.05</v>
      </c>
      <c r="L138" s="18" t="str">
        <f>"310.08"</f>
        <v>310.08</v>
      </c>
      <c r="M138" s="18" t="str">
        <f>"293.43"</f>
        <v>293.43</v>
      </c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 t="str">
        <f>"281.13"</f>
        <v>281.13</v>
      </c>
      <c r="Y138" s="18"/>
      <c r="Z138" s="18"/>
      <c r="AA138" s="18"/>
      <c r="AB138" s="18" t="str">
        <f>"205.16"</f>
        <v>205.16</v>
      </c>
      <c r="AC138" s="18"/>
      <c r="AD138" s="18"/>
      <c r="AE138" s="18"/>
    </row>
    <row r="139" spans="1:31">
      <c r="A139" s="14">
        <v>137</v>
      </c>
      <c r="B139" s="14">
        <v>1886</v>
      </c>
      <c r="C139" s="14" t="s">
        <v>229</v>
      </c>
      <c r="D139" s="14" t="s">
        <v>37</v>
      </c>
      <c r="E139" s="15" t="str">
        <f>"204.05"</f>
        <v>204.05</v>
      </c>
      <c r="F139" s="15"/>
      <c r="G139" s="16" t="str">
        <f>"244.05"</f>
        <v>244.05</v>
      </c>
      <c r="H139" s="17" t="s">
        <v>38</v>
      </c>
      <c r="I139" s="15">
        <v>1</v>
      </c>
      <c r="J139" s="15">
        <v>2016</v>
      </c>
      <c r="K139" s="18" t="str">
        <f>"204.05"</f>
        <v>204.05</v>
      </c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</row>
    <row r="140" spans="1:31">
      <c r="A140" s="14">
        <v>138</v>
      </c>
      <c r="B140" s="14">
        <v>10605</v>
      </c>
      <c r="C140" s="14" t="s">
        <v>230</v>
      </c>
      <c r="D140" s="14" t="s">
        <v>37</v>
      </c>
      <c r="E140" s="15" t="str">
        <f>"244.99"</f>
        <v>244.99</v>
      </c>
      <c r="F140" s="15"/>
      <c r="G140" s="16" t="str">
        <f>"244.99"</f>
        <v>244.99</v>
      </c>
      <c r="H140" s="17"/>
      <c r="I140" s="15">
        <v>3</v>
      </c>
      <c r="J140" s="15">
        <v>2016</v>
      </c>
      <c r="K140" s="18" t="str">
        <f>"331.23"</f>
        <v>331.23</v>
      </c>
      <c r="L140" s="18"/>
      <c r="M140" s="18"/>
      <c r="N140" s="18"/>
      <c r="O140" s="18"/>
      <c r="P140" s="18"/>
      <c r="Q140" s="18"/>
      <c r="R140" s="18"/>
      <c r="S140" s="18"/>
      <c r="T140" s="18"/>
      <c r="U140" s="18" t="str">
        <f>"255.39"</f>
        <v>255.39</v>
      </c>
      <c r="V140" s="18" t="str">
        <f>"267.08"</f>
        <v>267.08</v>
      </c>
      <c r="W140" s="18"/>
      <c r="X140" s="18"/>
      <c r="Y140" s="18"/>
      <c r="Z140" s="18" t="str">
        <f>"234.58"</f>
        <v>234.58</v>
      </c>
      <c r="AA140" s="18" t="str">
        <f>"268.24"</f>
        <v>268.24</v>
      </c>
      <c r="AB140" s="18"/>
      <c r="AC140" s="18"/>
      <c r="AD140" s="18"/>
      <c r="AE140" s="18"/>
    </row>
    <row r="141" spans="1:31">
      <c r="A141" s="14">
        <v>139</v>
      </c>
      <c r="B141" s="14">
        <v>5768</v>
      </c>
      <c r="C141" s="14" t="s">
        <v>231</v>
      </c>
      <c r="D141" s="14" t="s">
        <v>76</v>
      </c>
      <c r="E141" s="15" t="str">
        <f>"245.21"</f>
        <v>245.21</v>
      </c>
      <c r="F141" s="15"/>
      <c r="G141" s="16" t="str">
        <f>"245.21"</f>
        <v>245.21</v>
      </c>
      <c r="H141" s="17"/>
      <c r="I141" s="15">
        <v>3</v>
      </c>
      <c r="J141" s="15">
        <v>2016</v>
      </c>
      <c r="K141" s="18" t="str">
        <f>"299.90"</f>
        <v>299.90</v>
      </c>
      <c r="L141" s="18"/>
      <c r="M141" s="18"/>
      <c r="N141" s="18"/>
      <c r="O141" s="18" t="str">
        <f>"265.35"</f>
        <v>265.35</v>
      </c>
      <c r="P141" s="18"/>
      <c r="Q141" s="18"/>
      <c r="R141" s="18"/>
      <c r="S141" s="18" t="str">
        <f>"327.04"</f>
        <v>327.04</v>
      </c>
      <c r="T141" s="18"/>
      <c r="U141" s="18"/>
      <c r="V141" s="18"/>
      <c r="W141" s="18" t="str">
        <f>"225.07"</f>
        <v>225.07</v>
      </c>
      <c r="X141" s="18"/>
      <c r="Y141" s="18"/>
      <c r="Z141" s="18"/>
      <c r="AA141" s="18"/>
      <c r="AB141" s="18"/>
      <c r="AC141" s="18"/>
      <c r="AD141" s="18"/>
      <c r="AE141" s="18"/>
    </row>
    <row r="142" spans="1:31">
      <c r="A142" s="14">
        <v>140</v>
      </c>
      <c r="B142" s="14">
        <v>2241</v>
      </c>
      <c r="C142" s="14" t="s">
        <v>232</v>
      </c>
      <c r="D142" s="14" t="s">
        <v>37</v>
      </c>
      <c r="E142" s="15" t="str">
        <f>"245.23"</f>
        <v>245.23</v>
      </c>
      <c r="F142" s="15"/>
      <c r="G142" s="16" t="str">
        <f>"247.35"</f>
        <v>247.35</v>
      </c>
      <c r="H142" s="17"/>
      <c r="I142" s="15">
        <v>3</v>
      </c>
      <c r="J142" s="15">
        <v>2016</v>
      </c>
      <c r="K142" s="18" t="str">
        <f>"249.16"</f>
        <v>249.16</v>
      </c>
      <c r="L142" s="18"/>
      <c r="M142" s="18"/>
      <c r="N142" s="18"/>
      <c r="O142" s="18"/>
      <c r="P142" s="18"/>
      <c r="Q142" s="18"/>
      <c r="R142" s="18"/>
      <c r="S142" s="18"/>
      <c r="T142" s="18"/>
      <c r="U142" s="18" t="str">
        <f>"253.39"</f>
        <v>253.39</v>
      </c>
      <c r="V142" s="18"/>
      <c r="W142" s="18"/>
      <c r="X142" s="18"/>
      <c r="Y142" s="18"/>
      <c r="Z142" s="18" t="str">
        <f>"241.30"</f>
        <v>241.30</v>
      </c>
      <c r="AA142" s="18" t="str">
        <f>"289.44"</f>
        <v>289.44</v>
      </c>
      <c r="AB142" s="18"/>
      <c r="AC142" s="18"/>
      <c r="AD142" s="18"/>
      <c r="AE142" s="18"/>
    </row>
    <row r="143" spans="1:31">
      <c r="A143" s="14">
        <v>141</v>
      </c>
      <c r="B143" s="14">
        <v>10023</v>
      </c>
      <c r="C143" s="14" t="s">
        <v>233</v>
      </c>
      <c r="D143" s="14" t="s">
        <v>37</v>
      </c>
      <c r="E143" s="15" t="str">
        <f>"247.47"</f>
        <v>247.47</v>
      </c>
      <c r="F143" s="15"/>
      <c r="G143" s="16" t="str">
        <f>"247.47"</f>
        <v>247.47</v>
      </c>
      <c r="H143" s="17"/>
      <c r="I143" s="15">
        <v>3</v>
      </c>
      <c r="J143" s="15">
        <v>2016</v>
      </c>
      <c r="K143" s="18" t="str">
        <f>"290.59"</f>
        <v>290.59</v>
      </c>
      <c r="L143" s="18"/>
      <c r="M143" s="18"/>
      <c r="N143" s="18"/>
      <c r="O143" s="18"/>
      <c r="P143" s="18"/>
      <c r="Q143" s="18"/>
      <c r="R143" s="18"/>
      <c r="S143" s="18"/>
      <c r="T143" s="18"/>
      <c r="U143" s="18" t="str">
        <f>"279.06"</f>
        <v>279.06</v>
      </c>
      <c r="V143" s="18" t="str">
        <f>"254.75"</f>
        <v>254.75</v>
      </c>
      <c r="W143" s="18"/>
      <c r="X143" s="18"/>
      <c r="Y143" s="18"/>
      <c r="Z143" s="18" t="str">
        <f>"245.42"</f>
        <v>245.42</v>
      </c>
      <c r="AA143" s="18" t="str">
        <f>"249.52"</f>
        <v>249.52</v>
      </c>
      <c r="AB143" s="18"/>
      <c r="AC143" s="18"/>
      <c r="AD143" s="18"/>
      <c r="AE143" s="18"/>
    </row>
    <row r="144" spans="1:31">
      <c r="A144" s="14">
        <v>142</v>
      </c>
      <c r="B144" s="14">
        <v>8636</v>
      </c>
      <c r="C144" s="14" t="s">
        <v>234</v>
      </c>
      <c r="D144" s="14" t="s">
        <v>37</v>
      </c>
      <c r="E144" s="15" t="str">
        <f>"206.38"</f>
        <v>206.38</v>
      </c>
      <c r="F144" s="15"/>
      <c r="G144" s="16" t="str">
        <f>"247.61"</f>
        <v>247.61</v>
      </c>
      <c r="H144" s="17" t="s">
        <v>40</v>
      </c>
      <c r="I144" s="15">
        <v>2</v>
      </c>
      <c r="J144" s="15">
        <v>2016</v>
      </c>
      <c r="K144" s="18" t="str">
        <f>"206.38"</f>
        <v>206.38</v>
      </c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 t="str">
        <f>"207.61"</f>
        <v>207.61</v>
      </c>
      <c r="W144" s="18"/>
      <c r="X144" s="18"/>
      <c r="Y144" s="18"/>
      <c r="Z144" s="18"/>
      <c r="AA144" s="18"/>
      <c r="AB144" s="18"/>
      <c r="AC144" s="18"/>
      <c r="AD144" s="18"/>
      <c r="AE144" s="18"/>
    </row>
    <row r="145" spans="1:31">
      <c r="A145" s="14">
        <v>143</v>
      </c>
      <c r="B145" s="14">
        <v>2643</v>
      </c>
      <c r="C145" s="14" t="s">
        <v>235</v>
      </c>
      <c r="D145" s="14" t="s">
        <v>236</v>
      </c>
      <c r="E145" s="15" t="str">
        <f>"210.15"</f>
        <v>210.15</v>
      </c>
      <c r="F145" s="15"/>
      <c r="G145" s="16" t="str">
        <f>"250.15"</f>
        <v>250.15</v>
      </c>
      <c r="H145" s="17" t="s">
        <v>38</v>
      </c>
      <c r="I145" s="15">
        <v>1</v>
      </c>
      <c r="J145" s="15">
        <v>2016</v>
      </c>
      <c r="K145" s="18" t="str">
        <f>"210.15"</f>
        <v>210.15</v>
      </c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</row>
    <row r="146" spans="1:31">
      <c r="A146" s="14">
        <v>144</v>
      </c>
      <c r="B146" s="14">
        <v>8620</v>
      </c>
      <c r="C146" s="14" t="s">
        <v>237</v>
      </c>
      <c r="D146" s="14" t="s">
        <v>37</v>
      </c>
      <c r="E146" s="15" t="str">
        <f>"220.74"</f>
        <v>220.74</v>
      </c>
      <c r="F146" s="15"/>
      <c r="G146" s="16" t="str">
        <f>"250.47"</f>
        <v>250.47</v>
      </c>
      <c r="H146" s="17" t="s">
        <v>40</v>
      </c>
      <c r="I146" s="15">
        <v>2</v>
      </c>
      <c r="J146" s="15">
        <v>2016</v>
      </c>
      <c r="K146" s="18" t="str">
        <f>"231.00"</f>
        <v>231.00</v>
      </c>
      <c r="L146" s="18"/>
      <c r="M146" s="18"/>
      <c r="N146" s="18"/>
      <c r="O146" s="18"/>
      <c r="P146" s="18"/>
      <c r="Q146" s="18"/>
      <c r="R146" s="18"/>
      <c r="S146" s="18"/>
      <c r="T146" s="18"/>
      <c r="U146" s="18" t="str">
        <f>"210.47"</f>
        <v>210.47</v>
      </c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</row>
    <row r="147" spans="1:31">
      <c r="A147" s="14">
        <v>145</v>
      </c>
      <c r="B147" s="14">
        <v>10324</v>
      </c>
      <c r="C147" s="14" t="s">
        <v>238</v>
      </c>
      <c r="D147" s="14" t="s">
        <v>239</v>
      </c>
      <c r="E147" s="15" t="str">
        <f>"218.24"</f>
        <v>218.24</v>
      </c>
      <c r="F147" s="15"/>
      <c r="G147" s="16" t="str">
        <f>"251.11"</f>
        <v>251.11</v>
      </c>
      <c r="H147" s="17"/>
      <c r="I147" s="15">
        <v>3</v>
      </c>
      <c r="J147" s="15">
        <v>2016</v>
      </c>
      <c r="K147" s="18" t="str">
        <f>"218.24"</f>
        <v>218.24</v>
      </c>
      <c r="L147" s="18"/>
      <c r="M147" s="18"/>
      <c r="N147" s="18" t="str">
        <f>"272.06"</f>
        <v>272.06</v>
      </c>
      <c r="O147" s="18"/>
      <c r="P147" s="18" t="str">
        <f>"230.16"</f>
        <v>230.16</v>
      </c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</row>
    <row r="148" spans="1:31">
      <c r="A148" s="14">
        <v>146</v>
      </c>
      <c r="B148" s="14">
        <v>2233</v>
      </c>
      <c r="C148" s="14" t="s">
        <v>240</v>
      </c>
      <c r="D148" s="14" t="s">
        <v>241</v>
      </c>
      <c r="E148" s="15" t="str">
        <f>"212.17"</f>
        <v>212.17</v>
      </c>
      <c r="F148" s="15"/>
      <c r="G148" s="16" t="str">
        <f>"252.17"</f>
        <v>252.17</v>
      </c>
      <c r="H148" s="17" t="s">
        <v>38</v>
      </c>
      <c r="I148" s="15">
        <v>1</v>
      </c>
      <c r="J148" s="15">
        <v>2016</v>
      </c>
      <c r="K148" s="18" t="str">
        <f>"212.17"</f>
        <v>212.17</v>
      </c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</row>
    <row r="149" spans="1:31">
      <c r="A149" s="14">
        <v>147</v>
      </c>
      <c r="B149" s="14">
        <v>3728</v>
      </c>
      <c r="C149" s="14" t="s">
        <v>242</v>
      </c>
      <c r="D149" s="14" t="s">
        <v>175</v>
      </c>
      <c r="E149" s="15" t="str">
        <f>"212.28"</f>
        <v>212.28</v>
      </c>
      <c r="F149" s="15"/>
      <c r="G149" s="16" t="str">
        <f>"252.28"</f>
        <v>252.28</v>
      </c>
      <c r="H149" s="17" t="s">
        <v>38</v>
      </c>
      <c r="I149" s="15">
        <v>1</v>
      </c>
      <c r="J149" s="15">
        <v>2016</v>
      </c>
      <c r="K149" s="18" t="str">
        <f>"212.28"</f>
        <v>212.28</v>
      </c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</row>
    <row r="150" spans="1:31">
      <c r="A150" s="14">
        <v>148</v>
      </c>
      <c r="B150" s="14">
        <v>10088</v>
      </c>
      <c r="C150" s="14" t="s">
        <v>243</v>
      </c>
      <c r="D150" s="14" t="s">
        <v>37</v>
      </c>
      <c r="E150" s="15" t="str">
        <f>"212.34"</f>
        <v>212.34</v>
      </c>
      <c r="F150" s="15"/>
      <c r="G150" s="16" t="str">
        <f>"252.34"</f>
        <v>252.34</v>
      </c>
      <c r="H150" s="17" t="s">
        <v>38</v>
      </c>
      <c r="I150" s="15">
        <v>1</v>
      </c>
      <c r="J150" s="15">
        <v>2016</v>
      </c>
      <c r="K150" s="18" t="str">
        <f>"212.34"</f>
        <v>212.34</v>
      </c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</row>
    <row r="151" spans="1:31">
      <c r="A151" s="14">
        <v>149</v>
      </c>
      <c r="B151" s="14">
        <v>10987</v>
      </c>
      <c r="C151" s="14" t="s">
        <v>244</v>
      </c>
      <c r="D151" s="14" t="s">
        <v>156</v>
      </c>
      <c r="E151" s="15" t="str">
        <f>"252.54"</f>
        <v>252.54</v>
      </c>
      <c r="F151" s="15"/>
      <c r="G151" s="16" t="str">
        <f>"252.54"</f>
        <v>252.54</v>
      </c>
      <c r="H151" s="17"/>
      <c r="I151" s="15">
        <v>5</v>
      </c>
      <c r="J151" s="15">
        <v>2016</v>
      </c>
      <c r="K151" s="18"/>
      <c r="L151" s="18"/>
      <c r="M151" s="18"/>
      <c r="N151" s="18" t="str">
        <f>"272.06"</f>
        <v>272.06</v>
      </c>
      <c r="O151" s="18"/>
      <c r="P151" s="18"/>
      <c r="Q151" s="18" t="str">
        <f>"233.02"</f>
        <v>233.02</v>
      </c>
      <c r="R151" s="18" t="str">
        <f>"305.44"</f>
        <v>305.44</v>
      </c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</row>
    <row r="152" spans="1:31">
      <c r="A152" s="14">
        <v>150</v>
      </c>
      <c r="B152" s="14">
        <v>10667</v>
      </c>
      <c r="C152" s="14" t="s">
        <v>245</v>
      </c>
      <c r="D152" s="14" t="s">
        <v>55</v>
      </c>
      <c r="E152" s="15" t="str">
        <f>"253.33"</f>
        <v>253.33</v>
      </c>
      <c r="F152" s="15"/>
      <c r="G152" s="16" t="str">
        <f>"253.33"</f>
        <v>253.33</v>
      </c>
      <c r="H152" s="17" t="s">
        <v>40</v>
      </c>
      <c r="I152" s="15">
        <v>4</v>
      </c>
      <c r="J152" s="15">
        <v>2016</v>
      </c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 t="str">
        <f>"213.33"</f>
        <v>213.33</v>
      </c>
      <c r="Y152" s="18"/>
      <c r="Z152" s="18"/>
      <c r="AA152" s="18"/>
      <c r="AB152" s="18"/>
      <c r="AC152" s="18"/>
      <c r="AD152" s="18"/>
      <c r="AE152" s="18"/>
    </row>
    <row r="153" spans="1:31">
      <c r="A153" s="14">
        <v>151</v>
      </c>
      <c r="B153" s="14">
        <v>4176</v>
      </c>
      <c r="C153" s="14" t="s">
        <v>246</v>
      </c>
      <c r="D153" s="14" t="s">
        <v>247</v>
      </c>
      <c r="E153" s="15" t="str">
        <f>"213.42"</f>
        <v>213.42</v>
      </c>
      <c r="F153" s="15"/>
      <c r="G153" s="16" t="str">
        <f>"253.42"</f>
        <v>253.42</v>
      </c>
      <c r="H153" s="17" t="s">
        <v>38</v>
      </c>
      <c r="I153" s="15">
        <v>1</v>
      </c>
      <c r="J153" s="15">
        <v>2016</v>
      </c>
      <c r="K153" s="18" t="str">
        <f>"213.42"</f>
        <v>213.42</v>
      </c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</row>
    <row r="154" spans="1:31">
      <c r="A154" s="14">
        <v>152</v>
      </c>
      <c r="B154" s="14">
        <v>1882</v>
      </c>
      <c r="C154" s="14" t="s">
        <v>248</v>
      </c>
      <c r="D154" s="14" t="s">
        <v>37</v>
      </c>
      <c r="E154" s="15" t="str">
        <f>"190.21"</f>
        <v>190.21</v>
      </c>
      <c r="F154" s="15"/>
      <c r="G154" s="16" t="str">
        <f>"253.46"</f>
        <v>253.46</v>
      </c>
      <c r="H154" s="17"/>
      <c r="I154" s="15">
        <v>3</v>
      </c>
      <c r="J154" s="15">
        <v>2016</v>
      </c>
      <c r="K154" s="18" t="str">
        <f>"190.21"</f>
        <v>190.21</v>
      </c>
      <c r="L154" s="18" t="str">
        <f>"245.35"</f>
        <v>245.35</v>
      </c>
      <c r="M154" s="18" t="str">
        <f>"291.61"</f>
        <v>291.61</v>
      </c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 t="str">
        <f>"261.57"</f>
        <v>261.57</v>
      </c>
      <c r="AB154" s="18"/>
      <c r="AC154" s="18"/>
      <c r="AD154" s="18"/>
      <c r="AE154" s="18"/>
    </row>
    <row r="155" spans="1:31">
      <c r="A155" s="14">
        <v>153</v>
      </c>
      <c r="B155" s="14">
        <v>257</v>
      </c>
      <c r="C155" s="14" t="s">
        <v>249</v>
      </c>
      <c r="D155" s="14" t="s">
        <v>250</v>
      </c>
      <c r="E155" s="15" t="str">
        <f>"213.63"</f>
        <v>213.63</v>
      </c>
      <c r="F155" s="15"/>
      <c r="G155" s="16" t="str">
        <f>"253.63"</f>
        <v>253.63</v>
      </c>
      <c r="H155" s="17" t="s">
        <v>38</v>
      </c>
      <c r="I155" s="15">
        <v>1</v>
      </c>
      <c r="J155" s="15">
        <v>2016</v>
      </c>
      <c r="K155" s="18" t="str">
        <f>"213.63"</f>
        <v>213.63</v>
      </c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</row>
    <row r="156" spans="1:31">
      <c r="A156" s="14">
        <v>154</v>
      </c>
      <c r="B156" s="14">
        <v>4380</v>
      </c>
      <c r="C156" s="14" t="s">
        <v>251</v>
      </c>
      <c r="D156" s="14" t="s">
        <v>241</v>
      </c>
      <c r="E156" s="15" t="str">
        <f>"230.81"</f>
        <v>230.81</v>
      </c>
      <c r="F156" s="15"/>
      <c r="G156" s="16" t="str">
        <f>"253.74"</f>
        <v>253.74</v>
      </c>
      <c r="H156" s="17"/>
      <c r="I156" s="15">
        <v>3</v>
      </c>
      <c r="J156" s="15">
        <v>2016</v>
      </c>
      <c r="K156" s="18" t="str">
        <f>"230.81"</f>
        <v>230.81</v>
      </c>
      <c r="L156" s="18"/>
      <c r="M156" s="18"/>
      <c r="N156" s="18"/>
      <c r="O156" s="18"/>
      <c r="P156" s="18"/>
      <c r="Q156" s="18"/>
      <c r="R156" s="18"/>
      <c r="S156" s="18"/>
      <c r="T156" s="18" t="str">
        <f>"294.45"</f>
        <v>294.45</v>
      </c>
      <c r="U156" s="18"/>
      <c r="V156" s="18"/>
      <c r="W156" s="18"/>
      <c r="X156" s="18"/>
      <c r="Y156" s="18"/>
      <c r="Z156" s="18"/>
      <c r="AA156" s="18"/>
      <c r="AB156" s="18" t="str">
        <f>"241.61"</f>
        <v>241.61</v>
      </c>
      <c r="AC156" s="18" t="str">
        <f>"265.87"</f>
        <v>265.87</v>
      </c>
      <c r="AD156" s="18"/>
      <c r="AE156" s="18"/>
    </row>
    <row r="157" spans="1:31">
      <c r="A157" s="14">
        <v>155</v>
      </c>
      <c r="B157" s="14">
        <v>10367</v>
      </c>
      <c r="C157" s="14" t="s">
        <v>252</v>
      </c>
      <c r="D157" s="14" t="s">
        <v>236</v>
      </c>
      <c r="E157" s="15" t="str">
        <f>"291.74"</f>
        <v>291.74</v>
      </c>
      <c r="F157" s="15"/>
      <c r="G157" s="16" t="str">
        <f>"255.67"</f>
        <v>255.67</v>
      </c>
      <c r="H157" s="17" t="s">
        <v>40</v>
      </c>
      <c r="I157" s="15">
        <v>2</v>
      </c>
      <c r="J157" s="15">
        <v>2016</v>
      </c>
      <c r="K157" s="18" t="str">
        <f>"367.81"</f>
        <v>367.81</v>
      </c>
      <c r="L157" s="18"/>
      <c r="M157" s="18"/>
      <c r="N157" s="18"/>
      <c r="O157" s="18"/>
      <c r="P157" s="18" t="str">
        <f>"215.67"</f>
        <v>215.67</v>
      </c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</row>
    <row r="158" spans="1:31">
      <c r="A158" s="14">
        <v>156</v>
      </c>
      <c r="B158" s="14">
        <v>3103</v>
      </c>
      <c r="C158" s="14" t="s">
        <v>253</v>
      </c>
      <c r="D158" s="14" t="s">
        <v>112</v>
      </c>
      <c r="E158" s="15" t="str">
        <f>"215.74"</f>
        <v>215.74</v>
      </c>
      <c r="F158" s="15"/>
      <c r="G158" s="16" t="str">
        <f>"255.74"</f>
        <v>255.74</v>
      </c>
      <c r="H158" s="17" t="s">
        <v>38</v>
      </c>
      <c r="I158" s="15">
        <v>1</v>
      </c>
      <c r="J158" s="15">
        <v>2016</v>
      </c>
      <c r="K158" s="18" t="str">
        <f>"215.74"</f>
        <v>215.74</v>
      </c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</row>
    <row r="159" spans="1:31">
      <c r="A159" s="14">
        <v>157</v>
      </c>
      <c r="B159" s="14">
        <v>1164</v>
      </c>
      <c r="C159" s="14" t="s">
        <v>254</v>
      </c>
      <c r="D159" s="14" t="s">
        <v>255</v>
      </c>
      <c r="E159" s="15" t="str">
        <f>"215.98"</f>
        <v>215.98</v>
      </c>
      <c r="F159" s="15"/>
      <c r="G159" s="16" t="str">
        <f>"255.98"</f>
        <v>255.98</v>
      </c>
      <c r="H159" s="17" t="s">
        <v>38</v>
      </c>
      <c r="I159" s="15">
        <v>1</v>
      </c>
      <c r="J159" s="15">
        <v>2016</v>
      </c>
      <c r="K159" s="18" t="str">
        <f>"215.98"</f>
        <v>215.98</v>
      </c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</row>
    <row r="160" spans="1:31">
      <c r="A160" s="14">
        <v>158</v>
      </c>
      <c r="B160" s="14">
        <v>2419</v>
      </c>
      <c r="C160" s="14" t="s">
        <v>256</v>
      </c>
      <c r="D160" s="14" t="s">
        <v>241</v>
      </c>
      <c r="E160" s="15" t="str">
        <f>"253.37"</f>
        <v>253.37</v>
      </c>
      <c r="F160" s="15"/>
      <c r="G160" s="16" t="str">
        <f>"256.97"</f>
        <v>256.97</v>
      </c>
      <c r="H160" s="17"/>
      <c r="I160" s="15">
        <v>3</v>
      </c>
      <c r="J160" s="15">
        <v>2016</v>
      </c>
      <c r="K160" s="18" t="str">
        <f>"277.70"</f>
        <v>277.70</v>
      </c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 t="str">
        <f>"284.90"</f>
        <v>284.90</v>
      </c>
      <c r="AE160" s="18" t="str">
        <f>"229.04"</f>
        <v>229.04</v>
      </c>
    </row>
    <row r="161" spans="1:31">
      <c r="A161" s="14">
        <v>159</v>
      </c>
      <c r="B161" s="14">
        <v>11015</v>
      </c>
      <c r="C161" s="14" t="s">
        <v>257</v>
      </c>
      <c r="D161" s="14" t="s">
        <v>55</v>
      </c>
      <c r="E161" s="15" t="str">
        <f>"257.81"</f>
        <v>257.81</v>
      </c>
      <c r="F161" s="15"/>
      <c r="G161" s="16" t="str">
        <f>"257.81"</f>
        <v>257.81</v>
      </c>
      <c r="H161" s="17"/>
      <c r="I161" s="15">
        <v>5</v>
      </c>
      <c r="J161" s="15">
        <v>2016</v>
      </c>
      <c r="K161" s="18"/>
      <c r="L161" s="18"/>
      <c r="M161" s="18"/>
      <c r="N161" s="18" t="str">
        <f>"286.90"</f>
        <v>286.90</v>
      </c>
      <c r="O161" s="18"/>
      <c r="P161" s="18" t="str">
        <f>"228.71"</f>
        <v>228.71</v>
      </c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</row>
    <row r="162" spans="1:31">
      <c r="A162" s="14">
        <v>160</v>
      </c>
      <c r="B162" s="14">
        <v>2390</v>
      </c>
      <c r="C162" s="14" t="s">
        <v>258</v>
      </c>
      <c r="D162" s="14" t="s">
        <v>37</v>
      </c>
      <c r="E162" s="15" t="str">
        <f>"226.04"</f>
        <v>226.04</v>
      </c>
      <c r="F162" s="15"/>
      <c r="G162" s="16" t="str">
        <f>"259.58"</f>
        <v>259.58</v>
      </c>
      <c r="H162" s="17"/>
      <c r="I162" s="15">
        <v>3</v>
      </c>
      <c r="J162" s="15">
        <v>2016</v>
      </c>
      <c r="K162" s="18" t="str">
        <f>"226.04"</f>
        <v>226.04</v>
      </c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 t="str">
        <f>"270.92"</f>
        <v>270.92</v>
      </c>
      <c r="W162" s="18"/>
      <c r="X162" s="18"/>
      <c r="Y162" s="18"/>
      <c r="Z162" s="18"/>
      <c r="AA162" s="18" t="str">
        <f>"248.23"</f>
        <v>248.23</v>
      </c>
      <c r="AB162" s="18"/>
      <c r="AC162" s="18"/>
      <c r="AD162" s="18"/>
      <c r="AE162" s="18"/>
    </row>
    <row r="163" spans="1:31">
      <c r="A163" s="14">
        <v>161</v>
      </c>
      <c r="B163" s="14">
        <v>10825</v>
      </c>
      <c r="C163" s="14" t="s">
        <v>259</v>
      </c>
      <c r="D163" s="14" t="s">
        <v>76</v>
      </c>
      <c r="E163" s="15" t="str">
        <f>"260.38"</f>
        <v>260.38</v>
      </c>
      <c r="F163" s="15"/>
      <c r="G163" s="16" t="str">
        <f>"260.38"</f>
        <v>260.38</v>
      </c>
      <c r="H163" s="17"/>
      <c r="I163" s="15">
        <v>5</v>
      </c>
      <c r="J163" s="15">
        <v>2016</v>
      </c>
      <c r="K163" s="18"/>
      <c r="L163" s="18"/>
      <c r="M163" s="18"/>
      <c r="N163" s="18"/>
      <c r="O163" s="18" t="str">
        <f>"288.67"</f>
        <v>288.67</v>
      </c>
      <c r="P163" s="18"/>
      <c r="Q163" s="18"/>
      <c r="R163" s="18"/>
      <c r="S163" s="18" t="str">
        <f>"345.07"</f>
        <v>345.07</v>
      </c>
      <c r="T163" s="18"/>
      <c r="U163" s="18"/>
      <c r="V163" s="18"/>
      <c r="W163" s="18" t="str">
        <f>"232.08"</f>
        <v>232.08</v>
      </c>
      <c r="X163" s="18"/>
      <c r="Y163" s="18"/>
      <c r="Z163" s="18"/>
      <c r="AA163" s="18"/>
      <c r="AB163" s="18"/>
      <c r="AC163" s="18"/>
      <c r="AD163" s="18"/>
      <c r="AE163" s="18"/>
    </row>
    <row r="164" spans="1:31">
      <c r="A164" s="14">
        <v>162</v>
      </c>
      <c r="B164" s="14">
        <v>11074</v>
      </c>
      <c r="C164" s="14" t="s">
        <v>260</v>
      </c>
      <c r="D164" s="14" t="s">
        <v>123</v>
      </c>
      <c r="E164" s="15" t="str">
        <f>"261.71"</f>
        <v>261.71</v>
      </c>
      <c r="F164" s="15"/>
      <c r="G164" s="16" t="str">
        <f>"261.71"</f>
        <v>261.71</v>
      </c>
      <c r="H164" s="17" t="s">
        <v>40</v>
      </c>
      <c r="I164" s="15">
        <v>4</v>
      </c>
      <c r="J164" s="15">
        <v>2016</v>
      </c>
      <c r="K164" s="18"/>
      <c r="L164" s="18"/>
      <c r="M164" s="18"/>
      <c r="N164" s="18"/>
      <c r="O164" s="18"/>
      <c r="P164" s="18" t="str">
        <f>"221.71"</f>
        <v>221.71</v>
      </c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</row>
    <row r="165" spans="1:31">
      <c r="A165" s="14">
        <v>163</v>
      </c>
      <c r="B165" s="14">
        <v>1794</v>
      </c>
      <c r="C165" s="14" t="s">
        <v>261</v>
      </c>
      <c r="D165" s="14" t="s">
        <v>37</v>
      </c>
      <c r="E165" s="15" t="str">
        <f>"222.44"</f>
        <v>222.44</v>
      </c>
      <c r="F165" s="15"/>
      <c r="G165" s="16" t="str">
        <f>"262.44"</f>
        <v>262.44</v>
      </c>
      <c r="H165" s="17" t="s">
        <v>38</v>
      </c>
      <c r="I165" s="15">
        <v>1</v>
      </c>
      <c r="J165" s="15">
        <v>2016</v>
      </c>
      <c r="K165" s="18" t="str">
        <f>"222.44"</f>
        <v>222.44</v>
      </c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</row>
    <row r="166" spans="1:31">
      <c r="A166" s="14">
        <v>164</v>
      </c>
      <c r="B166" s="14">
        <v>3870</v>
      </c>
      <c r="C166" s="14" t="s">
        <v>262</v>
      </c>
      <c r="D166" s="14" t="s">
        <v>92</v>
      </c>
      <c r="E166" s="15" t="str">
        <f>"206.46"</f>
        <v>206.46</v>
      </c>
      <c r="F166" s="15"/>
      <c r="G166" s="16" t="str">
        <f>"262.82"</f>
        <v>262.82</v>
      </c>
      <c r="H166" s="17"/>
      <c r="I166" s="15">
        <v>3</v>
      </c>
      <c r="J166" s="15">
        <v>2016</v>
      </c>
      <c r="K166" s="18" t="str">
        <f>"206.46"</f>
        <v>206.46</v>
      </c>
      <c r="L166" s="18"/>
      <c r="M166" s="18"/>
      <c r="N166" s="18"/>
      <c r="O166" s="18"/>
      <c r="P166" s="18"/>
      <c r="Q166" s="18"/>
      <c r="R166" s="18"/>
      <c r="S166" s="18"/>
      <c r="T166" s="18" t="str">
        <f>"277.36"</f>
        <v>277.36</v>
      </c>
      <c r="U166" s="18"/>
      <c r="V166" s="18"/>
      <c r="W166" s="18"/>
      <c r="X166" s="18"/>
      <c r="Y166" s="18"/>
      <c r="Z166" s="18"/>
      <c r="AA166" s="18"/>
      <c r="AB166" s="18"/>
      <c r="AC166" s="18"/>
      <c r="AD166" s="18" t="str">
        <f>"248.27"</f>
        <v>248.27</v>
      </c>
      <c r="AE166" s="18"/>
    </row>
    <row r="167" spans="1:31">
      <c r="A167" s="14">
        <v>165</v>
      </c>
      <c r="B167" s="14">
        <v>8172</v>
      </c>
      <c r="C167" s="14" t="s">
        <v>263</v>
      </c>
      <c r="D167" s="14" t="s">
        <v>264</v>
      </c>
      <c r="E167" s="15" t="str">
        <f>"223.24"</f>
        <v>223.24</v>
      </c>
      <c r="F167" s="15"/>
      <c r="G167" s="16" t="str">
        <f>"263.24"</f>
        <v>263.24</v>
      </c>
      <c r="H167" s="17" t="s">
        <v>38</v>
      </c>
      <c r="I167" s="15">
        <v>1</v>
      </c>
      <c r="J167" s="15">
        <v>2016</v>
      </c>
      <c r="K167" s="18" t="str">
        <f>"223.24"</f>
        <v>223.24</v>
      </c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</row>
    <row r="168" spans="1:31">
      <c r="A168" s="14">
        <v>166</v>
      </c>
      <c r="B168" s="14">
        <v>4499</v>
      </c>
      <c r="C168" s="14" t="s">
        <v>265</v>
      </c>
      <c r="D168" s="14" t="s">
        <v>52</v>
      </c>
      <c r="E168" s="15" t="str">
        <f>"218.85"</f>
        <v>218.85</v>
      </c>
      <c r="F168" s="15"/>
      <c r="G168" s="16" t="str">
        <f>"263.85"</f>
        <v>263.85</v>
      </c>
      <c r="H168" s="17" t="s">
        <v>40</v>
      </c>
      <c r="I168" s="15">
        <v>2</v>
      </c>
      <c r="J168" s="15">
        <v>2016</v>
      </c>
      <c r="K168" s="18" t="str">
        <f>"218.85"</f>
        <v>218.85</v>
      </c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 t="str">
        <f>"223.85"</f>
        <v>223.85</v>
      </c>
      <c r="AE168" s="18"/>
    </row>
    <row r="169" spans="1:31">
      <c r="A169" s="14">
        <v>167</v>
      </c>
      <c r="B169" s="14">
        <v>10711</v>
      </c>
      <c r="C169" s="14" t="s">
        <v>266</v>
      </c>
      <c r="D169" s="14" t="s">
        <v>45</v>
      </c>
      <c r="E169" s="15" t="str">
        <f>"264.37"</f>
        <v>264.37</v>
      </c>
      <c r="F169" s="15"/>
      <c r="G169" s="16" t="str">
        <f>"264.37"</f>
        <v>264.37</v>
      </c>
      <c r="H169" s="17"/>
      <c r="I169" s="15">
        <v>3</v>
      </c>
      <c r="J169" s="15">
        <v>2016</v>
      </c>
      <c r="K169" s="18" t="str">
        <f>"410.86"</f>
        <v>410.86</v>
      </c>
      <c r="L169" s="18"/>
      <c r="M169" s="18"/>
      <c r="N169" s="18" t="str">
        <f>"356.80"</f>
        <v>356.80</v>
      </c>
      <c r="O169" s="18"/>
      <c r="P169" s="18"/>
      <c r="Q169" s="18" t="str">
        <f>"298.25"</f>
        <v>298.25</v>
      </c>
      <c r="R169" s="18" t="str">
        <f>"230.48"</f>
        <v>230.48</v>
      </c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</row>
    <row r="170" spans="1:31">
      <c r="A170" s="14">
        <v>168</v>
      </c>
      <c r="B170" s="14">
        <v>10740</v>
      </c>
      <c r="C170" s="14" t="s">
        <v>267</v>
      </c>
      <c r="D170" s="14" t="s">
        <v>76</v>
      </c>
      <c r="E170" s="15" t="str">
        <f>"264.69"</f>
        <v>264.69</v>
      </c>
      <c r="F170" s="15"/>
      <c r="G170" s="16" t="str">
        <f>"264.69"</f>
        <v>264.69</v>
      </c>
      <c r="H170" s="17"/>
      <c r="I170" s="15">
        <v>5</v>
      </c>
      <c r="J170" s="15">
        <v>2016</v>
      </c>
      <c r="K170" s="18"/>
      <c r="L170" s="18"/>
      <c r="M170" s="18"/>
      <c r="N170" s="18"/>
      <c r="O170" s="18"/>
      <c r="P170" s="18"/>
      <c r="Q170" s="18"/>
      <c r="R170" s="18"/>
      <c r="S170" s="18" t="str">
        <f>"415.98"</f>
        <v>415.98</v>
      </c>
      <c r="T170" s="18"/>
      <c r="U170" s="18"/>
      <c r="V170" s="18"/>
      <c r="W170" s="18" t="str">
        <f>"363.62"</f>
        <v>363.62</v>
      </c>
      <c r="X170" s="18"/>
      <c r="Y170" s="18"/>
      <c r="Z170" s="18"/>
      <c r="AA170" s="18"/>
      <c r="AB170" s="18"/>
      <c r="AC170" s="18"/>
      <c r="AD170" s="18" t="str">
        <f>"277.30"</f>
        <v>277.30</v>
      </c>
      <c r="AE170" s="18" t="str">
        <f>"252.07"</f>
        <v>252.07</v>
      </c>
    </row>
    <row r="171" spans="1:31">
      <c r="A171" s="14">
        <v>169</v>
      </c>
      <c r="B171" s="14">
        <v>3302</v>
      </c>
      <c r="C171" s="14" t="s">
        <v>268</v>
      </c>
      <c r="D171" s="14" t="s">
        <v>269</v>
      </c>
      <c r="E171" s="15" t="str">
        <f>"225.92"</f>
        <v>225.92</v>
      </c>
      <c r="F171" s="15"/>
      <c r="G171" s="16" t="str">
        <f>"265.92"</f>
        <v>265.92</v>
      </c>
      <c r="H171" s="17" t="s">
        <v>38</v>
      </c>
      <c r="I171" s="15">
        <v>1</v>
      </c>
      <c r="J171" s="15">
        <v>2016</v>
      </c>
      <c r="K171" s="18" t="str">
        <f>"225.92"</f>
        <v>225.92</v>
      </c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</row>
    <row r="172" spans="1:31">
      <c r="A172" s="14">
        <v>170</v>
      </c>
      <c r="B172" s="14">
        <v>2223</v>
      </c>
      <c r="C172" s="14" t="s">
        <v>270</v>
      </c>
      <c r="D172" s="14" t="s">
        <v>45</v>
      </c>
      <c r="E172" s="15" t="str">
        <f>"226.29"</f>
        <v>226.29</v>
      </c>
      <c r="F172" s="15"/>
      <c r="G172" s="16" t="str">
        <f>"266.05"</f>
        <v>266.05</v>
      </c>
      <c r="H172" s="17"/>
      <c r="I172" s="15">
        <v>3</v>
      </c>
      <c r="J172" s="15">
        <v>2016</v>
      </c>
      <c r="K172" s="18" t="str">
        <f>"226.29"</f>
        <v>226.29</v>
      </c>
      <c r="L172" s="18"/>
      <c r="M172" s="18"/>
      <c r="N172" s="18"/>
      <c r="O172" s="18"/>
      <c r="P172" s="18"/>
      <c r="Q172" s="18"/>
      <c r="R172" s="18"/>
      <c r="S172" s="18"/>
      <c r="T172" s="18" t="str">
        <f>"244.17"</f>
        <v>244.17</v>
      </c>
      <c r="U172" s="18"/>
      <c r="V172" s="18"/>
      <c r="W172" s="18"/>
      <c r="X172" s="18" t="str">
        <f>"287.93"</f>
        <v>287.93</v>
      </c>
      <c r="Y172" s="18"/>
      <c r="Z172" s="18"/>
      <c r="AA172" s="18"/>
      <c r="AB172" s="18"/>
      <c r="AC172" s="18"/>
      <c r="AD172" s="18"/>
      <c r="AE172" s="18"/>
    </row>
    <row r="173" spans="1:31">
      <c r="A173" s="14">
        <v>171</v>
      </c>
      <c r="B173" s="14">
        <v>10271</v>
      </c>
      <c r="C173" s="14" t="s">
        <v>271</v>
      </c>
      <c r="D173" s="14" t="s">
        <v>76</v>
      </c>
      <c r="E173" s="15" t="str">
        <f>"227.29"</f>
        <v>227.29</v>
      </c>
      <c r="F173" s="15"/>
      <c r="G173" s="16" t="str">
        <f>"267.29"</f>
        <v>267.29</v>
      </c>
      <c r="H173" s="17" t="s">
        <v>38</v>
      </c>
      <c r="I173" s="15">
        <v>1</v>
      </c>
      <c r="J173" s="15">
        <v>2016</v>
      </c>
      <c r="K173" s="18" t="str">
        <f>"227.29"</f>
        <v>227.29</v>
      </c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</row>
    <row r="174" spans="1:31">
      <c r="A174" s="14">
        <v>172</v>
      </c>
      <c r="B174" s="14">
        <v>1832</v>
      </c>
      <c r="C174" s="14" t="s">
        <v>272</v>
      </c>
      <c r="D174" s="14" t="s">
        <v>255</v>
      </c>
      <c r="E174" s="15" t="str">
        <f>"228.90"</f>
        <v>228.90</v>
      </c>
      <c r="F174" s="15"/>
      <c r="G174" s="16" t="str">
        <f>"268.90"</f>
        <v>268.90</v>
      </c>
      <c r="H174" s="17" t="s">
        <v>38</v>
      </c>
      <c r="I174" s="15">
        <v>1</v>
      </c>
      <c r="J174" s="15">
        <v>2016</v>
      </c>
      <c r="K174" s="18" t="str">
        <f>"228.90"</f>
        <v>228.90</v>
      </c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</row>
    <row r="175" spans="1:31">
      <c r="A175" s="14">
        <v>173</v>
      </c>
      <c r="B175" s="14">
        <v>6769</v>
      </c>
      <c r="C175" s="14" t="s">
        <v>273</v>
      </c>
      <c r="D175" s="14" t="s">
        <v>274</v>
      </c>
      <c r="E175" s="15" t="str">
        <f>"230.17"</f>
        <v>230.17</v>
      </c>
      <c r="F175" s="15"/>
      <c r="G175" s="16" t="str">
        <f>"270.17"</f>
        <v>270.17</v>
      </c>
      <c r="H175" s="17" t="s">
        <v>38</v>
      </c>
      <c r="I175" s="15">
        <v>1</v>
      </c>
      <c r="J175" s="15">
        <v>2016</v>
      </c>
      <c r="K175" s="18" t="str">
        <f>"230.17"</f>
        <v>230.17</v>
      </c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</row>
    <row r="176" spans="1:31">
      <c r="A176" s="14">
        <v>174</v>
      </c>
      <c r="B176" s="14">
        <v>4047</v>
      </c>
      <c r="C176" s="14" t="s">
        <v>275</v>
      </c>
      <c r="D176" s="14" t="s">
        <v>276</v>
      </c>
      <c r="E176" s="15" t="str">
        <f>"245.19"</f>
        <v>245.19</v>
      </c>
      <c r="F176" s="15"/>
      <c r="G176" s="16" t="str">
        <f>"270.17"</f>
        <v>270.17</v>
      </c>
      <c r="H176" s="17" t="s">
        <v>40</v>
      </c>
      <c r="I176" s="15">
        <v>2</v>
      </c>
      <c r="J176" s="15">
        <v>2016</v>
      </c>
      <c r="K176" s="18" t="str">
        <f>"260.21"</f>
        <v>260.21</v>
      </c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 t="str">
        <f>"230.17"</f>
        <v>230.17</v>
      </c>
      <c r="Y176" s="18"/>
      <c r="Z176" s="18"/>
      <c r="AA176" s="18"/>
      <c r="AB176" s="18"/>
      <c r="AC176" s="18"/>
      <c r="AD176" s="18"/>
      <c r="AE176" s="18"/>
    </row>
    <row r="177" spans="1:31">
      <c r="A177" s="14">
        <v>175</v>
      </c>
      <c r="B177" s="14">
        <v>10668</v>
      </c>
      <c r="C177" s="14" t="s">
        <v>277</v>
      </c>
      <c r="D177" s="14" t="s">
        <v>55</v>
      </c>
      <c r="E177" s="15" t="str">
        <f>"264.35"</f>
        <v>264.35</v>
      </c>
      <c r="F177" s="15"/>
      <c r="G177" s="16" t="str">
        <f>"270.88"</f>
        <v>270.88</v>
      </c>
      <c r="H177" s="17"/>
      <c r="I177" s="15">
        <v>3</v>
      </c>
      <c r="J177" s="15">
        <v>2016</v>
      </c>
      <c r="K177" s="18" t="str">
        <f>"275.15"</f>
        <v>275.15</v>
      </c>
      <c r="L177" s="18"/>
      <c r="M177" s="18"/>
      <c r="N177" s="18" t="str">
        <f>"288.21"</f>
        <v>288.21</v>
      </c>
      <c r="O177" s="18"/>
      <c r="P177" s="18"/>
      <c r="Q177" s="18" t="str">
        <f>"253.54"</f>
        <v>253.54</v>
      </c>
      <c r="R177" s="18" t="str">
        <f>"350.80"</f>
        <v>350.80</v>
      </c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</row>
    <row r="178" spans="1:31">
      <c r="A178" s="14">
        <v>176</v>
      </c>
      <c r="B178" s="14">
        <v>8344</v>
      </c>
      <c r="C178" s="14" t="s">
        <v>278</v>
      </c>
      <c r="D178" s="14" t="s">
        <v>76</v>
      </c>
      <c r="E178" s="15" t="str">
        <f>"236.27"</f>
        <v>236.27</v>
      </c>
      <c r="F178" s="15"/>
      <c r="G178" s="16" t="str">
        <f>"270.92"</f>
        <v>270.92</v>
      </c>
      <c r="H178" s="17"/>
      <c r="I178" s="15">
        <v>3</v>
      </c>
      <c r="J178" s="15">
        <v>2016</v>
      </c>
      <c r="K178" s="18" t="str">
        <f>"238.26"</f>
        <v>238.26</v>
      </c>
      <c r="L178" s="18"/>
      <c r="M178" s="18"/>
      <c r="N178" s="18"/>
      <c r="O178" s="18"/>
      <c r="P178" s="18"/>
      <c r="Q178" s="18"/>
      <c r="R178" s="18"/>
      <c r="S178" s="18" t="str">
        <f>"307.57"</f>
        <v>307.57</v>
      </c>
      <c r="T178" s="18"/>
      <c r="U178" s="18"/>
      <c r="V178" s="18"/>
      <c r="W178" s="18" t="str">
        <f>"234.27"</f>
        <v>234.27</v>
      </c>
      <c r="X178" s="18"/>
      <c r="Y178" s="18"/>
      <c r="Z178" s="18"/>
      <c r="AA178" s="18"/>
      <c r="AB178" s="18"/>
      <c r="AC178" s="18"/>
      <c r="AD178" s="18"/>
      <c r="AE178" s="18"/>
    </row>
    <row r="179" spans="1:31">
      <c r="A179" s="14">
        <v>177</v>
      </c>
      <c r="B179" s="14">
        <v>2201</v>
      </c>
      <c r="C179" s="14" t="s">
        <v>279</v>
      </c>
      <c r="D179" s="14" t="s">
        <v>37</v>
      </c>
      <c r="E179" s="15" t="str">
        <f>"240.38"</f>
        <v>240.38</v>
      </c>
      <c r="F179" s="15"/>
      <c r="G179" s="16" t="str">
        <f>"273.54"</f>
        <v>273.54</v>
      </c>
      <c r="H179" s="17"/>
      <c r="I179" s="15">
        <v>3</v>
      </c>
      <c r="J179" s="15">
        <v>2016</v>
      </c>
      <c r="K179" s="18" t="str">
        <f>"240.38"</f>
        <v>240.38</v>
      </c>
      <c r="L179" s="18" t="str">
        <f>"292.08"</f>
        <v>292.08</v>
      </c>
      <c r="M179" s="18" t="str">
        <f>"271.62"</f>
        <v>271.62</v>
      </c>
      <c r="N179" s="18"/>
      <c r="O179" s="18"/>
      <c r="P179" s="18"/>
      <c r="Q179" s="18"/>
      <c r="R179" s="18"/>
      <c r="S179" s="18"/>
      <c r="T179" s="18"/>
      <c r="U179" s="18" t="str">
        <f>"275.45"</f>
        <v>275.45</v>
      </c>
      <c r="V179" s="18" t="str">
        <f>"276.54"</f>
        <v>276.54</v>
      </c>
      <c r="W179" s="18"/>
      <c r="X179" s="18"/>
      <c r="Y179" s="18"/>
      <c r="Z179" s="18" t="str">
        <f>"302.33"</f>
        <v>302.33</v>
      </c>
      <c r="AA179" s="18" t="str">
        <f>"329.90"</f>
        <v>329.90</v>
      </c>
      <c r="AB179" s="18"/>
      <c r="AC179" s="18"/>
      <c r="AD179" s="18"/>
      <c r="AE179" s="18"/>
    </row>
    <row r="180" spans="1:31">
      <c r="A180" s="14">
        <v>178</v>
      </c>
      <c r="B180" s="14">
        <v>517</v>
      </c>
      <c r="C180" s="14" t="s">
        <v>280</v>
      </c>
      <c r="D180" s="14" t="s">
        <v>281</v>
      </c>
      <c r="E180" s="15" t="str">
        <f>"179.89"</f>
        <v>179.89</v>
      </c>
      <c r="F180" s="15"/>
      <c r="G180" s="16" t="str">
        <f>"273.99"</f>
        <v>273.99</v>
      </c>
      <c r="H180" s="17"/>
      <c r="I180" s="15">
        <v>3</v>
      </c>
      <c r="J180" s="15">
        <v>2016</v>
      </c>
      <c r="K180" s="18" t="str">
        <f>"179.89"</f>
        <v>179.89</v>
      </c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 t="str">
        <f>"220.83"</f>
        <v>220.83</v>
      </c>
      <c r="Y180" s="18"/>
      <c r="Z180" s="18"/>
      <c r="AA180" s="18"/>
      <c r="AB180" s="18"/>
      <c r="AC180" s="18"/>
      <c r="AD180" s="18" t="str">
        <f>"327.14"</f>
        <v>327.14</v>
      </c>
      <c r="AE180" s="18"/>
    </row>
    <row r="181" spans="1:31">
      <c r="A181" s="14">
        <v>179</v>
      </c>
      <c r="B181" s="14">
        <v>5747</v>
      </c>
      <c r="C181" s="14" t="s">
        <v>282</v>
      </c>
      <c r="D181" s="14" t="s">
        <v>283</v>
      </c>
      <c r="E181" s="15" t="str">
        <f>"237.03"</f>
        <v>237.03</v>
      </c>
      <c r="F181" s="15"/>
      <c r="G181" s="16" t="str">
        <f>"277.03"</f>
        <v>277.03</v>
      </c>
      <c r="H181" s="17" t="s">
        <v>38</v>
      </c>
      <c r="I181" s="15">
        <v>1</v>
      </c>
      <c r="J181" s="15">
        <v>2016</v>
      </c>
      <c r="K181" s="18" t="str">
        <f>"237.03"</f>
        <v>237.03</v>
      </c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</row>
    <row r="182" spans="1:31">
      <c r="A182" s="14">
        <v>180</v>
      </c>
      <c r="B182" s="14">
        <v>10039</v>
      </c>
      <c r="C182" s="14" t="s">
        <v>284</v>
      </c>
      <c r="D182" s="14" t="s">
        <v>37</v>
      </c>
      <c r="E182" s="15" t="str">
        <f>"241.35"</f>
        <v>241.35</v>
      </c>
      <c r="F182" s="15"/>
      <c r="G182" s="16" t="str">
        <f>"281.35"</f>
        <v>281.35</v>
      </c>
      <c r="H182" s="17" t="s">
        <v>38</v>
      </c>
      <c r="I182" s="15">
        <v>1</v>
      </c>
      <c r="J182" s="15">
        <v>2016</v>
      </c>
      <c r="K182" s="18" t="str">
        <f>"241.35"</f>
        <v>241.35</v>
      </c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</row>
    <row r="183" spans="1:31">
      <c r="A183" s="14">
        <v>181</v>
      </c>
      <c r="B183" s="14">
        <v>5703</v>
      </c>
      <c r="C183" s="14" t="s">
        <v>285</v>
      </c>
      <c r="D183" s="14" t="s">
        <v>67</v>
      </c>
      <c r="E183" s="15" t="str">
        <f>"276.96"</f>
        <v>276.96</v>
      </c>
      <c r="F183" s="15"/>
      <c r="G183" s="16" t="str">
        <f>"282.07"</f>
        <v>282.07</v>
      </c>
      <c r="H183" s="17" t="s">
        <v>40</v>
      </c>
      <c r="I183" s="15">
        <v>2</v>
      </c>
      <c r="J183" s="15">
        <v>2016</v>
      </c>
      <c r="K183" s="18" t="str">
        <f>"311.84"</f>
        <v>311.84</v>
      </c>
      <c r="L183" s="18"/>
      <c r="M183" s="18"/>
      <c r="N183" s="18"/>
      <c r="O183" s="18"/>
      <c r="P183" s="18"/>
      <c r="Q183" s="18"/>
      <c r="R183" s="18"/>
      <c r="S183" s="18"/>
      <c r="T183" s="18" t="str">
        <f>"242.07"</f>
        <v>242.07</v>
      </c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</row>
    <row r="184" spans="1:31">
      <c r="A184" s="14">
        <v>182</v>
      </c>
      <c r="B184" s="14">
        <v>3207</v>
      </c>
      <c r="C184" s="14" t="s">
        <v>286</v>
      </c>
      <c r="D184" s="14" t="s">
        <v>287</v>
      </c>
      <c r="E184" s="15" t="str">
        <f>"243.44"</f>
        <v>243.44</v>
      </c>
      <c r="F184" s="15"/>
      <c r="G184" s="16" t="str">
        <f>"283.44"</f>
        <v>283.44</v>
      </c>
      <c r="H184" s="17" t="s">
        <v>38</v>
      </c>
      <c r="I184" s="15">
        <v>1</v>
      </c>
      <c r="J184" s="15">
        <v>2016</v>
      </c>
      <c r="K184" s="18" t="str">
        <f>"243.44"</f>
        <v>243.44</v>
      </c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</row>
    <row r="185" spans="1:31">
      <c r="A185" s="14">
        <v>183</v>
      </c>
      <c r="B185" s="14">
        <v>1798</v>
      </c>
      <c r="C185" s="14" t="s">
        <v>288</v>
      </c>
      <c r="D185" s="14" t="s">
        <v>37</v>
      </c>
      <c r="E185" s="15" t="str">
        <f>"243.92"</f>
        <v>243.92</v>
      </c>
      <c r="F185" s="15"/>
      <c r="G185" s="16" t="str">
        <f>"283.92"</f>
        <v>283.92</v>
      </c>
      <c r="H185" s="17" t="s">
        <v>38</v>
      </c>
      <c r="I185" s="15">
        <v>1</v>
      </c>
      <c r="J185" s="15">
        <v>2016</v>
      </c>
      <c r="K185" s="18" t="str">
        <f>"243.92"</f>
        <v>243.92</v>
      </c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</row>
    <row r="186" spans="1:31">
      <c r="A186" s="14">
        <v>184</v>
      </c>
      <c r="B186" s="14">
        <v>6372</v>
      </c>
      <c r="C186" s="14" t="s">
        <v>289</v>
      </c>
      <c r="D186" s="14" t="s">
        <v>201</v>
      </c>
      <c r="E186" s="15" t="str">
        <f>"244.63"</f>
        <v>244.63</v>
      </c>
      <c r="F186" s="15"/>
      <c r="G186" s="16" t="str">
        <f>"284.63"</f>
        <v>284.63</v>
      </c>
      <c r="H186" s="17" t="s">
        <v>38</v>
      </c>
      <c r="I186" s="15">
        <v>1</v>
      </c>
      <c r="J186" s="15">
        <v>2016</v>
      </c>
      <c r="K186" s="18" t="str">
        <f>"244.63"</f>
        <v>244.63</v>
      </c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</row>
    <row r="187" spans="1:31">
      <c r="A187" s="14">
        <v>185</v>
      </c>
      <c r="B187" s="14">
        <v>10330</v>
      </c>
      <c r="C187" s="14" t="s">
        <v>290</v>
      </c>
      <c r="D187" s="14" t="s">
        <v>164</v>
      </c>
      <c r="E187" s="15" t="str">
        <f>"192.46"</f>
        <v>192.46</v>
      </c>
      <c r="F187" s="15"/>
      <c r="G187" s="16" t="str">
        <f>"285.38"</f>
        <v>285.38</v>
      </c>
      <c r="H187" s="17"/>
      <c r="I187" s="15">
        <v>3</v>
      </c>
      <c r="J187" s="15">
        <v>2016</v>
      </c>
      <c r="K187" s="18" t="str">
        <f>"192.46"</f>
        <v>192.46</v>
      </c>
      <c r="L187" s="18"/>
      <c r="M187" s="18"/>
      <c r="N187" s="18"/>
      <c r="O187" s="18"/>
      <c r="P187" s="18"/>
      <c r="Q187" s="18" t="str">
        <f>"311.45"</f>
        <v>311.45</v>
      </c>
      <c r="R187" s="18" t="str">
        <f>"259.30"</f>
        <v>259.30</v>
      </c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</row>
    <row r="188" spans="1:31">
      <c r="A188" s="14">
        <v>186</v>
      </c>
      <c r="B188" s="14">
        <v>8648</v>
      </c>
      <c r="C188" s="14" t="s">
        <v>291</v>
      </c>
      <c r="D188" s="14" t="s">
        <v>37</v>
      </c>
      <c r="E188" s="15" t="str">
        <f>"286.30"</f>
        <v>286.30</v>
      </c>
      <c r="F188" s="15"/>
      <c r="G188" s="16" t="str">
        <f>"286.30"</f>
        <v>286.30</v>
      </c>
      <c r="H188" s="17"/>
      <c r="I188" s="15">
        <v>3</v>
      </c>
      <c r="J188" s="15">
        <v>2016</v>
      </c>
      <c r="K188" s="18" t="str">
        <f>"308.29"</f>
        <v>308.29</v>
      </c>
      <c r="L188" s="18"/>
      <c r="M188" s="18"/>
      <c r="N188" s="18"/>
      <c r="O188" s="18"/>
      <c r="P188" s="18"/>
      <c r="Q188" s="18"/>
      <c r="R188" s="18"/>
      <c r="S188" s="18"/>
      <c r="T188" s="18"/>
      <c r="U188" s="18" t="str">
        <f>"283.60"</f>
        <v>283.60</v>
      </c>
      <c r="V188" s="18" t="str">
        <f>"322.50"</f>
        <v>322.50</v>
      </c>
      <c r="W188" s="18"/>
      <c r="X188" s="18"/>
      <c r="Y188" s="18"/>
      <c r="Z188" s="18" t="str">
        <f>"289.00"</f>
        <v>289.00</v>
      </c>
      <c r="AA188" s="18" t="str">
        <f>"321.50"</f>
        <v>321.50</v>
      </c>
      <c r="AB188" s="18"/>
      <c r="AC188" s="18"/>
      <c r="AD188" s="18"/>
      <c r="AE188" s="18"/>
    </row>
    <row r="189" spans="1:31">
      <c r="A189" s="14">
        <v>187</v>
      </c>
      <c r="B189" s="14">
        <v>9813</v>
      </c>
      <c r="C189" s="14" t="s">
        <v>292</v>
      </c>
      <c r="D189" s="14" t="s">
        <v>293</v>
      </c>
      <c r="E189" s="15" t="str">
        <f>"246.45"</f>
        <v>246.45</v>
      </c>
      <c r="F189" s="15"/>
      <c r="G189" s="16" t="str">
        <f>"286.45"</f>
        <v>286.45</v>
      </c>
      <c r="H189" s="17" t="s">
        <v>38</v>
      </c>
      <c r="I189" s="15">
        <v>1</v>
      </c>
      <c r="J189" s="15">
        <v>2016</v>
      </c>
      <c r="K189" s="18" t="str">
        <f>"246.45"</f>
        <v>246.45</v>
      </c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</row>
    <row r="190" spans="1:31">
      <c r="A190" s="14">
        <v>188</v>
      </c>
      <c r="B190" s="14">
        <v>10338</v>
      </c>
      <c r="C190" s="14" t="s">
        <v>294</v>
      </c>
      <c r="D190" s="14" t="s">
        <v>295</v>
      </c>
      <c r="E190" s="15" t="str">
        <f>"261.13"</f>
        <v>261.13</v>
      </c>
      <c r="F190" s="15"/>
      <c r="G190" s="16" t="str">
        <f>"287.32"</f>
        <v>287.32</v>
      </c>
      <c r="H190" s="17"/>
      <c r="I190" s="15">
        <v>3</v>
      </c>
      <c r="J190" s="15">
        <v>2016</v>
      </c>
      <c r="K190" s="18" t="str">
        <f>"262.39"</f>
        <v>262.39</v>
      </c>
      <c r="L190" s="18"/>
      <c r="M190" s="18"/>
      <c r="N190" s="18" t="str">
        <f>"314.76"</f>
        <v>314.76</v>
      </c>
      <c r="O190" s="18"/>
      <c r="P190" s="18" t="str">
        <f>"259.87"</f>
        <v>259.87</v>
      </c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</row>
    <row r="191" spans="1:31">
      <c r="A191" s="14">
        <v>189</v>
      </c>
      <c r="B191" s="14">
        <v>3118</v>
      </c>
      <c r="C191" s="14" t="s">
        <v>296</v>
      </c>
      <c r="D191" s="14" t="s">
        <v>297</v>
      </c>
      <c r="E191" s="15" t="str">
        <f>"249.30"</f>
        <v>249.30</v>
      </c>
      <c r="F191" s="15"/>
      <c r="G191" s="16" t="str">
        <f>"289.30"</f>
        <v>289.30</v>
      </c>
      <c r="H191" s="17" t="s">
        <v>38</v>
      </c>
      <c r="I191" s="15">
        <v>1</v>
      </c>
      <c r="J191" s="15">
        <v>2016</v>
      </c>
      <c r="K191" s="18" t="str">
        <f>"249.30"</f>
        <v>249.30</v>
      </c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</row>
    <row r="192" spans="1:31">
      <c r="A192" s="14">
        <v>190</v>
      </c>
      <c r="B192" s="14">
        <v>2027</v>
      </c>
      <c r="C192" s="14" t="s">
        <v>298</v>
      </c>
      <c r="D192" s="14" t="s">
        <v>123</v>
      </c>
      <c r="E192" s="15" t="str">
        <f>"250.67"</f>
        <v>250.67</v>
      </c>
      <c r="F192" s="15"/>
      <c r="G192" s="16" t="str">
        <f>"290.67"</f>
        <v>290.67</v>
      </c>
      <c r="H192" s="17" t="s">
        <v>38</v>
      </c>
      <c r="I192" s="15">
        <v>1</v>
      </c>
      <c r="J192" s="15">
        <v>2016</v>
      </c>
      <c r="K192" s="18" t="str">
        <f>"250.67"</f>
        <v>250.67</v>
      </c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</row>
    <row r="193" spans="1:31">
      <c r="A193" s="14">
        <v>191</v>
      </c>
      <c r="B193" s="14">
        <v>10863</v>
      </c>
      <c r="C193" s="14" t="s">
        <v>299</v>
      </c>
      <c r="D193" s="14" t="s">
        <v>37</v>
      </c>
      <c r="E193" s="15" t="str">
        <f>"292.83"</f>
        <v>292.83</v>
      </c>
      <c r="F193" s="15"/>
      <c r="G193" s="16" t="str">
        <f>"292.83"</f>
        <v>292.83</v>
      </c>
      <c r="H193" s="17"/>
      <c r="I193" s="15">
        <v>5</v>
      </c>
      <c r="J193" s="15">
        <v>2016</v>
      </c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 t="str">
        <f>"306.20"</f>
        <v>306.20</v>
      </c>
      <c r="V193" s="18"/>
      <c r="W193" s="18"/>
      <c r="X193" s="18"/>
      <c r="Y193" s="18"/>
      <c r="Z193" s="18" t="str">
        <f>"289.87"</f>
        <v>289.87</v>
      </c>
      <c r="AA193" s="18" t="str">
        <f>"295.79"</f>
        <v>295.79</v>
      </c>
      <c r="AB193" s="18"/>
      <c r="AC193" s="18"/>
      <c r="AD193" s="18"/>
      <c r="AE193" s="18"/>
    </row>
    <row r="194" spans="1:31">
      <c r="A194" s="14">
        <v>192</v>
      </c>
      <c r="B194" s="14">
        <v>2717</v>
      </c>
      <c r="C194" s="14" t="s">
        <v>300</v>
      </c>
      <c r="D194" s="14" t="s">
        <v>156</v>
      </c>
      <c r="E194" s="15" t="str">
        <f>"293.26"</f>
        <v>293.26</v>
      </c>
      <c r="F194" s="15"/>
      <c r="G194" s="16" t="str">
        <f>"293.26"</f>
        <v>293.26</v>
      </c>
      <c r="H194" s="17"/>
      <c r="I194" s="15">
        <v>3</v>
      </c>
      <c r="J194" s="15">
        <v>2016</v>
      </c>
      <c r="K194" s="18" t="str">
        <f>"356.05"</f>
        <v>356.05</v>
      </c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 t="str">
        <f>"332.80"</f>
        <v>332.80</v>
      </c>
      <c r="Y194" s="18"/>
      <c r="Z194" s="18"/>
      <c r="AA194" s="18"/>
      <c r="AB194" s="18"/>
      <c r="AC194" s="18" t="str">
        <f>"273.04"</f>
        <v>273.04</v>
      </c>
      <c r="AD194" s="18"/>
      <c r="AE194" s="18" t="str">
        <f>"313.47"</f>
        <v>313.47</v>
      </c>
    </row>
    <row r="195" spans="1:31">
      <c r="A195" s="14">
        <v>193</v>
      </c>
      <c r="B195" s="14">
        <v>6064</v>
      </c>
      <c r="C195" s="14" t="s">
        <v>301</v>
      </c>
      <c r="D195" s="14" t="s">
        <v>302</v>
      </c>
      <c r="E195" s="15" t="str">
        <f>"239.79"</f>
        <v>239.79</v>
      </c>
      <c r="F195" s="15"/>
      <c r="G195" s="16" t="str">
        <f>"293.44"</f>
        <v>293.44</v>
      </c>
      <c r="H195" s="17"/>
      <c r="I195" s="15">
        <v>3</v>
      </c>
      <c r="J195" s="15">
        <v>2016</v>
      </c>
      <c r="K195" s="18" t="str">
        <f>"239.79"</f>
        <v>239.79</v>
      </c>
      <c r="L195" s="18"/>
      <c r="M195" s="18"/>
      <c r="N195" s="18"/>
      <c r="O195" s="18"/>
      <c r="P195" s="18"/>
      <c r="Q195" s="18"/>
      <c r="R195" s="18"/>
      <c r="S195" s="18"/>
      <c r="T195" s="18" t="str">
        <f>"275.75"</f>
        <v>275.75</v>
      </c>
      <c r="U195" s="18"/>
      <c r="V195" s="18"/>
      <c r="W195" s="18"/>
      <c r="X195" s="18"/>
      <c r="Y195" s="18"/>
      <c r="Z195" s="18"/>
      <c r="AA195" s="18"/>
      <c r="AB195" s="18"/>
      <c r="AC195" s="18"/>
      <c r="AD195" s="18" t="str">
        <f>"311.12"</f>
        <v>311.12</v>
      </c>
      <c r="AE195" s="18"/>
    </row>
    <row r="196" spans="1:31">
      <c r="A196" s="14">
        <v>194</v>
      </c>
      <c r="B196" s="14">
        <v>10699</v>
      </c>
      <c r="C196" s="14" t="s">
        <v>303</v>
      </c>
      <c r="D196" s="14" t="s">
        <v>35</v>
      </c>
      <c r="E196" s="15" t="str">
        <f>"294.25"</f>
        <v>294.25</v>
      </c>
      <c r="F196" s="15"/>
      <c r="G196" s="16" t="str">
        <f>"294.25"</f>
        <v>294.25</v>
      </c>
      <c r="H196" s="17" t="s">
        <v>40</v>
      </c>
      <c r="I196" s="15">
        <v>4</v>
      </c>
      <c r="J196" s="15">
        <v>2016</v>
      </c>
      <c r="K196" s="18"/>
      <c r="L196" s="18"/>
      <c r="M196" s="18"/>
      <c r="N196" s="18" t="str">
        <f>"254.25"</f>
        <v>254.25</v>
      </c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</row>
    <row r="197" spans="1:31">
      <c r="A197" s="14">
        <v>195</v>
      </c>
      <c r="B197" s="14">
        <v>7083</v>
      </c>
      <c r="C197" s="14" t="s">
        <v>304</v>
      </c>
      <c r="D197" s="14" t="s">
        <v>305</v>
      </c>
      <c r="E197" s="15" t="str">
        <f>"254.27"</f>
        <v>254.27</v>
      </c>
      <c r="F197" s="15"/>
      <c r="G197" s="16" t="str">
        <f>"294.27"</f>
        <v>294.27</v>
      </c>
      <c r="H197" s="17" t="s">
        <v>38</v>
      </c>
      <c r="I197" s="15">
        <v>1</v>
      </c>
      <c r="J197" s="15">
        <v>2016</v>
      </c>
      <c r="K197" s="18" t="str">
        <f>"254.27"</f>
        <v>254.27</v>
      </c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</row>
    <row r="198" spans="1:31">
      <c r="A198" s="14">
        <v>196</v>
      </c>
      <c r="B198" s="14">
        <v>6589</v>
      </c>
      <c r="C198" s="14" t="s">
        <v>306</v>
      </c>
      <c r="D198" s="14" t="s">
        <v>55</v>
      </c>
      <c r="E198" s="15" t="str">
        <f>"254.27"</f>
        <v>254.27</v>
      </c>
      <c r="F198" s="15"/>
      <c r="G198" s="16" t="str">
        <f>"294.27"</f>
        <v>294.27</v>
      </c>
      <c r="H198" s="17" t="s">
        <v>38</v>
      </c>
      <c r="I198" s="15">
        <v>1</v>
      </c>
      <c r="J198" s="15">
        <v>2016</v>
      </c>
      <c r="K198" s="18" t="str">
        <f>"254.27"</f>
        <v>254.27</v>
      </c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</row>
    <row r="199" spans="1:31">
      <c r="A199" s="14">
        <v>197</v>
      </c>
      <c r="B199" s="14">
        <v>7580</v>
      </c>
      <c r="C199" s="14" t="s">
        <v>307</v>
      </c>
      <c r="D199" s="14" t="s">
        <v>74</v>
      </c>
      <c r="E199" s="15" t="str">
        <f>"254.85"</f>
        <v>254.85</v>
      </c>
      <c r="F199" s="15"/>
      <c r="G199" s="16" t="str">
        <f>"294.85"</f>
        <v>294.85</v>
      </c>
      <c r="H199" s="17" t="s">
        <v>38</v>
      </c>
      <c r="I199" s="15">
        <v>1</v>
      </c>
      <c r="J199" s="15">
        <v>2016</v>
      </c>
      <c r="K199" s="18" t="str">
        <f>"254.85"</f>
        <v>254.85</v>
      </c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</row>
    <row r="200" spans="1:31">
      <c r="A200" s="14">
        <v>198</v>
      </c>
      <c r="B200" s="14">
        <v>10243</v>
      </c>
      <c r="C200" s="14" t="s">
        <v>308</v>
      </c>
      <c r="D200" s="14" t="s">
        <v>309</v>
      </c>
      <c r="E200" s="15" t="str">
        <f>"255.30"</f>
        <v>255.30</v>
      </c>
      <c r="F200" s="15"/>
      <c r="G200" s="16" t="str">
        <f>"295.30"</f>
        <v>295.30</v>
      </c>
      <c r="H200" s="17" t="s">
        <v>38</v>
      </c>
      <c r="I200" s="15">
        <v>1</v>
      </c>
      <c r="J200" s="15">
        <v>2016</v>
      </c>
      <c r="K200" s="18" t="str">
        <f>"255.30"</f>
        <v>255.30</v>
      </c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</row>
    <row r="201" spans="1:31">
      <c r="A201" s="14">
        <v>199</v>
      </c>
      <c r="B201" s="14">
        <v>10322</v>
      </c>
      <c r="C201" s="14" t="s">
        <v>310</v>
      </c>
      <c r="D201" s="14" t="s">
        <v>175</v>
      </c>
      <c r="E201" s="15" t="str">
        <f>"256.82"</f>
        <v>256.82</v>
      </c>
      <c r="F201" s="15"/>
      <c r="G201" s="16" t="str">
        <f>"296.82"</f>
        <v>296.82</v>
      </c>
      <c r="H201" s="17" t="s">
        <v>38</v>
      </c>
      <c r="I201" s="15">
        <v>1</v>
      </c>
      <c r="J201" s="15">
        <v>2016</v>
      </c>
      <c r="K201" s="18" t="str">
        <f>"256.82"</f>
        <v>256.82</v>
      </c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</row>
    <row r="202" spans="1:31">
      <c r="A202" s="14">
        <v>200</v>
      </c>
      <c r="B202" s="14">
        <v>11042</v>
      </c>
      <c r="C202" s="14" t="s">
        <v>311</v>
      </c>
      <c r="D202" s="14" t="s">
        <v>45</v>
      </c>
      <c r="E202" s="15" t="str">
        <f>"297.95"</f>
        <v>297.95</v>
      </c>
      <c r="F202" s="15"/>
      <c r="G202" s="16" t="str">
        <f>"297.95"</f>
        <v>297.95</v>
      </c>
      <c r="H202" s="17"/>
      <c r="I202" s="15">
        <v>5</v>
      </c>
      <c r="J202" s="15">
        <v>2016</v>
      </c>
      <c r="K202" s="18"/>
      <c r="L202" s="18"/>
      <c r="M202" s="18"/>
      <c r="N202" s="18" t="str">
        <f>"390.60"</f>
        <v>390.60</v>
      </c>
      <c r="O202" s="18"/>
      <c r="P202" s="18" t="str">
        <f>"205.29"</f>
        <v>205.29</v>
      </c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</row>
    <row r="203" spans="1:31">
      <c r="A203" s="14">
        <v>201</v>
      </c>
      <c r="B203" s="14">
        <v>11101</v>
      </c>
      <c r="C203" s="14" t="s">
        <v>312</v>
      </c>
      <c r="D203" s="14" t="s">
        <v>45</v>
      </c>
      <c r="E203" s="15" t="str">
        <f>"298.43"</f>
        <v>298.43</v>
      </c>
      <c r="F203" s="15"/>
      <c r="G203" s="16" t="str">
        <f>"298.43"</f>
        <v>298.43</v>
      </c>
      <c r="H203" s="17" t="s">
        <v>40</v>
      </c>
      <c r="I203" s="15">
        <v>4</v>
      </c>
      <c r="J203" s="15">
        <v>2016</v>
      </c>
      <c r="K203" s="18"/>
      <c r="L203" s="18"/>
      <c r="M203" s="18"/>
      <c r="N203" s="18"/>
      <c r="O203" s="18"/>
      <c r="P203" s="18"/>
      <c r="Q203" s="18" t="str">
        <f>"258.43"</f>
        <v>258.43</v>
      </c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</row>
    <row r="204" spans="1:31">
      <c r="A204" s="14">
        <v>202</v>
      </c>
      <c r="B204" s="14">
        <v>10503</v>
      </c>
      <c r="C204" s="14" t="s">
        <v>313</v>
      </c>
      <c r="D204" s="14" t="s">
        <v>76</v>
      </c>
      <c r="E204" s="15" t="str">
        <f>"297.82"</f>
        <v>297.82</v>
      </c>
      <c r="F204" s="15"/>
      <c r="G204" s="16" t="str">
        <f>"298.84"</f>
        <v>298.84</v>
      </c>
      <c r="H204" s="17"/>
      <c r="I204" s="15">
        <v>3</v>
      </c>
      <c r="J204" s="15">
        <v>2016</v>
      </c>
      <c r="K204" s="18" t="str">
        <f>"317.07"</f>
        <v>317.07</v>
      </c>
      <c r="L204" s="18"/>
      <c r="M204" s="18"/>
      <c r="N204" s="18"/>
      <c r="O204" s="18" t="str">
        <f>"319.11"</f>
        <v>319.11</v>
      </c>
      <c r="P204" s="18"/>
      <c r="Q204" s="18"/>
      <c r="R204" s="18"/>
      <c r="S204" s="18" t="str">
        <f>"359.62"</f>
        <v>359.62</v>
      </c>
      <c r="T204" s="18"/>
      <c r="U204" s="18"/>
      <c r="V204" s="18"/>
      <c r="W204" s="18" t="str">
        <f>"278.56"</f>
        <v>278.56</v>
      </c>
      <c r="X204" s="18"/>
      <c r="Y204" s="18"/>
      <c r="Z204" s="18"/>
      <c r="AA204" s="18"/>
      <c r="AB204" s="18"/>
      <c r="AC204" s="18"/>
      <c r="AD204" s="18"/>
      <c r="AE204" s="18"/>
    </row>
    <row r="205" spans="1:31">
      <c r="A205" s="14">
        <v>203</v>
      </c>
      <c r="B205" s="14">
        <v>6869</v>
      </c>
      <c r="C205" s="14" t="s">
        <v>314</v>
      </c>
      <c r="D205" s="14" t="s">
        <v>315</v>
      </c>
      <c r="E205" s="15" t="str">
        <f>"260.76"</f>
        <v>260.76</v>
      </c>
      <c r="F205" s="15"/>
      <c r="G205" s="16" t="str">
        <f>"300.76"</f>
        <v>300.76</v>
      </c>
      <c r="H205" s="17" t="s">
        <v>38</v>
      </c>
      <c r="I205" s="15">
        <v>1</v>
      </c>
      <c r="J205" s="15">
        <v>2016</v>
      </c>
      <c r="K205" s="18" t="str">
        <f>"260.76"</f>
        <v>260.76</v>
      </c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</row>
    <row r="206" spans="1:31">
      <c r="A206" s="14">
        <v>204</v>
      </c>
      <c r="B206" s="14">
        <v>3434</v>
      </c>
      <c r="C206" s="14" t="s">
        <v>316</v>
      </c>
      <c r="D206" s="14" t="s">
        <v>35</v>
      </c>
      <c r="E206" s="15" t="str">
        <f>"262.30"</f>
        <v>262.30</v>
      </c>
      <c r="F206" s="15"/>
      <c r="G206" s="16" t="str">
        <f>"302.30"</f>
        <v>302.30</v>
      </c>
      <c r="H206" s="17" t="s">
        <v>38</v>
      </c>
      <c r="I206" s="15">
        <v>1</v>
      </c>
      <c r="J206" s="15">
        <v>2016</v>
      </c>
      <c r="K206" s="18" t="str">
        <f>"262.30"</f>
        <v>262.30</v>
      </c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</row>
    <row r="207" spans="1:31">
      <c r="A207" s="14">
        <v>205</v>
      </c>
      <c r="B207" s="14">
        <v>7631</v>
      </c>
      <c r="C207" s="14" t="s">
        <v>317</v>
      </c>
      <c r="D207" s="14" t="s">
        <v>76</v>
      </c>
      <c r="E207" s="15" t="str">
        <f>"262.93"</f>
        <v>262.93</v>
      </c>
      <c r="F207" s="15"/>
      <c r="G207" s="16" t="str">
        <f>"302.93"</f>
        <v>302.93</v>
      </c>
      <c r="H207" s="17" t="s">
        <v>38</v>
      </c>
      <c r="I207" s="15">
        <v>1</v>
      </c>
      <c r="J207" s="15">
        <v>2016</v>
      </c>
      <c r="K207" s="18" t="str">
        <f>"262.93"</f>
        <v>262.93</v>
      </c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</row>
    <row r="208" spans="1:31">
      <c r="A208" s="14">
        <v>206</v>
      </c>
      <c r="B208" s="14">
        <v>2208</v>
      </c>
      <c r="C208" s="14" t="s">
        <v>318</v>
      </c>
      <c r="D208" s="14" t="s">
        <v>37</v>
      </c>
      <c r="E208" s="15" t="str">
        <f>"304.62"</f>
        <v>304.62</v>
      </c>
      <c r="F208" s="15"/>
      <c r="G208" s="16" t="str">
        <f>"304.62"</f>
        <v>304.62</v>
      </c>
      <c r="H208" s="17"/>
      <c r="I208" s="15">
        <v>5</v>
      </c>
      <c r="J208" s="15">
        <v>2016</v>
      </c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 t="str">
        <f>"277.83"</f>
        <v>277.83</v>
      </c>
      <c r="AA208" s="18" t="str">
        <f>"331.40"</f>
        <v>331.40</v>
      </c>
      <c r="AB208" s="18"/>
      <c r="AC208" s="18"/>
      <c r="AD208" s="18"/>
      <c r="AE208" s="18"/>
    </row>
    <row r="209" spans="1:31">
      <c r="A209" s="14">
        <v>207</v>
      </c>
      <c r="B209" s="14">
        <v>10968</v>
      </c>
      <c r="C209" s="14" t="s">
        <v>319</v>
      </c>
      <c r="D209" s="14" t="s">
        <v>55</v>
      </c>
      <c r="E209" s="15" t="str">
        <f>"305.37"</f>
        <v>305.37</v>
      </c>
      <c r="F209" s="15"/>
      <c r="G209" s="16" t="str">
        <f>"305.37"</f>
        <v>305.37</v>
      </c>
      <c r="H209" s="17"/>
      <c r="I209" s="15">
        <v>5</v>
      </c>
      <c r="J209" s="15">
        <v>2016</v>
      </c>
      <c r="K209" s="18"/>
      <c r="L209" s="18"/>
      <c r="M209" s="18"/>
      <c r="N209" s="18"/>
      <c r="O209" s="18"/>
      <c r="P209" s="18"/>
      <c r="Q209" s="18"/>
      <c r="R209" s="18"/>
      <c r="S209" s="18"/>
      <c r="T209" s="18" t="str">
        <f>"321.04"</f>
        <v>321.04</v>
      </c>
      <c r="U209" s="18"/>
      <c r="V209" s="18"/>
      <c r="W209" s="18"/>
      <c r="X209" s="18"/>
      <c r="Y209" s="18"/>
      <c r="Z209" s="18"/>
      <c r="AA209" s="18"/>
      <c r="AB209" s="18"/>
      <c r="AC209" s="18"/>
      <c r="AD209" s="18" t="str">
        <f>"383.58"</f>
        <v>383.58</v>
      </c>
      <c r="AE209" s="18" t="str">
        <f>"289.70"</f>
        <v>289.70</v>
      </c>
    </row>
    <row r="210" spans="1:31">
      <c r="A210" s="14">
        <v>208</v>
      </c>
      <c r="B210" s="14">
        <v>1378</v>
      </c>
      <c r="C210" s="14" t="s">
        <v>320</v>
      </c>
      <c r="D210" s="14" t="s">
        <v>156</v>
      </c>
      <c r="E210" s="15" t="str">
        <f>"306.38"</f>
        <v>306.38</v>
      </c>
      <c r="F210" s="15"/>
      <c r="G210" s="16" t="str">
        <f>"306.38"</f>
        <v>306.38</v>
      </c>
      <c r="H210" s="17"/>
      <c r="I210" s="15">
        <v>3</v>
      </c>
      <c r="J210" s="15">
        <v>2016</v>
      </c>
      <c r="K210" s="18" t="str">
        <f>"338.74"</f>
        <v>338.74</v>
      </c>
      <c r="L210" s="18"/>
      <c r="M210" s="18"/>
      <c r="N210" s="18"/>
      <c r="O210" s="18"/>
      <c r="P210" s="18"/>
      <c r="Q210" s="18"/>
      <c r="R210" s="18"/>
      <c r="S210" s="18"/>
      <c r="T210" s="18" t="str">
        <f>"323.78"</f>
        <v>323.78</v>
      </c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 t="str">
        <f>"288.97"</f>
        <v>288.97</v>
      </c>
    </row>
    <row r="211" spans="1:31">
      <c r="A211" s="14">
        <v>209</v>
      </c>
      <c r="B211" s="14">
        <v>3075</v>
      </c>
      <c r="C211" s="14" t="s">
        <v>321</v>
      </c>
      <c r="D211" s="14" t="s">
        <v>322</v>
      </c>
      <c r="E211" s="15" t="str">
        <f>"267.13"</f>
        <v>267.13</v>
      </c>
      <c r="F211" s="15"/>
      <c r="G211" s="16" t="str">
        <f>"307.13"</f>
        <v>307.13</v>
      </c>
      <c r="H211" s="17" t="s">
        <v>38</v>
      </c>
      <c r="I211" s="15">
        <v>1</v>
      </c>
      <c r="J211" s="15">
        <v>2016</v>
      </c>
      <c r="K211" s="18" t="str">
        <f>"267.13"</f>
        <v>267.13</v>
      </c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</row>
    <row r="212" spans="1:31">
      <c r="A212" s="14">
        <v>210</v>
      </c>
      <c r="B212" s="14">
        <v>8898</v>
      </c>
      <c r="C212" s="14" t="s">
        <v>323</v>
      </c>
      <c r="D212" s="14" t="s">
        <v>87</v>
      </c>
      <c r="E212" s="15" t="str">
        <f>"267.71"</f>
        <v>267.71</v>
      </c>
      <c r="F212" s="15"/>
      <c r="G212" s="16" t="str">
        <f>"307.71"</f>
        <v>307.71</v>
      </c>
      <c r="H212" s="17" t="s">
        <v>38</v>
      </c>
      <c r="I212" s="15">
        <v>1</v>
      </c>
      <c r="J212" s="15">
        <v>2016</v>
      </c>
      <c r="K212" s="18" t="str">
        <f>"267.71"</f>
        <v>267.71</v>
      </c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</row>
    <row r="213" spans="1:31">
      <c r="A213" s="14">
        <v>211</v>
      </c>
      <c r="B213" s="14">
        <v>3826</v>
      </c>
      <c r="C213" s="14" t="s">
        <v>324</v>
      </c>
      <c r="D213" s="14" t="s">
        <v>156</v>
      </c>
      <c r="E213" s="15" t="str">
        <f>"276.26"</f>
        <v>276.26</v>
      </c>
      <c r="F213" s="15"/>
      <c r="G213" s="16" t="str">
        <f>"308.74"</f>
        <v>308.74</v>
      </c>
      <c r="H213" s="17" t="s">
        <v>40</v>
      </c>
      <c r="I213" s="15">
        <v>2</v>
      </c>
      <c r="J213" s="15">
        <v>2016</v>
      </c>
      <c r="K213" s="18" t="str">
        <f>"283.77"</f>
        <v>283.77</v>
      </c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 t="str">
        <f>"268.74"</f>
        <v>268.74</v>
      </c>
      <c r="Z213" s="18"/>
      <c r="AA213" s="18"/>
      <c r="AB213" s="18"/>
      <c r="AC213" s="18"/>
      <c r="AD213" s="18"/>
      <c r="AE213" s="18"/>
    </row>
    <row r="214" spans="1:31">
      <c r="A214" s="14">
        <v>212</v>
      </c>
      <c r="B214" s="14">
        <v>10374</v>
      </c>
      <c r="C214" s="14" t="s">
        <v>325</v>
      </c>
      <c r="D214" s="14" t="s">
        <v>326</v>
      </c>
      <c r="E214" s="15" t="str">
        <f>"269.08"</f>
        <v>269.08</v>
      </c>
      <c r="F214" s="15"/>
      <c r="G214" s="16" t="str">
        <f>"309.08"</f>
        <v>309.08</v>
      </c>
      <c r="H214" s="17" t="s">
        <v>38</v>
      </c>
      <c r="I214" s="15">
        <v>1</v>
      </c>
      <c r="J214" s="15">
        <v>2016</v>
      </c>
      <c r="K214" s="18" t="str">
        <f>"269.08"</f>
        <v>269.08</v>
      </c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</row>
    <row r="215" spans="1:31">
      <c r="A215" s="14">
        <v>213</v>
      </c>
      <c r="B215" s="14">
        <v>2199</v>
      </c>
      <c r="C215" s="14" t="s">
        <v>327</v>
      </c>
      <c r="D215" s="14" t="s">
        <v>37</v>
      </c>
      <c r="E215" s="15" t="str">
        <f>"231.88"</f>
        <v>231.88</v>
      </c>
      <c r="F215" s="15"/>
      <c r="G215" s="16" t="str">
        <f>"311.39"</f>
        <v>311.39</v>
      </c>
      <c r="H215" s="17"/>
      <c r="I215" s="15">
        <v>3</v>
      </c>
      <c r="J215" s="15">
        <v>2016</v>
      </c>
      <c r="K215" s="18" t="str">
        <f>"231.88"</f>
        <v>231.88</v>
      </c>
      <c r="L215" s="18" t="str">
        <f>"347.46"</f>
        <v>347.46</v>
      </c>
      <c r="M215" s="18" t="str">
        <f>"392.36"</f>
        <v>392.36</v>
      </c>
      <c r="N215" s="18"/>
      <c r="O215" s="18"/>
      <c r="P215" s="18"/>
      <c r="Q215" s="18"/>
      <c r="R215" s="18"/>
      <c r="S215" s="18"/>
      <c r="T215" s="18"/>
      <c r="U215" s="18" t="str">
        <f>"344.84"</f>
        <v>344.84</v>
      </c>
      <c r="V215" s="18" t="str">
        <f>"363.22"</f>
        <v>363.22</v>
      </c>
      <c r="W215" s="18"/>
      <c r="X215" s="18"/>
      <c r="Y215" s="18"/>
      <c r="Z215" s="18" t="str">
        <f>"277.94"</f>
        <v>277.94</v>
      </c>
      <c r="AA215" s="18" t="str">
        <f>"348.73"</f>
        <v>348.73</v>
      </c>
      <c r="AB215" s="18"/>
      <c r="AC215" s="18"/>
      <c r="AD215" s="18" t="str">
        <f>"357.16"</f>
        <v>357.16</v>
      </c>
      <c r="AE215" s="18"/>
    </row>
    <row r="216" spans="1:31">
      <c r="A216" s="14">
        <v>214</v>
      </c>
      <c r="B216" s="14">
        <v>10421</v>
      </c>
      <c r="C216" s="14" t="s">
        <v>328</v>
      </c>
      <c r="D216" s="14" t="s">
        <v>76</v>
      </c>
      <c r="E216" s="15" t="str">
        <f>"312.19"</f>
        <v>312.19</v>
      </c>
      <c r="F216" s="15"/>
      <c r="G216" s="16" t="str">
        <f>"312.19"</f>
        <v>312.19</v>
      </c>
      <c r="H216" s="17"/>
      <c r="I216" s="15">
        <v>3</v>
      </c>
      <c r="J216" s="15">
        <v>2016</v>
      </c>
      <c r="K216" s="18" t="str">
        <f>"511.92"</f>
        <v>511.92</v>
      </c>
      <c r="L216" s="18"/>
      <c r="M216" s="18"/>
      <c r="N216" s="18"/>
      <c r="O216" s="18"/>
      <c r="P216" s="18"/>
      <c r="Q216" s="18"/>
      <c r="R216" s="18"/>
      <c r="S216" s="18" t="str">
        <f>"318.63"</f>
        <v>318.63</v>
      </c>
      <c r="T216" s="18"/>
      <c r="U216" s="18"/>
      <c r="V216" s="18"/>
      <c r="W216" s="18" t="str">
        <f>"305.75"</f>
        <v>305.75</v>
      </c>
      <c r="X216" s="18"/>
      <c r="Y216" s="18"/>
      <c r="Z216" s="18"/>
      <c r="AA216" s="18"/>
      <c r="AB216" s="18"/>
      <c r="AC216" s="18"/>
      <c r="AD216" s="18"/>
      <c r="AE216" s="18"/>
    </row>
    <row r="217" spans="1:31">
      <c r="A217" s="14">
        <v>215</v>
      </c>
      <c r="B217" s="14">
        <v>7029</v>
      </c>
      <c r="C217" s="14" t="s">
        <v>329</v>
      </c>
      <c r="D217" s="14" t="s">
        <v>330</v>
      </c>
      <c r="E217" s="15" t="str">
        <f>"272.75"</f>
        <v>272.75</v>
      </c>
      <c r="F217" s="15"/>
      <c r="G217" s="16" t="str">
        <f>"312.75"</f>
        <v>312.75</v>
      </c>
      <c r="H217" s="17" t="s">
        <v>38</v>
      </c>
      <c r="I217" s="15">
        <v>1</v>
      </c>
      <c r="J217" s="15">
        <v>2016</v>
      </c>
      <c r="K217" s="18" t="str">
        <f>"272.75"</f>
        <v>272.75</v>
      </c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</row>
    <row r="218" spans="1:31">
      <c r="A218" s="14">
        <v>216</v>
      </c>
      <c r="B218" s="14">
        <v>8489</v>
      </c>
      <c r="C218" s="14" t="s">
        <v>331</v>
      </c>
      <c r="D218" s="14" t="s">
        <v>37</v>
      </c>
      <c r="E218" s="15" t="str">
        <f>"268.42"</f>
        <v>268.42</v>
      </c>
      <c r="F218" s="15"/>
      <c r="G218" s="16" t="str">
        <f>"312.87"</f>
        <v>312.87</v>
      </c>
      <c r="H218" s="17"/>
      <c r="I218" s="15">
        <v>3</v>
      </c>
      <c r="J218" s="15">
        <v>2016</v>
      </c>
      <c r="K218" s="18" t="str">
        <f>"268.42"</f>
        <v>268.42</v>
      </c>
      <c r="L218" s="18"/>
      <c r="M218" s="18"/>
      <c r="N218" s="18"/>
      <c r="O218" s="18"/>
      <c r="P218" s="18"/>
      <c r="Q218" s="18"/>
      <c r="R218" s="18"/>
      <c r="S218" s="18"/>
      <c r="T218" s="18"/>
      <c r="U218" s="18" t="str">
        <f>"372.51"</f>
        <v>372.51</v>
      </c>
      <c r="V218" s="18" t="str">
        <f>"391.72"</f>
        <v>391.72</v>
      </c>
      <c r="W218" s="18"/>
      <c r="X218" s="18"/>
      <c r="Y218" s="18"/>
      <c r="Z218" s="18" t="str">
        <f>"328.79"</f>
        <v>328.79</v>
      </c>
      <c r="AA218" s="18" t="str">
        <f>"352.92"</f>
        <v>352.92</v>
      </c>
      <c r="AB218" s="18"/>
      <c r="AC218" s="18"/>
      <c r="AD218" s="18"/>
      <c r="AE218" s="18" t="str">
        <f>"296.94"</f>
        <v>296.94</v>
      </c>
    </row>
    <row r="219" spans="1:31">
      <c r="A219" s="14">
        <v>217</v>
      </c>
      <c r="B219" s="14">
        <v>10742</v>
      </c>
      <c r="C219" s="14" t="s">
        <v>332</v>
      </c>
      <c r="D219" s="14" t="s">
        <v>76</v>
      </c>
      <c r="E219" s="15" t="str">
        <f>"312.88"</f>
        <v>312.88</v>
      </c>
      <c r="F219" s="15"/>
      <c r="G219" s="16" t="str">
        <f>"312.88"</f>
        <v>312.88</v>
      </c>
      <c r="H219" s="17"/>
      <c r="I219" s="15">
        <v>5</v>
      </c>
      <c r="J219" s="15">
        <v>2016</v>
      </c>
      <c r="K219" s="18"/>
      <c r="L219" s="18"/>
      <c r="M219" s="18"/>
      <c r="N219" s="18"/>
      <c r="O219" s="18"/>
      <c r="P219" s="18"/>
      <c r="Q219" s="18"/>
      <c r="R219" s="18"/>
      <c r="S219" s="18" t="str">
        <f>"552.60"</f>
        <v>552.60</v>
      </c>
      <c r="T219" s="18"/>
      <c r="U219" s="18"/>
      <c r="V219" s="18"/>
      <c r="W219" s="18" t="str">
        <f>"341.26"</f>
        <v>341.26</v>
      </c>
      <c r="X219" s="18"/>
      <c r="Y219" s="18"/>
      <c r="Z219" s="18"/>
      <c r="AA219" s="18"/>
      <c r="AB219" s="18"/>
      <c r="AC219" s="18"/>
      <c r="AD219" s="18" t="str">
        <f>"284.50"</f>
        <v>284.50</v>
      </c>
      <c r="AE219" s="18" t="str">
        <f>"349.77"</f>
        <v>349.77</v>
      </c>
    </row>
    <row r="220" spans="1:31">
      <c r="A220" s="14">
        <v>218</v>
      </c>
      <c r="B220" s="14">
        <v>1253</v>
      </c>
      <c r="C220" s="14" t="s">
        <v>333</v>
      </c>
      <c r="D220" s="14" t="s">
        <v>334</v>
      </c>
      <c r="E220" s="15" t="str">
        <f>"273.80"</f>
        <v>273.80</v>
      </c>
      <c r="F220" s="15"/>
      <c r="G220" s="16" t="str">
        <f>"313.80"</f>
        <v>313.80</v>
      </c>
      <c r="H220" s="17" t="s">
        <v>38</v>
      </c>
      <c r="I220" s="15">
        <v>1</v>
      </c>
      <c r="J220" s="15">
        <v>2016</v>
      </c>
      <c r="K220" s="18" t="str">
        <f>"273.80"</f>
        <v>273.80</v>
      </c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</row>
    <row r="221" spans="1:31">
      <c r="A221" s="14">
        <v>219</v>
      </c>
      <c r="B221" s="14">
        <v>10149</v>
      </c>
      <c r="C221" s="14" t="s">
        <v>335</v>
      </c>
      <c r="D221" s="14" t="s">
        <v>76</v>
      </c>
      <c r="E221" s="15" t="str">
        <f>"314.34"</f>
        <v>314.34</v>
      </c>
      <c r="F221" s="15"/>
      <c r="G221" s="16" t="str">
        <f>"314.34"</f>
        <v>314.34</v>
      </c>
      <c r="H221" s="17"/>
      <c r="I221" s="15">
        <v>3</v>
      </c>
      <c r="J221" s="15">
        <v>2016</v>
      </c>
      <c r="K221" s="18" t="str">
        <f>"402.43"</f>
        <v>402.43</v>
      </c>
      <c r="L221" s="18"/>
      <c r="M221" s="18"/>
      <c r="N221" s="18"/>
      <c r="O221" s="18"/>
      <c r="P221" s="18"/>
      <c r="Q221" s="18"/>
      <c r="R221" s="18"/>
      <c r="S221" s="18" t="str">
        <f>"492.90"</f>
        <v>492.90</v>
      </c>
      <c r="T221" s="18"/>
      <c r="U221" s="18"/>
      <c r="V221" s="18"/>
      <c r="W221" s="18" t="str">
        <f>"365.38"</f>
        <v>365.38</v>
      </c>
      <c r="X221" s="18"/>
      <c r="Y221" s="18"/>
      <c r="Z221" s="18"/>
      <c r="AA221" s="18"/>
      <c r="AB221" s="18"/>
      <c r="AC221" s="18"/>
      <c r="AD221" s="18"/>
      <c r="AE221" s="18" t="str">
        <f>"263.29"</f>
        <v>263.29</v>
      </c>
    </row>
    <row r="222" spans="1:31">
      <c r="A222" s="14">
        <v>220</v>
      </c>
      <c r="B222" s="14">
        <v>1875</v>
      </c>
      <c r="C222" s="14" t="s">
        <v>336</v>
      </c>
      <c r="D222" s="14" t="s">
        <v>37</v>
      </c>
      <c r="E222" s="15" t="str">
        <f>"316.98"</f>
        <v>316.98</v>
      </c>
      <c r="F222" s="15"/>
      <c r="G222" s="16" t="str">
        <f>"318.22"</f>
        <v>318.22</v>
      </c>
      <c r="H222" s="17"/>
      <c r="I222" s="15">
        <v>3</v>
      </c>
      <c r="J222" s="15">
        <v>2016</v>
      </c>
      <c r="K222" s="18" t="str">
        <f>"335.30"</f>
        <v>335.30</v>
      </c>
      <c r="L222" s="18"/>
      <c r="M222" s="18"/>
      <c r="N222" s="18"/>
      <c r="O222" s="18"/>
      <c r="P222" s="18"/>
      <c r="Q222" s="18"/>
      <c r="R222" s="18"/>
      <c r="S222" s="18"/>
      <c r="T222" s="18"/>
      <c r="U222" s="18" t="str">
        <f>"359.81"</f>
        <v>359.81</v>
      </c>
      <c r="V222" s="18" t="str">
        <f>"337.78"</f>
        <v>337.78</v>
      </c>
      <c r="W222" s="18"/>
      <c r="X222" s="18"/>
      <c r="Y222" s="18"/>
      <c r="Z222" s="18" t="str">
        <f>"298.65"</f>
        <v>298.65</v>
      </c>
      <c r="AA222" s="18" t="str">
        <f>"349.05"</f>
        <v>349.05</v>
      </c>
      <c r="AB222" s="18"/>
      <c r="AC222" s="18"/>
      <c r="AD222" s="18"/>
      <c r="AE222" s="18"/>
    </row>
    <row r="223" spans="1:31">
      <c r="A223" s="14">
        <v>221</v>
      </c>
      <c r="B223" s="14">
        <v>10973</v>
      </c>
      <c r="C223" s="14" t="s">
        <v>337</v>
      </c>
      <c r="D223" s="14" t="s">
        <v>55</v>
      </c>
      <c r="E223" s="15" t="str">
        <f>"320.28"</f>
        <v>320.28</v>
      </c>
      <c r="F223" s="15"/>
      <c r="G223" s="16" t="str">
        <f>"320.28"</f>
        <v>320.28</v>
      </c>
      <c r="H223" s="17" t="s">
        <v>40</v>
      </c>
      <c r="I223" s="15">
        <v>4</v>
      </c>
      <c r="J223" s="15">
        <v>2016</v>
      </c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 t="str">
        <f>"280.28"</f>
        <v>280.28</v>
      </c>
      <c r="Y223" s="18"/>
      <c r="Z223" s="18"/>
      <c r="AA223" s="18"/>
      <c r="AB223" s="18"/>
      <c r="AC223" s="18"/>
      <c r="AD223" s="18"/>
      <c r="AE223" s="18"/>
    </row>
    <row r="224" spans="1:31">
      <c r="A224" s="14">
        <v>222</v>
      </c>
      <c r="B224" s="14">
        <v>11075</v>
      </c>
      <c r="C224" s="14" t="s">
        <v>338</v>
      </c>
      <c r="D224" s="14" t="s">
        <v>123</v>
      </c>
      <c r="E224" s="15" t="str">
        <f>"322.04"</f>
        <v>322.04</v>
      </c>
      <c r="F224" s="15"/>
      <c r="G224" s="16" t="str">
        <f>"322.04"</f>
        <v>322.04</v>
      </c>
      <c r="H224" s="17" t="s">
        <v>40</v>
      </c>
      <c r="I224" s="15">
        <v>4</v>
      </c>
      <c r="J224" s="15">
        <v>2016</v>
      </c>
      <c r="K224" s="18"/>
      <c r="L224" s="18"/>
      <c r="M224" s="18"/>
      <c r="N224" s="18"/>
      <c r="O224" s="18"/>
      <c r="P224" s="18"/>
      <c r="Q224" s="18"/>
      <c r="R224" s="18"/>
      <c r="S224" s="18"/>
      <c r="T224" s="18" t="str">
        <f>"282.04"</f>
        <v>282.04</v>
      </c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</row>
    <row r="225" spans="1:31">
      <c r="A225" s="14">
        <v>223</v>
      </c>
      <c r="B225" s="14">
        <v>9985</v>
      </c>
      <c r="C225" s="14" t="s">
        <v>339</v>
      </c>
      <c r="D225" s="14" t="s">
        <v>45</v>
      </c>
      <c r="E225" s="15" t="str">
        <f>"273.20"</f>
        <v>273.20</v>
      </c>
      <c r="F225" s="15"/>
      <c r="G225" s="16" t="str">
        <f>"327.00"</f>
        <v>327.00</v>
      </c>
      <c r="H225" s="17"/>
      <c r="I225" s="15">
        <v>3</v>
      </c>
      <c r="J225" s="15">
        <v>2016</v>
      </c>
      <c r="K225" s="18" t="str">
        <f>"273.20"</f>
        <v>273.20</v>
      </c>
      <c r="L225" s="18"/>
      <c r="M225" s="18"/>
      <c r="N225" s="18" t="str">
        <f>"348.72"</f>
        <v>348.72</v>
      </c>
      <c r="O225" s="18"/>
      <c r="P225" s="18" t="str">
        <f>"305.27"</f>
        <v>305.27</v>
      </c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</row>
    <row r="226" spans="1:31">
      <c r="A226" s="14">
        <v>224</v>
      </c>
      <c r="B226" s="14">
        <v>3047</v>
      </c>
      <c r="C226" s="14" t="s">
        <v>340</v>
      </c>
      <c r="D226" s="14" t="s">
        <v>131</v>
      </c>
      <c r="E226" s="15" t="str">
        <f>"227.92"</f>
        <v>227.92</v>
      </c>
      <c r="F226" s="15"/>
      <c r="G226" s="16" t="str">
        <f>"331.63"</f>
        <v>331.63</v>
      </c>
      <c r="H226" s="17"/>
      <c r="I226" s="15">
        <v>3</v>
      </c>
      <c r="J226" s="15">
        <v>2016</v>
      </c>
      <c r="K226" s="18" t="str">
        <f>"227.92"</f>
        <v>227.92</v>
      </c>
      <c r="L226" s="18" t="str">
        <f>"377.84"</f>
        <v>377.84</v>
      </c>
      <c r="M226" s="18" t="str">
        <f>"386.39"</f>
        <v>386.39</v>
      </c>
      <c r="N226" s="18"/>
      <c r="O226" s="18"/>
      <c r="P226" s="18"/>
      <c r="Q226" s="18"/>
      <c r="R226" s="18"/>
      <c r="S226" s="18"/>
      <c r="T226" s="18" t="str">
        <f>"285.42"</f>
        <v>285.42</v>
      </c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</row>
    <row r="227" spans="1:31">
      <c r="A227" s="14">
        <v>225</v>
      </c>
      <c r="B227" s="14">
        <v>3955</v>
      </c>
      <c r="C227" s="14" t="s">
        <v>341</v>
      </c>
      <c r="D227" s="14" t="s">
        <v>342</v>
      </c>
      <c r="E227" s="15" t="str">
        <f>"311.37"</f>
        <v>311.37</v>
      </c>
      <c r="F227" s="15"/>
      <c r="G227" s="16" t="str">
        <f>"333.67"</f>
        <v>333.67</v>
      </c>
      <c r="H227" s="17"/>
      <c r="I227" s="15">
        <v>3</v>
      </c>
      <c r="J227" s="15">
        <v>2016</v>
      </c>
      <c r="K227" s="18" t="str">
        <f>"328.18"</f>
        <v>328.18</v>
      </c>
      <c r="L227" s="18"/>
      <c r="M227" s="18"/>
      <c r="N227" s="18"/>
      <c r="O227" s="18"/>
      <c r="P227" s="18"/>
      <c r="Q227" s="18"/>
      <c r="R227" s="18"/>
      <c r="S227" s="18"/>
      <c r="T227" s="18" t="str">
        <f>"372.77"</f>
        <v>372.77</v>
      </c>
      <c r="U227" s="18"/>
      <c r="V227" s="18"/>
      <c r="W227" s="18"/>
      <c r="X227" s="18"/>
      <c r="Y227" s="18" t="str">
        <f>"294.56"</f>
        <v>294.56</v>
      </c>
      <c r="Z227" s="18"/>
      <c r="AA227" s="18"/>
      <c r="AB227" s="18"/>
      <c r="AC227" s="18"/>
      <c r="AD227" s="18"/>
      <c r="AE227" s="18"/>
    </row>
    <row r="228" spans="1:31">
      <c r="A228" s="14">
        <v>226</v>
      </c>
      <c r="B228" s="14">
        <v>11104</v>
      </c>
      <c r="C228" s="14" t="s">
        <v>343</v>
      </c>
      <c r="D228" s="14" t="s">
        <v>45</v>
      </c>
      <c r="E228" s="15" t="str">
        <f>"334.59"</f>
        <v>334.59</v>
      </c>
      <c r="F228" s="15"/>
      <c r="G228" s="16" t="str">
        <f>"334.59"</f>
        <v>334.59</v>
      </c>
      <c r="H228" s="17" t="s">
        <v>40</v>
      </c>
      <c r="I228" s="15">
        <v>4</v>
      </c>
      <c r="J228" s="15">
        <v>2016</v>
      </c>
      <c r="K228" s="18"/>
      <c r="L228" s="18"/>
      <c r="M228" s="18"/>
      <c r="N228" s="18"/>
      <c r="O228" s="18"/>
      <c r="P228" s="18"/>
      <c r="Q228" s="18" t="str">
        <f>"294.59"</f>
        <v>294.59</v>
      </c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</row>
    <row r="229" spans="1:31">
      <c r="A229" s="14">
        <v>227</v>
      </c>
      <c r="B229" s="14">
        <v>799</v>
      </c>
      <c r="C229" s="14" t="s">
        <v>344</v>
      </c>
      <c r="D229" s="14" t="s">
        <v>345</v>
      </c>
      <c r="E229" s="15" t="str">
        <f>"296.53"</f>
        <v>296.53</v>
      </c>
      <c r="F229" s="15"/>
      <c r="G229" s="16" t="str">
        <f>"336.53"</f>
        <v>336.53</v>
      </c>
      <c r="H229" s="17" t="s">
        <v>38</v>
      </c>
      <c r="I229" s="15">
        <v>1</v>
      </c>
      <c r="J229" s="15">
        <v>2016</v>
      </c>
      <c r="K229" s="18" t="str">
        <f>"296.53"</f>
        <v>296.53</v>
      </c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</row>
    <row r="230" spans="1:31">
      <c r="A230" s="14">
        <v>228</v>
      </c>
      <c r="B230" s="14">
        <v>8649</v>
      </c>
      <c r="C230" s="14" t="s">
        <v>346</v>
      </c>
      <c r="D230" s="14" t="s">
        <v>347</v>
      </c>
      <c r="E230" s="15" t="str">
        <f>"296.95"</f>
        <v>296.95</v>
      </c>
      <c r="F230" s="15"/>
      <c r="G230" s="16" t="str">
        <f>"336.95"</f>
        <v>336.95</v>
      </c>
      <c r="H230" s="17" t="s">
        <v>38</v>
      </c>
      <c r="I230" s="15">
        <v>1</v>
      </c>
      <c r="J230" s="15">
        <v>2016</v>
      </c>
      <c r="K230" s="18" t="str">
        <f>"296.95"</f>
        <v>296.95</v>
      </c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</row>
    <row r="231" spans="1:31">
      <c r="A231" s="14">
        <v>229</v>
      </c>
      <c r="B231" s="14">
        <v>11080</v>
      </c>
      <c r="C231" s="14" t="s">
        <v>348</v>
      </c>
      <c r="D231" s="14" t="s">
        <v>349</v>
      </c>
      <c r="E231" s="15" t="str">
        <f>"337.34"</f>
        <v>337.34</v>
      </c>
      <c r="F231" s="15"/>
      <c r="G231" s="16" t="str">
        <f>"337.34"</f>
        <v>337.34</v>
      </c>
      <c r="H231" s="17"/>
      <c r="I231" s="15">
        <v>5</v>
      </c>
      <c r="J231" s="15">
        <v>2016</v>
      </c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 t="str">
        <f>"302.51"</f>
        <v>302.51</v>
      </c>
      <c r="AD231" s="18" t="str">
        <f>"372.17"</f>
        <v>372.17</v>
      </c>
      <c r="AE231" s="18"/>
    </row>
    <row r="232" spans="1:31">
      <c r="A232" s="14">
        <v>230</v>
      </c>
      <c r="B232" s="14">
        <v>1385</v>
      </c>
      <c r="C232" s="14" t="s">
        <v>350</v>
      </c>
      <c r="D232" s="14" t="s">
        <v>156</v>
      </c>
      <c r="E232" s="15" t="str">
        <f>"328.79"</f>
        <v>328.79</v>
      </c>
      <c r="F232" s="15"/>
      <c r="G232" s="16" t="str">
        <f>"338.78"</f>
        <v>338.78</v>
      </c>
      <c r="H232" s="17" t="s">
        <v>40</v>
      </c>
      <c r="I232" s="15">
        <v>2</v>
      </c>
      <c r="J232" s="15">
        <v>2016</v>
      </c>
      <c r="K232" s="18" t="str">
        <f>"358.79"</f>
        <v>358.79</v>
      </c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 t="str">
        <f>"298.78"</f>
        <v>298.78</v>
      </c>
      <c r="Z232" s="18"/>
      <c r="AA232" s="18"/>
      <c r="AB232" s="18"/>
      <c r="AC232" s="18"/>
      <c r="AD232" s="18"/>
      <c r="AE232" s="18"/>
    </row>
    <row r="233" spans="1:31">
      <c r="A233" s="14">
        <v>231</v>
      </c>
      <c r="B233" s="14">
        <v>11048</v>
      </c>
      <c r="C233" s="14" t="s">
        <v>351</v>
      </c>
      <c r="D233" s="14" t="s">
        <v>45</v>
      </c>
      <c r="E233" s="15" t="str">
        <f>"341.84"</f>
        <v>341.84</v>
      </c>
      <c r="F233" s="15"/>
      <c r="G233" s="16" t="str">
        <f>"341.84"</f>
        <v>341.84</v>
      </c>
      <c r="H233" s="17"/>
      <c r="I233" s="15">
        <v>5</v>
      </c>
      <c r="J233" s="15">
        <v>2016</v>
      </c>
      <c r="K233" s="18"/>
      <c r="L233" s="18"/>
      <c r="M233" s="18"/>
      <c r="N233" s="18"/>
      <c r="O233" s="18" t="str">
        <f>"344.69"</f>
        <v>344.69</v>
      </c>
      <c r="P233" s="18"/>
      <c r="Q233" s="18"/>
      <c r="R233" s="18"/>
      <c r="S233" s="18" t="str">
        <f>"338.99"</f>
        <v>338.99</v>
      </c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</row>
    <row r="234" spans="1:31">
      <c r="A234" s="14">
        <v>232</v>
      </c>
      <c r="B234" s="14">
        <v>7578</v>
      </c>
      <c r="C234" s="14" t="s">
        <v>352</v>
      </c>
      <c r="D234" s="14" t="s">
        <v>211</v>
      </c>
      <c r="E234" s="15" t="str">
        <f>"305.35"</f>
        <v>305.35</v>
      </c>
      <c r="F234" s="15"/>
      <c r="G234" s="16" t="str">
        <f>"345.35"</f>
        <v>345.35</v>
      </c>
      <c r="H234" s="17" t="s">
        <v>38</v>
      </c>
      <c r="I234" s="15">
        <v>1</v>
      </c>
      <c r="J234" s="15">
        <v>2016</v>
      </c>
      <c r="K234" s="18" t="str">
        <f>"305.35"</f>
        <v>305.35</v>
      </c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</row>
    <row r="235" spans="1:31">
      <c r="A235" s="14">
        <v>233</v>
      </c>
      <c r="B235" s="14">
        <v>10712</v>
      </c>
      <c r="C235" s="14" t="s">
        <v>353</v>
      </c>
      <c r="D235" s="14" t="s">
        <v>45</v>
      </c>
      <c r="E235" s="15" t="str">
        <f>"345.49"</f>
        <v>345.49</v>
      </c>
      <c r="F235" s="15"/>
      <c r="G235" s="16" t="str">
        <f>"345.49"</f>
        <v>345.49</v>
      </c>
      <c r="H235" s="17"/>
      <c r="I235" s="15">
        <v>5</v>
      </c>
      <c r="J235" s="15">
        <v>2016</v>
      </c>
      <c r="K235" s="18"/>
      <c r="L235" s="18"/>
      <c r="M235" s="18"/>
      <c r="N235" s="18" t="str">
        <f>"398.51"</f>
        <v>398.51</v>
      </c>
      <c r="O235" s="18"/>
      <c r="P235" s="18" t="str">
        <f>"292.47"</f>
        <v>292.47</v>
      </c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</row>
    <row r="236" spans="1:31">
      <c r="A236" s="14">
        <v>234</v>
      </c>
      <c r="B236" s="14">
        <v>8355</v>
      </c>
      <c r="C236" s="14" t="s">
        <v>354</v>
      </c>
      <c r="D236" s="14" t="s">
        <v>239</v>
      </c>
      <c r="E236" s="15" t="str">
        <f>"247.29"</f>
        <v>247.29</v>
      </c>
      <c r="F236" s="15"/>
      <c r="G236" s="16" t="str">
        <f>"345.67"</f>
        <v>345.67</v>
      </c>
      <c r="H236" s="17"/>
      <c r="I236" s="15">
        <v>3</v>
      </c>
      <c r="J236" s="15">
        <v>2016</v>
      </c>
      <c r="K236" s="18" t="str">
        <f>"247.29"</f>
        <v>247.29</v>
      </c>
      <c r="L236" s="18"/>
      <c r="M236" s="18"/>
      <c r="N236" s="18" t="str">
        <f>"354.00"</f>
        <v>354.00</v>
      </c>
      <c r="O236" s="18"/>
      <c r="P236" s="18"/>
      <c r="Q236" s="18" t="str">
        <f>"337.34"</f>
        <v>337.34</v>
      </c>
      <c r="R236" s="18" t="str">
        <f>"456.51"</f>
        <v>456.51</v>
      </c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</row>
    <row r="237" spans="1:31">
      <c r="A237" s="14">
        <v>235</v>
      </c>
      <c r="B237" s="14">
        <v>2694</v>
      </c>
      <c r="C237" s="14" t="s">
        <v>355</v>
      </c>
      <c r="D237" s="14" t="s">
        <v>356</v>
      </c>
      <c r="E237" s="15" t="str">
        <f>"305.73"</f>
        <v>305.73</v>
      </c>
      <c r="F237" s="15"/>
      <c r="G237" s="16" t="str">
        <f>"345.73"</f>
        <v>345.73</v>
      </c>
      <c r="H237" s="17" t="s">
        <v>38</v>
      </c>
      <c r="I237" s="15">
        <v>1</v>
      </c>
      <c r="J237" s="15">
        <v>2016</v>
      </c>
      <c r="K237" s="18" t="str">
        <f>"305.73"</f>
        <v>305.73</v>
      </c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</row>
    <row r="238" spans="1:31">
      <c r="A238" s="14">
        <v>236</v>
      </c>
      <c r="B238" s="14">
        <v>10353</v>
      </c>
      <c r="C238" s="14" t="s">
        <v>357</v>
      </c>
      <c r="D238" s="14" t="s">
        <v>76</v>
      </c>
      <c r="E238" s="15" t="str">
        <f>"347.81"</f>
        <v>347.81</v>
      </c>
      <c r="F238" s="15"/>
      <c r="G238" s="16" t="str">
        <f>"347.81"</f>
        <v>347.81</v>
      </c>
      <c r="H238" s="17"/>
      <c r="I238" s="15">
        <v>3</v>
      </c>
      <c r="J238" s="15">
        <v>2016</v>
      </c>
      <c r="K238" s="18" t="str">
        <f>"459.61"</f>
        <v>459.61</v>
      </c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 t="str">
        <f>"371.52"</f>
        <v>371.52</v>
      </c>
      <c r="X238" s="18"/>
      <c r="Y238" s="18"/>
      <c r="Z238" s="18"/>
      <c r="AA238" s="18"/>
      <c r="AB238" s="18"/>
      <c r="AC238" s="18"/>
      <c r="AD238" s="18"/>
      <c r="AE238" s="18" t="str">
        <f>"324.09"</f>
        <v>324.09</v>
      </c>
    </row>
    <row r="239" spans="1:31">
      <c r="A239" s="14">
        <v>237</v>
      </c>
      <c r="B239" s="14">
        <v>10480</v>
      </c>
      <c r="C239" s="14" t="s">
        <v>358</v>
      </c>
      <c r="D239" s="14" t="s">
        <v>76</v>
      </c>
      <c r="E239" s="15" t="str">
        <f>"349.26"</f>
        <v>349.26</v>
      </c>
      <c r="F239" s="15"/>
      <c r="G239" s="16" t="str">
        <f>"349.26"</f>
        <v>349.26</v>
      </c>
      <c r="H239" s="17"/>
      <c r="I239" s="15">
        <v>3</v>
      </c>
      <c r="J239" s="15">
        <v>2016</v>
      </c>
      <c r="K239" s="18" t="str">
        <f>"465.76"</f>
        <v>465.76</v>
      </c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 t="str">
        <f>"392.13"</f>
        <v>392.13</v>
      </c>
      <c r="X239" s="18"/>
      <c r="Y239" s="18"/>
      <c r="Z239" s="18"/>
      <c r="AA239" s="18"/>
      <c r="AB239" s="18"/>
      <c r="AC239" s="18"/>
      <c r="AD239" s="18"/>
      <c r="AE239" s="18" t="str">
        <f>"306.38"</f>
        <v>306.38</v>
      </c>
    </row>
    <row r="240" spans="1:31">
      <c r="A240" s="14">
        <v>238</v>
      </c>
      <c r="B240" s="14">
        <v>1834</v>
      </c>
      <c r="C240" s="14" t="s">
        <v>359</v>
      </c>
      <c r="D240" s="14" t="s">
        <v>37</v>
      </c>
      <c r="E240" s="15" t="str">
        <f>"308.40"</f>
        <v>308.40</v>
      </c>
      <c r="F240" s="15"/>
      <c r="G240" s="16" t="str">
        <f>"349.49"</f>
        <v>349.49</v>
      </c>
      <c r="H240" s="17"/>
      <c r="I240" s="15">
        <v>3</v>
      </c>
      <c r="J240" s="15">
        <v>2016</v>
      </c>
      <c r="K240" s="18" t="str">
        <f>"308.40"</f>
        <v>308.40</v>
      </c>
      <c r="L240" s="18"/>
      <c r="M240" s="18"/>
      <c r="N240" s="18"/>
      <c r="O240" s="18"/>
      <c r="P240" s="18"/>
      <c r="Q240" s="18"/>
      <c r="R240" s="18"/>
      <c r="S240" s="18"/>
      <c r="T240" s="18"/>
      <c r="U240" s="18" t="str">
        <f>"363.69"</f>
        <v>363.69</v>
      </c>
      <c r="V240" s="18" t="str">
        <f>"434.12"</f>
        <v>434.12</v>
      </c>
      <c r="W240" s="18"/>
      <c r="X240" s="18"/>
      <c r="Y240" s="18"/>
      <c r="Z240" s="18" t="str">
        <f>"335.29"</f>
        <v>335.29</v>
      </c>
      <c r="AA240" s="18" t="str">
        <f>"369.92"</f>
        <v>369.92</v>
      </c>
      <c r="AB240" s="18"/>
      <c r="AC240" s="18"/>
      <c r="AD240" s="18"/>
      <c r="AE240" s="18"/>
    </row>
    <row r="241" spans="1:31">
      <c r="A241" s="14">
        <v>239</v>
      </c>
      <c r="B241" s="14">
        <v>10658</v>
      </c>
      <c r="C241" s="14" t="s">
        <v>360</v>
      </c>
      <c r="D241" s="14" t="s">
        <v>55</v>
      </c>
      <c r="E241" s="15" t="str">
        <f>"311.76"</f>
        <v>311.76</v>
      </c>
      <c r="F241" s="15"/>
      <c r="G241" s="16" t="str">
        <f>"351.76"</f>
        <v>351.76</v>
      </c>
      <c r="H241" s="17" t="s">
        <v>38</v>
      </c>
      <c r="I241" s="15">
        <v>1</v>
      </c>
      <c r="J241" s="15">
        <v>2016</v>
      </c>
      <c r="K241" s="18" t="str">
        <f>"311.76"</f>
        <v>311.76</v>
      </c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</row>
    <row r="242" spans="1:31">
      <c r="A242" s="14">
        <v>240</v>
      </c>
      <c r="B242" s="14">
        <v>10377</v>
      </c>
      <c r="C242" s="14" t="s">
        <v>361</v>
      </c>
      <c r="D242" s="14" t="s">
        <v>55</v>
      </c>
      <c r="E242" s="15" t="str">
        <f>"312.60"</f>
        <v>312.60</v>
      </c>
      <c r="F242" s="15"/>
      <c r="G242" s="16" t="str">
        <f>"352.60"</f>
        <v>352.60</v>
      </c>
      <c r="H242" s="17" t="s">
        <v>38</v>
      </c>
      <c r="I242" s="15">
        <v>1</v>
      </c>
      <c r="J242" s="15">
        <v>2016</v>
      </c>
      <c r="K242" s="18" t="str">
        <f>"312.60"</f>
        <v>312.60</v>
      </c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</row>
    <row r="243" spans="1:31">
      <c r="A243" s="14">
        <v>241</v>
      </c>
      <c r="B243" s="14">
        <v>10847</v>
      </c>
      <c r="C243" s="14" t="s">
        <v>362</v>
      </c>
      <c r="D243" s="14" t="s">
        <v>37</v>
      </c>
      <c r="E243" s="15" t="str">
        <f>"354.77"</f>
        <v>354.77</v>
      </c>
      <c r="F243" s="15"/>
      <c r="G243" s="16" t="str">
        <f>"354.77"</f>
        <v>354.77</v>
      </c>
      <c r="H243" s="17"/>
      <c r="I243" s="15">
        <v>5</v>
      </c>
      <c r="J243" s="15">
        <v>2016</v>
      </c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 t="str">
        <f>"502.33"</f>
        <v>502.33</v>
      </c>
      <c r="V243" s="18"/>
      <c r="W243" s="18"/>
      <c r="X243" s="18"/>
      <c r="Y243" s="18"/>
      <c r="Z243" s="18" t="str">
        <f>"337.78"</f>
        <v>337.78</v>
      </c>
      <c r="AA243" s="18" t="str">
        <f>"371.75"</f>
        <v>371.75</v>
      </c>
      <c r="AB243" s="18"/>
      <c r="AC243" s="18"/>
      <c r="AD243" s="18"/>
      <c r="AE243" s="18"/>
    </row>
    <row r="244" spans="1:31">
      <c r="A244" s="14">
        <v>242</v>
      </c>
      <c r="B244" s="14">
        <v>2261</v>
      </c>
      <c r="C244" s="14" t="s">
        <v>363</v>
      </c>
      <c r="D244" s="14" t="s">
        <v>364</v>
      </c>
      <c r="E244" s="15" t="str">
        <f>"333.12"</f>
        <v>333.12</v>
      </c>
      <c r="F244" s="15"/>
      <c r="G244" s="16" t="str">
        <f>"355.66"</f>
        <v>355.66</v>
      </c>
      <c r="H244" s="17"/>
      <c r="I244" s="15">
        <v>3</v>
      </c>
      <c r="J244" s="15">
        <v>2016</v>
      </c>
      <c r="K244" s="18" t="str">
        <f>"333.12"</f>
        <v>333.12</v>
      </c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 t="str">
        <f>"346.88"</f>
        <v>346.88</v>
      </c>
      <c r="Z244" s="18"/>
      <c r="AA244" s="18"/>
      <c r="AB244" s="18" t="str">
        <f>"364.44"</f>
        <v>364.44</v>
      </c>
      <c r="AC244" s="18" t="str">
        <f>"393.19"</f>
        <v>393.19</v>
      </c>
      <c r="AD244" s="18"/>
      <c r="AE244" s="18"/>
    </row>
    <row r="245" spans="1:31">
      <c r="A245" s="14">
        <v>243</v>
      </c>
      <c r="B245" s="14">
        <v>10331</v>
      </c>
      <c r="C245" s="14" t="s">
        <v>365</v>
      </c>
      <c r="D245" s="14" t="s">
        <v>236</v>
      </c>
      <c r="E245" s="15" t="str">
        <f>"358.79"</f>
        <v>358.79</v>
      </c>
      <c r="F245" s="15"/>
      <c r="G245" s="16" t="str">
        <f>"361.57"</f>
        <v>361.57</v>
      </c>
      <c r="H245" s="17" t="s">
        <v>40</v>
      </c>
      <c r="I245" s="15">
        <v>2</v>
      </c>
      <c r="J245" s="15">
        <v>2016</v>
      </c>
      <c r="K245" s="18" t="str">
        <f>"396.00"</f>
        <v>396.00</v>
      </c>
      <c r="L245" s="18"/>
      <c r="M245" s="18"/>
      <c r="N245" s="18"/>
      <c r="O245" s="18"/>
      <c r="P245" s="18"/>
      <c r="Q245" s="18"/>
      <c r="R245" s="18"/>
      <c r="S245" s="18" t="str">
        <f>"321.57"</f>
        <v>321.57</v>
      </c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</row>
    <row r="246" spans="1:31">
      <c r="A246" s="14">
        <v>244</v>
      </c>
      <c r="B246" s="14">
        <v>10802</v>
      </c>
      <c r="C246" s="14" t="s">
        <v>366</v>
      </c>
      <c r="D246" s="14" t="s">
        <v>76</v>
      </c>
      <c r="E246" s="15" t="str">
        <f>"365.04"</f>
        <v>365.04</v>
      </c>
      <c r="F246" s="15"/>
      <c r="G246" s="16" t="str">
        <f>"365.04"</f>
        <v>365.04</v>
      </c>
      <c r="H246" s="17" t="s">
        <v>40</v>
      </c>
      <c r="I246" s="15">
        <v>4</v>
      </c>
      <c r="J246" s="15">
        <v>2016</v>
      </c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 t="str">
        <f>"325.04"</f>
        <v>325.04</v>
      </c>
      <c r="X246" s="18"/>
      <c r="Y246" s="18"/>
      <c r="Z246" s="18"/>
      <c r="AA246" s="18"/>
      <c r="AB246" s="18"/>
      <c r="AC246" s="18"/>
      <c r="AD246" s="18"/>
      <c r="AE246" s="18"/>
    </row>
    <row r="247" spans="1:31">
      <c r="A247" s="14">
        <v>245</v>
      </c>
      <c r="B247" s="14">
        <v>479</v>
      </c>
      <c r="C247" s="14" t="s">
        <v>367</v>
      </c>
      <c r="D247" s="14" t="s">
        <v>315</v>
      </c>
      <c r="E247" s="15" t="str">
        <f>"365.08"</f>
        <v>365.08</v>
      </c>
      <c r="F247" s="15"/>
      <c r="G247" s="16" t="str">
        <f>"365.08"</f>
        <v>365.08</v>
      </c>
      <c r="H247" s="17"/>
      <c r="I247" s="15">
        <v>3</v>
      </c>
      <c r="J247" s="15">
        <v>2016</v>
      </c>
      <c r="K247" s="18" t="str">
        <f>"472.31"</f>
        <v>472.31</v>
      </c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 t="str">
        <f>"407.40"</f>
        <v>407.40</v>
      </c>
      <c r="Y247" s="18"/>
      <c r="Z247" s="18"/>
      <c r="AA247" s="18"/>
      <c r="AB247" s="18"/>
      <c r="AC247" s="18"/>
      <c r="AD247" s="18"/>
      <c r="AE247" s="18" t="str">
        <f>"322.76"</f>
        <v>322.76</v>
      </c>
    </row>
    <row r="248" spans="1:31">
      <c r="A248" s="14">
        <v>246</v>
      </c>
      <c r="B248" s="14">
        <v>7202</v>
      </c>
      <c r="C248" s="14" t="s">
        <v>368</v>
      </c>
      <c r="D248" s="14" t="s">
        <v>164</v>
      </c>
      <c r="E248" s="15" t="str">
        <f>"326.95"</f>
        <v>326.95</v>
      </c>
      <c r="F248" s="15"/>
      <c r="G248" s="16" t="str">
        <f>"366.95"</f>
        <v>366.95</v>
      </c>
      <c r="H248" s="17" t="s">
        <v>38</v>
      </c>
      <c r="I248" s="15">
        <v>1</v>
      </c>
      <c r="J248" s="15">
        <v>2016</v>
      </c>
      <c r="K248" s="18" t="str">
        <f>"326.95"</f>
        <v>326.95</v>
      </c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</row>
    <row r="249" spans="1:31">
      <c r="A249" s="14">
        <v>247</v>
      </c>
      <c r="B249" s="14">
        <v>8425</v>
      </c>
      <c r="C249" s="14" t="s">
        <v>369</v>
      </c>
      <c r="D249" s="14" t="s">
        <v>104</v>
      </c>
      <c r="E249" s="15" t="str">
        <f>"328.52"</f>
        <v>328.52</v>
      </c>
      <c r="F249" s="15"/>
      <c r="G249" s="16" t="str">
        <f>"368.52"</f>
        <v>368.52</v>
      </c>
      <c r="H249" s="17" t="s">
        <v>38</v>
      </c>
      <c r="I249" s="15">
        <v>1</v>
      </c>
      <c r="J249" s="15">
        <v>2016</v>
      </c>
      <c r="K249" s="18" t="str">
        <f>"328.52"</f>
        <v>328.52</v>
      </c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</row>
    <row r="250" spans="1:31">
      <c r="A250" s="14">
        <v>248</v>
      </c>
      <c r="B250" s="14">
        <v>10534</v>
      </c>
      <c r="C250" s="14" t="s">
        <v>370</v>
      </c>
      <c r="D250" s="14" t="s">
        <v>135</v>
      </c>
      <c r="E250" s="15" t="str">
        <f>"345.29"</f>
        <v>345.29</v>
      </c>
      <c r="F250" s="15"/>
      <c r="G250" s="16" t="str">
        <f>"370.10"</f>
        <v>370.10</v>
      </c>
      <c r="H250" s="17" t="s">
        <v>40</v>
      </c>
      <c r="I250" s="15">
        <v>2</v>
      </c>
      <c r="J250" s="15">
        <v>2016</v>
      </c>
      <c r="K250" s="18" t="str">
        <f>"360.47"</f>
        <v>360.47</v>
      </c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 t="str">
        <f>"330.10"</f>
        <v>330.10</v>
      </c>
      <c r="AC250" s="18"/>
      <c r="AD250" s="18"/>
      <c r="AE250" s="18"/>
    </row>
    <row r="251" spans="1:31">
      <c r="A251" s="14">
        <v>249</v>
      </c>
      <c r="B251" s="14">
        <v>10879</v>
      </c>
      <c r="C251" s="14" t="s">
        <v>371</v>
      </c>
      <c r="D251" s="14" t="s">
        <v>37</v>
      </c>
      <c r="E251" s="15" t="str">
        <f>"371.49"</f>
        <v>371.49</v>
      </c>
      <c r="F251" s="15"/>
      <c r="G251" s="16" t="str">
        <f>"371.49"</f>
        <v>371.49</v>
      </c>
      <c r="H251" s="17"/>
      <c r="I251" s="15">
        <v>5</v>
      </c>
      <c r="J251" s="15">
        <v>2016</v>
      </c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 t="str">
        <f>"464.10"</f>
        <v>464.10</v>
      </c>
      <c r="V251" s="18"/>
      <c r="W251" s="18"/>
      <c r="X251" s="18"/>
      <c r="Y251" s="18"/>
      <c r="Z251" s="18" t="str">
        <f>"364.13"</f>
        <v>364.13</v>
      </c>
      <c r="AA251" s="18" t="str">
        <f>"378.85"</f>
        <v>378.85</v>
      </c>
      <c r="AB251" s="18"/>
      <c r="AC251" s="18"/>
      <c r="AD251" s="18"/>
      <c r="AE251" s="18"/>
    </row>
    <row r="252" spans="1:31">
      <c r="A252" s="14">
        <v>250</v>
      </c>
      <c r="B252" s="14">
        <v>10741</v>
      </c>
      <c r="C252" s="14" t="s">
        <v>372</v>
      </c>
      <c r="D252" s="14" t="s">
        <v>76</v>
      </c>
      <c r="E252" s="15" t="str">
        <f>"372.38"</f>
        <v>372.38</v>
      </c>
      <c r="F252" s="15"/>
      <c r="G252" s="16" t="str">
        <f>"372.38"</f>
        <v>372.38</v>
      </c>
      <c r="H252" s="17"/>
      <c r="I252" s="15">
        <v>5</v>
      </c>
      <c r="J252" s="15">
        <v>2016</v>
      </c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 t="str">
        <f>"432.03"</f>
        <v>432.03</v>
      </c>
      <c r="X252" s="18"/>
      <c r="Y252" s="18"/>
      <c r="Z252" s="18"/>
      <c r="AA252" s="18"/>
      <c r="AB252" s="18"/>
      <c r="AC252" s="18"/>
      <c r="AD252" s="18" t="str">
        <f>"312.73"</f>
        <v>312.73</v>
      </c>
      <c r="AE252" s="18"/>
    </row>
    <row r="253" spans="1:31">
      <c r="A253" s="14">
        <v>251</v>
      </c>
      <c r="B253" s="14">
        <v>10814</v>
      </c>
      <c r="C253" s="14" t="s">
        <v>373</v>
      </c>
      <c r="D253" s="14" t="s">
        <v>76</v>
      </c>
      <c r="E253" s="15" t="str">
        <f>"379.54"</f>
        <v>379.54</v>
      </c>
      <c r="F253" s="15"/>
      <c r="G253" s="16" t="str">
        <f>"379.54"</f>
        <v>379.54</v>
      </c>
      <c r="H253" s="17"/>
      <c r="I253" s="15">
        <v>5</v>
      </c>
      <c r="J253" s="15">
        <v>2016</v>
      </c>
      <c r="K253" s="18"/>
      <c r="L253" s="18"/>
      <c r="M253" s="18"/>
      <c r="N253" s="18"/>
      <c r="O253" s="18" t="str">
        <f>"373.96"</f>
        <v>373.96</v>
      </c>
      <c r="P253" s="18"/>
      <c r="Q253" s="18"/>
      <c r="R253" s="18"/>
      <c r="S253" s="18" t="str">
        <f>"387.22"</f>
        <v>387.22</v>
      </c>
      <c r="T253" s="18"/>
      <c r="U253" s="18"/>
      <c r="V253" s="18"/>
      <c r="W253" s="18" t="str">
        <f>"385.11"</f>
        <v>385.11</v>
      </c>
      <c r="X253" s="18"/>
      <c r="Y253" s="18"/>
      <c r="Z253" s="18"/>
      <c r="AA253" s="18"/>
      <c r="AB253" s="18"/>
      <c r="AC253" s="18"/>
      <c r="AD253" s="18"/>
      <c r="AE253" s="18"/>
    </row>
    <row r="254" spans="1:31">
      <c r="A254" s="14">
        <v>252</v>
      </c>
      <c r="B254" s="14">
        <v>10610</v>
      </c>
      <c r="C254" s="14" t="s">
        <v>374</v>
      </c>
      <c r="D254" s="14" t="s">
        <v>37</v>
      </c>
      <c r="E254" s="15" t="str">
        <f>"380.25"</f>
        <v>380.25</v>
      </c>
      <c r="F254" s="15"/>
      <c r="G254" s="16" t="str">
        <f>"380.25"</f>
        <v>380.25</v>
      </c>
      <c r="H254" s="17"/>
      <c r="I254" s="15">
        <v>3</v>
      </c>
      <c r="J254" s="15">
        <v>2016</v>
      </c>
      <c r="K254" s="18" t="str">
        <f>"400.16"</f>
        <v>400.16</v>
      </c>
      <c r="L254" s="18"/>
      <c r="M254" s="18"/>
      <c r="N254" s="18"/>
      <c r="O254" s="18"/>
      <c r="P254" s="18"/>
      <c r="Q254" s="18"/>
      <c r="R254" s="18"/>
      <c r="S254" s="18"/>
      <c r="T254" s="18"/>
      <c r="U254" s="18" t="str">
        <f>"370.78"</f>
        <v>370.78</v>
      </c>
      <c r="V254" s="18"/>
      <c r="W254" s="18"/>
      <c r="X254" s="18"/>
      <c r="Y254" s="18"/>
      <c r="Z254" s="18" t="str">
        <f>"389.71"</f>
        <v>389.71</v>
      </c>
      <c r="AA254" s="18" t="str">
        <f>"515.61"</f>
        <v>515.61</v>
      </c>
      <c r="AB254" s="18"/>
      <c r="AC254" s="18"/>
      <c r="AD254" s="18"/>
      <c r="AE254" s="18"/>
    </row>
    <row r="255" spans="1:31">
      <c r="A255" s="14">
        <v>253</v>
      </c>
      <c r="B255" s="14">
        <v>10142</v>
      </c>
      <c r="C255" s="14" t="s">
        <v>375</v>
      </c>
      <c r="D255" s="14" t="s">
        <v>76</v>
      </c>
      <c r="E255" s="15" t="str">
        <f>"465.74"</f>
        <v>465.74</v>
      </c>
      <c r="F255" s="15"/>
      <c r="G255" s="16" t="str">
        <f>"380.39"</f>
        <v>380.39</v>
      </c>
      <c r="H255" s="17" t="s">
        <v>40</v>
      </c>
      <c r="I255" s="15">
        <v>2</v>
      </c>
      <c r="J255" s="15">
        <v>2016</v>
      </c>
      <c r="K255" s="18" t="str">
        <f>"591.08"</f>
        <v>591.08</v>
      </c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 t="str">
        <f>"340.39"</f>
        <v>340.39</v>
      </c>
      <c r="X255" s="18"/>
      <c r="Y255" s="18"/>
      <c r="Z255" s="18"/>
      <c r="AA255" s="18"/>
      <c r="AB255" s="18"/>
      <c r="AC255" s="18"/>
      <c r="AD255" s="18"/>
      <c r="AE255" s="18"/>
    </row>
    <row r="256" spans="1:31">
      <c r="A256" s="14">
        <v>254</v>
      </c>
      <c r="B256" s="14">
        <v>10603</v>
      </c>
      <c r="C256" s="14" t="s">
        <v>376</v>
      </c>
      <c r="D256" s="14" t="s">
        <v>37</v>
      </c>
      <c r="E256" s="15" t="str">
        <f>"348.83"</f>
        <v>348.83</v>
      </c>
      <c r="F256" s="15"/>
      <c r="G256" s="16" t="str">
        <f>"381.49"</f>
        <v>381.49</v>
      </c>
      <c r="H256" s="17"/>
      <c r="I256" s="15">
        <v>3</v>
      </c>
      <c r="J256" s="15">
        <v>2016</v>
      </c>
      <c r="K256" s="18" t="str">
        <f>"348.83"</f>
        <v>348.83</v>
      </c>
      <c r="L256" s="18"/>
      <c r="M256" s="18"/>
      <c r="N256" s="18"/>
      <c r="O256" s="18"/>
      <c r="P256" s="18"/>
      <c r="Q256" s="18"/>
      <c r="R256" s="18"/>
      <c r="S256" s="18"/>
      <c r="T256" s="18"/>
      <c r="U256" s="18" t="str">
        <f>"360.61"</f>
        <v>360.61</v>
      </c>
      <c r="V256" s="18" t="str">
        <f>"402.37"</f>
        <v>402.37</v>
      </c>
      <c r="W256" s="18"/>
      <c r="X256" s="18"/>
      <c r="Y256" s="18"/>
      <c r="Z256" s="18"/>
      <c r="AA256" s="18"/>
      <c r="AB256" s="18"/>
      <c r="AC256" s="18"/>
      <c r="AD256" s="18"/>
      <c r="AE256" s="18"/>
    </row>
    <row r="257" spans="1:31">
      <c r="A257" s="14">
        <v>255</v>
      </c>
      <c r="B257" s="14">
        <v>1000</v>
      </c>
      <c r="C257" s="14" t="s">
        <v>377</v>
      </c>
      <c r="D257" s="14" t="s">
        <v>378</v>
      </c>
      <c r="E257" s="15" t="str">
        <f>"373.94"</f>
        <v>373.94</v>
      </c>
      <c r="F257" s="15"/>
      <c r="G257" s="16" t="str">
        <f>"383.12"</f>
        <v>383.12</v>
      </c>
      <c r="H257" s="17" t="s">
        <v>40</v>
      </c>
      <c r="I257" s="15">
        <v>2</v>
      </c>
      <c r="J257" s="15">
        <v>2016</v>
      </c>
      <c r="K257" s="18" t="str">
        <f>"404.75"</f>
        <v>404.75</v>
      </c>
      <c r="L257" s="18"/>
      <c r="M257" s="18"/>
      <c r="N257" s="18"/>
      <c r="O257" s="18"/>
      <c r="P257" s="18"/>
      <c r="Q257" s="18"/>
      <c r="R257" s="18"/>
      <c r="S257" s="18"/>
      <c r="T257" s="18" t="str">
        <f>"343.12"</f>
        <v>343.12</v>
      </c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</row>
    <row r="258" spans="1:31">
      <c r="A258" s="14">
        <v>256</v>
      </c>
      <c r="B258" s="14">
        <v>10746</v>
      </c>
      <c r="C258" s="14" t="s">
        <v>379</v>
      </c>
      <c r="D258" s="14" t="s">
        <v>76</v>
      </c>
      <c r="E258" s="15" t="str">
        <f>"385.51"</f>
        <v>385.51</v>
      </c>
      <c r="F258" s="15"/>
      <c r="G258" s="16" t="str">
        <f>"385.51"</f>
        <v>385.51</v>
      </c>
      <c r="H258" s="17"/>
      <c r="I258" s="15">
        <v>5</v>
      </c>
      <c r="J258" s="15">
        <v>2016</v>
      </c>
      <c r="K258" s="18"/>
      <c r="L258" s="18"/>
      <c r="M258" s="18"/>
      <c r="N258" s="18"/>
      <c r="O258" s="18"/>
      <c r="P258" s="18"/>
      <c r="Q258" s="18"/>
      <c r="R258" s="18"/>
      <c r="S258" s="18" t="str">
        <f>"528.90"</f>
        <v>528.90</v>
      </c>
      <c r="T258" s="18"/>
      <c r="U258" s="18"/>
      <c r="V258" s="18"/>
      <c r="W258" s="18" t="str">
        <f>"458.77"</f>
        <v>458.77</v>
      </c>
      <c r="X258" s="18"/>
      <c r="Y258" s="18"/>
      <c r="Z258" s="18"/>
      <c r="AA258" s="18"/>
      <c r="AB258" s="18"/>
      <c r="AC258" s="18"/>
      <c r="AD258" s="18" t="str">
        <f>"399.40"</f>
        <v>399.40</v>
      </c>
      <c r="AE258" s="18" t="str">
        <f>"371.62"</f>
        <v>371.62</v>
      </c>
    </row>
    <row r="259" spans="1:31">
      <c r="A259" s="14">
        <v>257</v>
      </c>
      <c r="B259" s="14">
        <v>2472</v>
      </c>
      <c r="C259" s="14" t="s">
        <v>380</v>
      </c>
      <c r="D259" s="14" t="s">
        <v>381</v>
      </c>
      <c r="E259" s="15" t="str">
        <f>"320.64"</f>
        <v>320.64</v>
      </c>
      <c r="F259" s="15"/>
      <c r="G259" s="16" t="str">
        <f>"386.04"</f>
        <v>386.04</v>
      </c>
      <c r="H259" s="17" t="s">
        <v>40</v>
      </c>
      <c r="I259" s="15">
        <v>2</v>
      </c>
      <c r="J259" s="15">
        <v>2016</v>
      </c>
      <c r="K259" s="18" t="str">
        <f>"320.64"</f>
        <v>320.64</v>
      </c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 t="str">
        <f>"346.04"</f>
        <v>346.04</v>
      </c>
      <c r="AD259" s="18"/>
      <c r="AE259" s="18"/>
    </row>
    <row r="260" spans="1:31">
      <c r="A260" s="14">
        <v>258</v>
      </c>
      <c r="B260" s="14">
        <v>10676</v>
      </c>
      <c r="C260" s="14" t="s">
        <v>382</v>
      </c>
      <c r="D260" s="14" t="s">
        <v>383</v>
      </c>
      <c r="E260" s="15" t="str">
        <f>"387.37"</f>
        <v>387.37</v>
      </c>
      <c r="F260" s="15"/>
      <c r="G260" s="16" t="str">
        <f>"387.37"</f>
        <v>387.37</v>
      </c>
      <c r="H260" s="17"/>
      <c r="I260" s="15">
        <v>5</v>
      </c>
      <c r="J260" s="15">
        <v>2016</v>
      </c>
      <c r="K260" s="18"/>
      <c r="L260" s="18"/>
      <c r="M260" s="18"/>
      <c r="N260" s="18" t="str">
        <f>"424.07"</f>
        <v>424.07</v>
      </c>
      <c r="O260" s="18"/>
      <c r="P260" s="18" t="str">
        <f>"350.67"</f>
        <v>350.67</v>
      </c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</row>
    <row r="261" spans="1:31">
      <c r="A261" s="14">
        <v>259</v>
      </c>
      <c r="B261" s="14">
        <v>2162</v>
      </c>
      <c r="C261" s="14" t="s">
        <v>384</v>
      </c>
      <c r="D261" s="14" t="s">
        <v>283</v>
      </c>
      <c r="E261" s="15" t="str">
        <f>"357.06"</f>
        <v>357.06</v>
      </c>
      <c r="F261" s="15"/>
      <c r="G261" s="16" t="str">
        <f>"397.06"</f>
        <v>397.06</v>
      </c>
      <c r="H261" s="17" t="s">
        <v>38</v>
      </c>
      <c r="I261" s="15">
        <v>1</v>
      </c>
      <c r="J261" s="15">
        <v>2016</v>
      </c>
      <c r="K261" s="18" t="str">
        <f>"357.06"</f>
        <v>357.06</v>
      </c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</row>
    <row r="262" spans="1:31">
      <c r="A262" s="14">
        <v>260</v>
      </c>
      <c r="B262" s="14">
        <v>10359</v>
      </c>
      <c r="C262" s="14" t="s">
        <v>385</v>
      </c>
      <c r="D262" s="14" t="s">
        <v>45</v>
      </c>
      <c r="E262" s="15" t="str">
        <f>"346.95"</f>
        <v>346.95</v>
      </c>
      <c r="F262" s="15"/>
      <c r="G262" s="16" t="str">
        <f>"400.43"</f>
        <v>400.43</v>
      </c>
      <c r="H262" s="17" t="s">
        <v>40</v>
      </c>
      <c r="I262" s="15">
        <v>2</v>
      </c>
      <c r="J262" s="15">
        <v>2016</v>
      </c>
      <c r="K262" s="18" t="str">
        <f>"346.95"</f>
        <v>346.95</v>
      </c>
      <c r="L262" s="18"/>
      <c r="M262" s="18"/>
      <c r="N262" s="18" t="str">
        <f>"360.43"</f>
        <v>360.43</v>
      </c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</row>
    <row r="263" spans="1:31">
      <c r="A263" s="14">
        <v>261</v>
      </c>
      <c r="B263" s="14">
        <v>11073</v>
      </c>
      <c r="C263" s="14" t="s">
        <v>386</v>
      </c>
      <c r="D263" s="14" t="s">
        <v>87</v>
      </c>
      <c r="E263" s="15" t="str">
        <f>"402.53"</f>
        <v>402.53</v>
      </c>
      <c r="F263" s="15"/>
      <c r="G263" s="16" t="str">
        <f>"402.53"</f>
        <v>402.53</v>
      </c>
      <c r="H263" s="17" t="s">
        <v>40</v>
      </c>
      <c r="I263" s="15">
        <v>4</v>
      </c>
      <c r="J263" s="15">
        <v>2016</v>
      </c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 t="str">
        <f>"362.53"</f>
        <v>362.53</v>
      </c>
      <c r="Z263" s="18"/>
      <c r="AA263" s="18"/>
      <c r="AB263" s="18"/>
      <c r="AC263" s="18"/>
      <c r="AD263" s="18"/>
      <c r="AE263" s="18"/>
    </row>
    <row r="264" spans="1:31">
      <c r="A264" s="14">
        <v>262</v>
      </c>
      <c r="B264" s="14">
        <v>10366</v>
      </c>
      <c r="C264" s="14" t="s">
        <v>387</v>
      </c>
      <c r="D264" s="14" t="s">
        <v>236</v>
      </c>
      <c r="E264" s="15" t="str">
        <f>"396.15"</f>
        <v>396.15</v>
      </c>
      <c r="F264" s="15"/>
      <c r="G264" s="16" t="str">
        <f>"403.28"</f>
        <v>403.28</v>
      </c>
      <c r="H264" s="17"/>
      <c r="I264" s="15">
        <v>3</v>
      </c>
      <c r="J264" s="15">
        <v>2016</v>
      </c>
      <c r="K264" s="18" t="str">
        <f>"430.76"</f>
        <v>430.76</v>
      </c>
      <c r="L264" s="18"/>
      <c r="M264" s="18"/>
      <c r="N264" s="18" t="str">
        <f>"445.01"</f>
        <v>445.01</v>
      </c>
      <c r="O264" s="18"/>
      <c r="P264" s="18" t="str">
        <f>"361.54"</f>
        <v>361.54</v>
      </c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</row>
    <row r="265" spans="1:31">
      <c r="A265" s="14">
        <v>263</v>
      </c>
      <c r="B265" s="14">
        <v>6486</v>
      </c>
      <c r="C265" s="14" t="s">
        <v>388</v>
      </c>
      <c r="D265" s="14" t="s">
        <v>389</v>
      </c>
      <c r="E265" s="15" t="str">
        <f>"367.45"</f>
        <v>367.45</v>
      </c>
      <c r="F265" s="15"/>
      <c r="G265" s="16" t="str">
        <f>"407.45"</f>
        <v>407.45</v>
      </c>
      <c r="H265" s="17" t="s">
        <v>38</v>
      </c>
      <c r="I265" s="15">
        <v>1</v>
      </c>
      <c r="J265" s="15">
        <v>2016</v>
      </c>
      <c r="K265" s="18" t="str">
        <f>"367.45"</f>
        <v>367.45</v>
      </c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</row>
    <row r="266" spans="1:31">
      <c r="A266" s="14">
        <v>264</v>
      </c>
      <c r="B266" s="14">
        <v>10463</v>
      </c>
      <c r="C266" s="14" t="s">
        <v>390</v>
      </c>
      <c r="D266" s="14" t="s">
        <v>76</v>
      </c>
      <c r="E266" s="15" t="str">
        <f>"410.20"</f>
        <v>410.20</v>
      </c>
      <c r="F266" s="15"/>
      <c r="G266" s="16" t="str">
        <f>"410.20"</f>
        <v>410.20</v>
      </c>
      <c r="H266" s="17"/>
      <c r="I266" s="15">
        <v>3</v>
      </c>
      <c r="J266" s="15">
        <v>2016</v>
      </c>
      <c r="K266" s="18" t="str">
        <f>"586.70"</f>
        <v>586.70</v>
      </c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 t="str">
        <f>"385.11"</f>
        <v>385.11</v>
      </c>
      <c r="X266" s="18" t="str">
        <f>"435.29"</f>
        <v>435.29</v>
      </c>
      <c r="Y266" s="18"/>
      <c r="Z266" s="18"/>
      <c r="AA266" s="18"/>
      <c r="AB266" s="18"/>
      <c r="AC266" s="18"/>
      <c r="AD266" s="18"/>
      <c r="AE266" s="18"/>
    </row>
    <row r="267" spans="1:31">
      <c r="A267" s="14">
        <v>265</v>
      </c>
      <c r="B267" s="14">
        <v>6665</v>
      </c>
      <c r="C267" s="14" t="s">
        <v>391</v>
      </c>
      <c r="D267" s="14" t="s">
        <v>201</v>
      </c>
      <c r="E267" s="15" t="str">
        <f>"370.53"</f>
        <v>370.53</v>
      </c>
      <c r="F267" s="15"/>
      <c r="G267" s="16" t="str">
        <f>"410.53"</f>
        <v>410.53</v>
      </c>
      <c r="H267" s="17" t="s">
        <v>38</v>
      </c>
      <c r="I267" s="15">
        <v>1</v>
      </c>
      <c r="J267" s="15">
        <v>2016</v>
      </c>
      <c r="K267" s="18" t="str">
        <f>"370.53"</f>
        <v>370.53</v>
      </c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</row>
    <row r="268" spans="1:31">
      <c r="A268" s="14">
        <v>266</v>
      </c>
      <c r="B268" s="14">
        <v>9973</v>
      </c>
      <c r="C268" s="14" t="s">
        <v>392</v>
      </c>
      <c r="D268" s="14" t="s">
        <v>393</v>
      </c>
      <c r="E268" s="15" t="str">
        <f>"374.65"</f>
        <v>374.65</v>
      </c>
      <c r="F268" s="15"/>
      <c r="G268" s="16" t="str">
        <f>"414.65"</f>
        <v>414.65</v>
      </c>
      <c r="H268" s="17" t="s">
        <v>38</v>
      </c>
      <c r="I268" s="15">
        <v>1</v>
      </c>
      <c r="J268" s="15">
        <v>2016</v>
      </c>
      <c r="K268" s="18" t="str">
        <f>"374.65"</f>
        <v>374.65</v>
      </c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</row>
    <row r="269" spans="1:31">
      <c r="A269" s="14">
        <v>267</v>
      </c>
      <c r="B269" s="14">
        <v>10846</v>
      </c>
      <c r="C269" s="14" t="s">
        <v>394</v>
      </c>
      <c r="D269" s="14" t="s">
        <v>37</v>
      </c>
      <c r="E269" s="15" t="str">
        <f>"416.98"</f>
        <v>416.98</v>
      </c>
      <c r="F269" s="15"/>
      <c r="G269" s="16" t="str">
        <f>"416.98"</f>
        <v>416.98</v>
      </c>
      <c r="H269" s="17"/>
      <c r="I269" s="15">
        <v>5</v>
      </c>
      <c r="J269" s="15">
        <v>2016</v>
      </c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 t="str">
        <f>"414.76"</f>
        <v>414.76</v>
      </c>
      <c r="V269" s="18"/>
      <c r="W269" s="18"/>
      <c r="X269" s="18"/>
      <c r="Y269" s="18"/>
      <c r="Z269" s="18" t="str">
        <f>"419.20"</f>
        <v>419.20</v>
      </c>
      <c r="AA269" s="18"/>
      <c r="AB269" s="18"/>
      <c r="AC269" s="18"/>
      <c r="AD269" s="18"/>
      <c r="AE269" s="18"/>
    </row>
    <row r="270" spans="1:31">
      <c r="A270" s="14">
        <v>268</v>
      </c>
      <c r="B270" s="14">
        <v>10767</v>
      </c>
      <c r="C270" s="14" t="s">
        <v>395</v>
      </c>
      <c r="D270" s="14" t="s">
        <v>76</v>
      </c>
      <c r="E270" s="15" t="str">
        <f>"425.99"</f>
        <v>425.99</v>
      </c>
      <c r="F270" s="15"/>
      <c r="G270" s="16" t="str">
        <f>"425.99"</f>
        <v>425.99</v>
      </c>
      <c r="H270" s="17" t="s">
        <v>40</v>
      </c>
      <c r="I270" s="15">
        <v>4</v>
      </c>
      <c r="J270" s="15">
        <v>2016</v>
      </c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 t="str">
        <f>"385.99"</f>
        <v>385.99</v>
      </c>
      <c r="X270" s="18"/>
      <c r="Y270" s="18"/>
      <c r="Z270" s="18"/>
      <c r="AA270" s="18"/>
      <c r="AB270" s="18"/>
      <c r="AC270" s="18"/>
      <c r="AD270" s="18"/>
      <c r="AE270" s="18"/>
    </row>
    <row r="271" spans="1:31">
      <c r="A271" s="14">
        <v>269</v>
      </c>
      <c r="B271" s="14">
        <v>10301</v>
      </c>
      <c r="C271" s="14" t="s">
        <v>396</v>
      </c>
      <c r="D271" s="14" t="s">
        <v>61</v>
      </c>
      <c r="E271" s="15" t="str">
        <f>"387.64"</f>
        <v>387.64</v>
      </c>
      <c r="F271" s="15"/>
      <c r="G271" s="16" t="str">
        <f>"427.64"</f>
        <v>427.64</v>
      </c>
      <c r="H271" s="17" t="s">
        <v>38</v>
      </c>
      <c r="I271" s="15">
        <v>1</v>
      </c>
      <c r="J271" s="15">
        <v>2016</v>
      </c>
      <c r="K271" s="18" t="str">
        <f>"387.64"</f>
        <v>387.64</v>
      </c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</row>
    <row r="272" spans="1:31">
      <c r="A272" s="14">
        <v>270</v>
      </c>
      <c r="B272" s="14">
        <v>10041</v>
      </c>
      <c r="C272" s="14" t="s">
        <v>397</v>
      </c>
      <c r="D272" s="14" t="s">
        <v>37</v>
      </c>
      <c r="E272" s="15" t="str">
        <f>"383.40"</f>
        <v>383.40</v>
      </c>
      <c r="F272" s="15"/>
      <c r="G272" s="16" t="str">
        <f>"427.97"</f>
        <v>427.97</v>
      </c>
      <c r="H272" s="17"/>
      <c r="I272" s="15">
        <v>3</v>
      </c>
      <c r="J272" s="15">
        <v>2016</v>
      </c>
      <c r="K272" s="18" t="str">
        <f>"383.40"</f>
        <v>383.40</v>
      </c>
      <c r="L272" s="18"/>
      <c r="M272" s="18"/>
      <c r="N272" s="18"/>
      <c r="O272" s="18"/>
      <c r="P272" s="18"/>
      <c r="Q272" s="18"/>
      <c r="R272" s="18"/>
      <c r="S272" s="18"/>
      <c r="T272" s="18"/>
      <c r="U272" s="18" t="str">
        <f>"419.71"</f>
        <v>419.71</v>
      </c>
      <c r="V272" s="18"/>
      <c r="W272" s="18"/>
      <c r="X272" s="18"/>
      <c r="Y272" s="18"/>
      <c r="Z272" s="18" t="str">
        <f>"436.22"</f>
        <v>436.22</v>
      </c>
      <c r="AA272" s="18"/>
      <c r="AB272" s="18"/>
      <c r="AC272" s="18"/>
      <c r="AD272" s="18"/>
      <c r="AE272" s="18"/>
    </row>
    <row r="273" spans="1:31">
      <c r="A273" s="14">
        <v>271</v>
      </c>
      <c r="B273" s="14">
        <v>10697</v>
      </c>
      <c r="C273" s="14" t="s">
        <v>398</v>
      </c>
      <c r="D273" s="14" t="s">
        <v>76</v>
      </c>
      <c r="E273" s="15" t="str">
        <f>"334.40"</f>
        <v>334.40</v>
      </c>
      <c r="F273" s="15"/>
      <c r="G273" s="16" t="str">
        <f>"428.62"</f>
        <v>428.62</v>
      </c>
      <c r="H273" s="17" t="s">
        <v>40</v>
      </c>
      <c r="I273" s="15">
        <v>2</v>
      </c>
      <c r="J273" s="15">
        <v>2016</v>
      </c>
      <c r="K273" s="18" t="str">
        <f>"334.40"</f>
        <v>334.40</v>
      </c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 t="str">
        <f>"388.62"</f>
        <v>388.62</v>
      </c>
      <c r="X273" s="18"/>
      <c r="Y273" s="18"/>
      <c r="Z273" s="18"/>
      <c r="AA273" s="18"/>
      <c r="AB273" s="18"/>
      <c r="AC273" s="18"/>
      <c r="AD273" s="18"/>
      <c r="AE273" s="18"/>
    </row>
    <row r="274" spans="1:31">
      <c r="A274" s="14">
        <v>272</v>
      </c>
      <c r="B274" s="14">
        <v>10294</v>
      </c>
      <c r="C274" s="14" t="s">
        <v>399</v>
      </c>
      <c r="D274" s="14" t="s">
        <v>239</v>
      </c>
      <c r="E274" s="15" t="str">
        <f>"591.08"</f>
        <v>591.08</v>
      </c>
      <c r="F274" s="15"/>
      <c r="G274" s="16" t="str">
        <f>"429.61"</f>
        <v>429.61</v>
      </c>
      <c r="H274" s="17" t="s">
        <v>40</v>
      </c>
      <c r="I274" s="15">
        <v>2</v>
      </c>
      <c r="J274" s="15">
        <v>2016</v>
      </c>
      <c r="K274" s="18" t="str">
        <f>"792.55"</f>
        <v>792.55</v>
      </c>
      <c r="L274" s="18"/>
      <c r="M274" s="18"/>
      <c r="N274" s="18" t="str">
        <f>"389.61"</f>
        <v>389.61</v>
      </c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</row>
    <row r="275" spans="1:31">
      <c r="A275" s="14">
        <v>273</v>
      </c>
      <c r="B275" s="14">
        <v>10197</v>
      </c>
      <c r="C275" s="14" t="s">
        <v>400</v>
      </c>
      <c r="D275" s="14" t="s">
        <v>76</v>
      </c>
      <c r="E275" s="15" t="str">
        <f>"389.73"</f>
        <v>389.73</v>
      </c>
      <c r="F275" s="15"/>
      <c r="G275" s="16" t="str">
        <f>"429.73"</f>
        <v>429.73</v>
      </c>
      <c r="H275" s="17" t="s">
        <v>38</v>
      </c>
      <c r="I275" s="15">
        <v>1</v>
      </c>
      <c r="J275" s="15">
        <v>2016</v>
      </c>
      <c r="K275" s="18" t="str">
        <f>"389.73"</f>
        <v>389.73</v>
      </c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</row>
    <row r="276" spans="1:31">
      <c r="A276" s="14">
        <v>274</v>
      </c>
      <c r="B276" s="14">
        <v>10196</v>
      </c>
      <c r="C276" s="14" t="s">
        <v>401</v>
      </c>
      <c r="D276" s="14" t="s">
        <v>76</v>
      </c>
      <c r="E276" s="15" t="str">
        <f>"424.87"</f>
        <v>424.87</v>
      </c>
      <c r="F276" s="15"/>
      <c r="G276" s="16" t="str">
        <f>"430.37"</f>
        <v>430.37</v>
      </c>
      <c r="H276" s="17" t="s">
        <v>40</v>
      </c>
      <c r="I276" s="15">
        <v>2</v>
      </c>
      <c r="J276" s="15">
        <v>2016</v>
      </c>
      <c r="K276" s="18" t="str">
        <f>"459.36"</f>
        <v>459.36</v>
      </c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 t="str">
        <f>"390.37"</f>
        <v>390.37</v>
      </c>
      <c r="X276" s="18"/>
      <c r="Y276" s="18"/>
      <c r="Z276" s="18"/>
      <c r="AA276" s="18"/>
      <c r="AB276" s="18"/>
      <c r="AC276" s="18"/>
      <c r="AD276" s="18"/>
      <c r="AE276" s="18"/>
    </row>
    <row r="277" spans="1:31">
      <c r="A277" s="14">
        <v>275</v>
      </c>
      <c r="B277" s="14">
        <v>10848</v>
      </c>
      <c r="C277" s="14" t="s">
        <v>402</v>
      </c>
      <c r="D277" s="14" t="s">
        <v>37</v>
      </c>
      <c r="E277" s="15" t="str">
        <f>"431.01"</f>
        <v>431.01</v>
      </c>
      <c r="F277" s="15"/>
      <c r="G277" s="16" t="str">
        <f>"431.01"</f>
        <v>431.01</v>
      </c>
      <c r="H277" s="17" t="s">
        <v>40</v>
      </c>
      <c r="I277" s="15">
        <v>4</v>
      </c>
      <c r="J277" s="15">
        <v>2016</v>
      </c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 t="str">
        <f>"391.01"</f>
        <v>391.01</v>
      </c>
      <c r="AA277" s="18"/>
      <c r="AB277" s="18"/>
      <c r="AC277" s="18"/>
      <c r="AD277" s="18"/>
      <c r="AE277" s="18"/>
    </row>
    <row r="278" spans="1:31">
      <c r="A278" s="14">
        <v>276</v>
      </c>
      <c r="B278" s="14">
        <v>10319</v>
      </c>
      <c r="C278" s="14" t="s">
        <v>403</v>
      </c>
      <c r="D278" s="14" t="s">
        <v>404</v>
      </c>
      <c r="E278" s="15" t="str">
        <f>"449.44"</f>
        <v>449.44</v>
      </c>
      <c r="F278" s="15"/>
      <c r="G278" s="16" t="str">
        <f>"434.22"</f>
        <v>434.22</v>
      </c>
      <c r="H278" s="17" t="s">
        <v>40</v>
      </c>
      <c r="I278" s="15">
        <v>2</v>
      </c>
      <c r="J278" s="15">
        <v>2016</v>
      </c>
      <c r="K278" s="18" t="str">
        <f>"504.66"</f>
        <v>504.66</v>
      </c>
      <c r="L278" s="18"/>
      <c r="M278" s="18"/>
      <c r="N278" s="18"/>
      <c r="O278" s="18"/>
      <c r="P278" s="18"/>
      <c r="Q278" s="18"/>
      <c r="R278" s="18" t="str">
        <f>"394.22"</f>
        <v>394.22</v>
      </c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</row>
    <row r="279" spans="1:31">
      <c r="A279" s="14">
        <v>277</v>
      </c>
      <c r="B279" s="14">
        <v>10877</v>
      </c>
      <c r="C279" s="14" t="s">
        <v>405</v>
      </c>
      <c r="D279" s="14" t="s">
        <v>37</v>
      </c>
      <c r="E279" s="15" t="str">
        <f>"434.42"</f>
        <v>434.42</v>
      </c>
      <c r="F279" s="15"/>
      <c r="G279" s="16" t="str">
        <f>"434.42"</f>
        <v>434.42</v>
      </c>
      <c r="H279" s="17"/>
      <c r="I279" s="15">
        <v>5</v>
      </c>
      <c r="J279" s="15">
        <v>2016</v>
      </c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 t="str">
        <f>"466.77"</f>
        <v>466.77</v>
      </c>
      <c r="V279" s="18"/>
      <c r="W279" s="18"/>
      <c r="X279" s="18"/>
      <c r="Y279" s="18"/>
      <c r="Z279" s="18" t="str">
        <f>"402.07"</f>
        <v>402.07</v>
      </c>
      <c r="AA279" s="18"/>
      <c r="AB279" s="18"/>
      <c r="AC279" s="18"/>
      <c r="AD279" s="18"/>
      <c r="AE279" s="18"/>
    </row>
    <row r="280" spans="1:31">
      <c r="A280" s="14">
        <v>278</v>
      </c>
      <c r="B280" s="14">
        <v>9737</v>
      </c>
      <c r="C280" s="14" t="s">
        <v>406</v>
      </c>
      <c r="D280" s="14" t="s">
        <v>92</v>
      </c>
      <c r="E280" s="15" t="str">
        <f>"396.71"</f>
        <v>396.71</v>
      </c>
      <c r="F280" s="15"/>
      <c r="G280" s="16" t="str">
        <f>"436.71"</f>
        <v>436.71</v>
      </c>
      <c r="H280" s="17" t="s">
        <v>38</v>
      </c>
      <c r="I280" s="15">
        <v>1</v>
      </c>
      <c r="J280" s="15">
        <v>2016</v>
      </c>
      <c r="K280" s="18" t="str">
        <f>"396.71"</f>
        <v>396.71</v>
      </c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</row>
    <row r="281" spans="1:31">
      <c r="A281" s="14">
        <v>279</v>
      </c>
      <c r="B281" s="14">
        <v>11014</v>
      </c>
      <c r="C281" s="14" t="s">
        <v>407</v>
      </c>
      <c r="D281" s="14" t="s">
        <v>55</v>
      </c>
      <c r="E281" s="15" t="str">
        <f>"441.65"</f>
        <v>441.65</v>
      </c>
      <c r="F281" s="15"/>
      <c r="G281" s="16" t="str">
        <f>"441.65"</f>
        <v>441.65</v>
      </c>
      <c r="H281" s="17" t="s">
        <v>40</v>
      </c>
      <c r="I281" s="15">
        <v>4</v>
      </c>
      <c r="J281" s="15">
        <v>2016</v>
      </c>
      <c r="K281" s="18"/>
      <c r="L281" s="18"/>
      <c r="M281" s="18"/>
      <c r="N281" s="18" t="str">
        <f>"401.65"</f>
        <v>401.65</v>
      </c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</row>
    <row r="282" spans="1:31">
      <c r="A282" s="14">
        <v>280</v>
      </c>
      <c r="B282" s="14">
        <v>10358</v>
      </c>
      <c r="C282" s="14" t="s">
        <v>408</v>
      </c>
      <c r="D282" s="14" t="s">
        <v>45</v>
      </c>
      <c r="E282" s="15" t="str">
        <f>"388.21"</f>
        <v>388.21</v>
      </c>
      <c r="F282" s="15"/>
      <c r="G282" s="16" t="str">
        <f>"441.69"</f>
        <v>441.69</v>
      </c>
      <c r="H282" s="17"/>
      <c r="I282" s="15">
        <v>3</v>
      </c>
      <c r="J282" s="15">
        <v>2016</v>
      </c>
      <c r="K282" s="18" t="str">
        <f>"397.24"</f>
        <v>397.24</v>
      </c>
      <c r="L282" s="18"/>
      <c r="M282" s="18"/>
      <c r="N282" s="18" t="str">
        <f>"504.20"</f>
        <v>504.20</v>
      </c>
      <c r="O282" s="18"/>
      <c r="P282" s="18" t="str">
        <f>"379.17"</f>
        <v>379.17</v>
      </c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</row>
    <row r="283" spans="1:31">
      <c r="A283" s="14">
        <v>281</v>
      </c>
      <c r="B283" s="14">
        <v>10557</v>
      </c>
      <c r="C283" s="14" t="s">
        <v>409</v>
      </c>
      <c r="D283" s="14" t="s">
        <v>37</v>
      </c>
      <c r="E283" s="15" t="str">
        <f>"446.02"</f>
        <v>446.02</v>
      </c>
      <c r="F283" s="15"/>
      <c r="G283" s="16" t="str">
        <f>"442.46"</f>
        <v>442.46</v>
      </c>
      <c r="H283" s="17" t="s">
        <v>40</v>
      </c>
      <c r="I283" s="15">
        <v>2</v>
      </c>
      <c r="J283" s="15">
        <v>2016</v>
      </c>
      <c r="K283" s="18" t="str">
        <f>"489.58"</f>
        <v>489.58</v>
      </c>
      <c r="L283" s="18"/>
      <c r="M283" s="18"/>
      <c r="N283" s="18"/>
      <c r="O283" s="18"/>
      <c r="P283" s="18"/>
      <c r="Q283" s="18"/>
      <c r="R283" s="18"/>
      <c r="S283" s="18"/>
      <c r="T283" s="18"/>
      <c r="U283" s="18" t="str">
        <f>"402.46"</f>
        <v>402.46</v>
      </c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</row>
    <row r="284" spans="1:31">
      <c r="A284" s="14">
        <v>282</v>
      </c>
      <c r="B284" s="14">
        <v>3680</v>
      </c>
      <c r="C284" s="14" t="s">
        <v>410</v>
      </c>
      <c r="D284" s="14" t="s">
        <v>330</v>
      </c>
      <c r="E284" s="15" t="str">
        <f>"404.08"</f>
        <v>404.08</v>
      </c>
      <c r="F284" s="15"/>
      <c r="G284" s="16" t="str">
        <f>"444.08"</f>
        <v>444.08</v>
      </c>
      <c r="H284" s="17" t="s">
        <v>38</v>
      </c>
      <c r="I284" s="15">
        <v>1</v>
      </c>
      <c r="J284" s="15">
        <v>2016</v>
      </c>
      <c r="K284" s="18" t="str">
        <f>"404.08"</f>
        <v>404.08</v>
      </c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</row>
    <row r="285" spans="1:31">
      <c r="A285" s="14">
        <v>283</v>
      </c>
      <c r="B285" s="14">
        <v>11088</v>
      </c>
      <c r="C285" s="14" t="s">
        <v>411</v>
      </c>
      <c r="D285" s="14" t="s">
        <v>55</v>
      </c>
      <c r="E285" s="15" t="str">
        <f>"444.24"</f>
        <v>444.24</v>
      </c>
      <c r="F285" s="15"/>
      <c r="G285" s="16" t="str">
        <f>"444.24"</f>
        <v>444.24</v>
      </c>
      <c r="H285" s="17"/>
      <c r="I285" s="15">
        <v>5</v>
      </c>
      <c r="J285" s="15">
        <v>2016</v>
      </c>
      <c r="K285" s="18"/>
      <c r="L285" s="18"/>
      <c r="M285" s="18"/>
      <c r="N285" s="18" t="str">
        <f>"534.70"</f>
        <v>534.70</v>
      </c>
      <c r="O285" s="18"/>
      <c r="P285" s="18"/>
      <c r="Q285" s="18"/>
      <c r="R285" s="18" t="str">
        <f>"353.77"</f>
        <v>353.77</v>
      </c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</row>
    <row r="286" spans="1:31">
      <c r="A286" s="14">
        <v>284</v>
      </c>
      <c r="B286" s="14">
        <v>10687</v>
      </c>
      <c r="C286" s="14" t="s">
        <v>412</v>
      </c>
      <c r="D286" s="14" t="s">
        <v>45</v>
      </c>
      <c r="E286" s="15" t="str">
        <f>"449.99"</f>
        <v>449.99</v>
      </c>
      <c r="F286" s="15"/>
      <c r="G286" s="16" t="str">
        <f>"449.99"</f>
        <v>449.99</v>
      </c>
      <c r="H286" s="17"/>
      <c r="I286" s="15">
        <v>3</v>
      </c>
      <c r="J286" s="15">
        <v>2016</v>
      </c>
      <c r="K286" s="18" t="str">
        <f>"536.91"</f>
        <v>536.91</v>
      </c>
      <c r="L286" s="18"/>
      <c r="M286" s="18"/>
      <c r="N286" s="18" t="str">
        <f>"522.50"</f>
        <v>522.50</v>
      </c>
      <c r="O286" s="18"/>
      <c r="P286" s="18" t="str">
        <f>"377.48"</f>
        <v>377.48</v>
      </c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</row>
    <row r="287" spans="1:31">
      <c r="A287" s="14">
        <v>285</v>
      </c>
      <c r="B287" s="14">
        <v>7075</v>
      </c>
      <c r="C287" s="14" t="s">
        <v>413</v>
      </c>
      <c r="D287" s="14" t="s">
        <v>414</v>
      </c>
      <c r="E287" s="15" t="str">
        <f>"412.36"</f>
        <v>412.36</v>
      </c>
      <c r="F287" s="15"/>
      <c r="G287" s="16" t="str">
        <f>"452.36"</f>
        <v>452.36</v>
      </c>
      <c r="H287" s="17" t="s">
        <v>38</v>
      </c>
      <c r="I287" s="15">
        <v>1</v>
      </c>
      <c r="J287" s="15">
        <v>2016</v>
      </c>
      <c r="K287" s="18" t="str">
        <f>"412.36"</f>
        <v>412.36</v>
      </c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</row>
    <row r="288" spans="1:31">
      <c r="A288" s="14">
        <v>286</v>
      </c>
      <c r="B288" s="14">
        <v>10700</v>
      </c>
      <c r="C288" s="14" t="s">
        <v>415</v>
      </c>
      <c r="D288" s="14" t="s">
        <v>55</v>
      </c>
      <c r="E288" s="15" t="str">
        <f>"453.25"</f>
        <v>453.25</v>
      </c>
      <c r="F288" s="15"/>
      <c r="G288" s="16" t="str">
        <f>"453.25"</f>
        <v>453.25</v>
      </c>
      <c r="H288" s="17"/>
      <c r="I288" s="15">
        <v>3</v>
      </c>
      <c r="J288" s="15">
        <v>2016</v>
      </c>
      <c r="K288" s="18" t="str">
        <f>"533.64"</f>
        <v>533.64</v>
      </c>
      <c r="L288" s="18"/>
      <c r="M288" s="18"/>
      <c r="N288" s="18" t="str">
        <f>"481.44"</f>
        <v>481.44</v>
      </c>
      <c r="O288" s="18"/>
      <c r="P288" s="18" t="str">
        <f>"425.05"</f>
        <v>425.05</v>
      </c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</row>
    <row r="289" spans="1:31">
      <c r="A289" s="14">
        <v>287</v>
      </c>
      <c r="B289" s="14">
        <v>10255</v>
      </c>
      <c r="C289" s="14" t="s">
        <v>416</v>
      </c>
      <c r="D289" s="14" t="s">
        <v>417</v>
      </c>
      <c r="E289" s="15" t="str">
        <f>"416.77"</f>
        <v>416.77</v>
      </c>
      <c r="F289" s="15"/>
      <c r="G289" s="16" t="str">
        <f>"456.77"</f>
        <v>456.77</v>
      </c>
      <c r="H289" s="17" t="s">
        <v>38</v>
      </c>
      <c r="I289" s="15">
        <v>1</v>
      </c>
      <c r="J289" s="15">
        <v>2016</v>
      </c>
      <c r="K289" s="18" t="str">
        <f>"416.77"</f>
        <v>416.77</v>
      </c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</row>
    <row r="290" spans="1:31">
      <c r="A290" s="14">
        <v>288</v>
      </c>
      <c r="B290" s="14">
        <v>10029</v>
      </c>
      <c r="C290" s="14" t="s">
        <v>418</v>
      </c>
      <c r="D290" s="14" t="s">
        <v>37</v>
      </c>
      <c r="E290" s="15" t="str">
        <f>"364.36"</f>
        <v>364.36</v>
      </c>
      <c r="F290" s="15"/>
      <c r="G290" s="16" t="str">
        <f>"457.17"</f>
        <v>457.17</v>
      </c>
      <c r="H290" s="17" t="s">
        <v>40</v>
      </c>
      <c r="I290" s="15">
        <v>2</v>
      </c>
      <c r="J290" s="15">
        <v>2016</v>
      </c>
      <c r="K290" s="18" t="str">
        <f>"364.36"</f>
        <v>364.36</v>
      </c>
      <c r="L290" s="18"/>
      <c r="M290" s="18"/>
      <c r="N290" s="18"/>
      <c r="O290" s="18"/>
      <c r="P290" s="18"/>
      <c r="Q290" s="18"/>
      <c r="R290" s="18"/>
      <c r="S290" s="18"/>
      <c r="T290" s="18"/>
      <c r="U290" s="18" t="str">
        <f>"417.17"</f>
        <v>417.17</v>
      </c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</row>
    <row r="291" spans="1:31">
      <c r="A291" s="14">
        <v>289</v>
      </c>
      <c r="B291" s="14">
        <v>11070</v>
      </c>
      <c r="C291" s="14" t="s">
        <v>419</v>
      </c>
      <c r="D291" s="14" t="s">
        <v>45</v>
      </c>
      <c r="E291" s="15" t="str">
        <f>"457.65"</f>
        <v>457.65</v>
      </c>
      <c r="F291" s="15"/>
      <c r="G291" s="16" t="str">
        <f>"457.65"</f>
        <v>457.65</v>
      </c>
      <c r="H291" s="17"/>
      <c r="I291" s="15">
        <v>5</v>
      </c>
      <c r="J291" s="15">
        <v>2016</v>
      </c>
      <c r="K291" s="18"/>
      <c r="L291" s="18"/>
      <c r="M291" s="18"/>
      <c r="N291" s="18" t="str">
        <f>"520.19"</f>
        <v>520.19</v>
      </c>
      <c r="O291" s="18"/>
      <c r="P291" s="18" t="str">
        <f>"395.11"</f>
        <v>395.11</v>
      </c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</row>
    <row r="292" spans="1:31">
      <c r="A292" s="14">
        <v>290</v>
      </c>
      <c r="B292" s="14">
        <v>2661</v>
      </c>
      <c r="C292" s="14" t="s">
        <v>420</v>
      </c>
      <c r="D292" s="14" t="s">
        <v>421</v>
      </c>
      <c r="E292" s="15" t="str">
        <f>"417.99"</f>
        <v>417.99</v>
      </c>
      <c r="F292" s="15"/>
      <c r="G292" s="16" t="str">
        <f>"457.99"</f>
        <v>457.99</v>
      </c>
      <c r="H292" s="17" t="s">
        <v>38</v>
      </c>
      <c r="I292" s="15">
        <v>1</v>
      </c>
      <c r="J292" s="15">
        <v>2016</v>
      </c>
      <c r="K292" s="18" t="str">
        <f>"417.99"</f>
        <v>417.99</v>
      </c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</row>
    <row r="293" spans="1:31">
      <c r="A293" s="14">
        <v>291</v>
      </c>
      <c r="B293" s="14">
        <v>8444</v>
      </c>
      <c r="C293" s="14" t="s">
        <v>422</v>
      </c>
      <c r="D293" s="14" t="s">
        <v>423</v>
      </c>
      <c r="E293" s="15" t="str">
        <f>"390.93"</f>
        <v>390.93</v>
      </c>
      <c r="F293" s="15"/>
      <c r="G293" s="16" t="str">
        <f>"460.55"</f>
        <v>460.55</v>
      </c>
      <c r="H293" s="17"/>
      <c r="I293" s="15">
        <v>3</v>
      </c>
      <c r="J293" s="15">
        <v>2016</v>
      </c>
      <c r="K293" s="18" t="str">
        <f>"390.93"</f>
        <v>390.93</v>
      </c>
      <c r="L293" s="18"/>
      <c r="M293" s="18"/>
      <c r="N293" s="18"/>
      <c r="O293" s="18"/>
      <c r="P293" s="18"/>
      <c r="Q293" s="18"/>
      <c r="R293" s="18"/>
      <c r="S293" s="18"/>
      <c r="T293" s="18" t="str">
        <f>"457.38"</f>
        <v>457.38</v>
      </c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 t="str">
        <f>"463.71"</f>
        <v>463.71</v>
      </c>
    </row>
    <row r="294" spans="1:31">
      <c r="A294" s="14">
        <v>292</v>
      </c>
      <c r="B294" s="14">
        <v>5293</v>
      </c>
      <c r="C294" s="14" t="s">
        <v>424</v>
      </c>
      <c r="D294" s="14" t="s">
        <v>315</v>
      </c>
      <c r="E294" s="15" t="str">
        <f>"425.07"</f>
        <v>425.07</v>
      </c>
      <c r="F294" s="15"/>
      <c r="G294" s="16" t="str">
        <f>"465.07"</f>
        <v>465.07</v>
      </c>
      <c r="H294" s="17" t="s">
        <v>38</v>
      </c>
      <c r="I294" s="15">
        <v>1</v>
      </c>
      <c r="J294" s="15">
        <v>2016</v>
      </c>
      <c r="K294" s="18" t="str">
        <f>"425.07"</f>
        <v>425.07</v>
      </c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</row>
    <row r="295" spans="1:31">
      <c r="A295" s="14">
        <v>293</v>
      </c>
      <c r="B295" s="14">
        <v>10144</v>
      </c>
      <c r="C295" s="14" t="s">
        <v>425</v>
      </c>
      <c r="D295" s="14" t="s">
        <v>76</v>
      </c>
      <c r="E295" s="15" t="str">
        <f>"544.01"</f>
        <v>544.01</v>
      </c>
      <c r="F295" s="15"/>
      <c r="G295" s="16" t="str">
        <f>"468.08"</f>
        <v>468.08</v>
      </c>
      <c r="H295" s="17" t="s">
        <v>40</v>
      </c>
      <c r="I295" s="15">
        <v>2</v>
      </c>
      <c r="J295" s="15">
        <v>2016</v>
      </c>
      <c r="K295" s="18" t="str">
        <f>"659.94"</f>
        <v>659.94</v>
      </c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 t="str">
        <f>"428.08"</f>
        <v>428.08</v>
      </c>
      <c r="X295" s="18"/>
      <c r="Y295" s="18"/>
      <c r="Z295" s="18"/>
      <c r="AA295" s="18"/>
      <c r="AB295" s="18"/>
      <c r="AC295" s="18"/>
      <c r="AD295" s="18"/>
      <c r="AE295" s="18"/>
    </row>
    <row r="296" spans="1:31">
      <c r="A296" s="14">
        <v>294</v>
      </c>
      <c r="B296" s="14">
        <v>10145</v>
      </c>
      <c r="C296" s="14" t="s">
        <v>426</v>
      </c>
      <c r="D296" s="14" t="s">
        <v>76</v>
      </c>
      <c r="E296" s="15" t="str">
        <f>"486.59"</f>
        <v>486.59</v>
      </c>
      <c r="F296" s="15"/>
      <c r="G296" s="16" t="str">
        <f>"472.90"</f>
        <v>472.90</v>
      </c>
      <c r="H296" s="17" t="s">
        <v>40</v>
      </c>
      <c r="I296" s="15">
        <v>2</v>
      </c>
      <c r="J296" s="15">
        <v>2016</v>
      </c>
      <c r="K296" s="18" t="str">
        <f>"540.28"</f>
        <v>540.28</v>
      </c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 t="str">
        <f>"432.90"</f>
        <v>432.90</v>
      </c>
      <c r="X296" s="18"/>
      <c r="Y296" s="18"/>
      <c r="Z296" s="18"/>
      <c r="AA296" s="18"/>
      <c r="AB296" s="18"/>
      <c r="AC296" s="18"/>
      <c r="AD296" s="18"/>
      <c r="AE296" s="18"/>
    </row>
    <row r="297" spans="1:31">
      <c r="A297" s="14">
        <v>295</v>
      </c>
      <c r="B297" s="14">
        <v>11065</v>
      </c>
      <c r="C297" s="14" t="s">
        <v>427</v>
      </c>
      <c r="D297" s="14" t="s">
        <v>239</v>
      </c>
      <c r="E297" s="15" t="str">
        <f>"473.32"</f>
        <v>473.32</v>
      </c>
      <c r="F297" s="15"/>
      <c r="G297" s="16" t="str">
        <f>"473.32"</f>
        <v>473.32</v>
      </c>
      <c r="H297" s="17"/>
      <c r="I297" s="15">
        <v>5</v>
      </c>
      <c r="J297" s="15">
        <v>2016</v>
      </c>
      <c r="K297" s="18"/>
      <c r="L297" s="18"/>
      <c r="M297" s="18"/>
      <c r="N297" s="18" t="str">
        <f>"545.25"</f>
        <v>545.25</v>
      </c>
      <c r="O297" s="18"/>
      <c r="P297" s="18" t="str">
        <f>"401.39"</f>
        <v>401.39</v>
      </c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</row>
    <row r="298" spans="1:31">
      <c r="A298" s="14">
        <v>296</v>
      </c>
      <c r="B298" s="14">
        <v>10601</v>
      </c>
      <c r="C298" s="14" t="s">
        <v>428</v>
      </c>
      <c r="D298" s="14" t="s">
        <v>37</v>
      </c>
      <c r="E298" s="15" t="str">
        <f>"436.98"</f>
        <v>436.98</v>
      </c>
      <c r="F298" s="15"/>
      <c r="G298" s="16" t="str">
        <f>"477.37"</f>
        <v>477.37</v>
      </c>
      <c r="H298" s="17"/>
      <c r="I298" s="15">
        <v>3</v>
      </c>
      <c r="J298" s="15">
        <v>2016</v>
      </c>
      <c r="K298" s="18" t="str">
        <f>"462.99"</f>
        <v>462.99</v>
      </c>
      <c r="L298" s="18"/>
      <c r="M298" s="18"/>
      <c r="N298" s="18"/>
      <c r="O298" s="18"/>
      <c r="P298" s="18"/>
      <c r="Q298" s="18"/>
      <c r="R298" s="18"/>
      <c r="S298" s="18"/>
      <c r="T298" s="18"/>
      <c r="U298" s="18" t="str">
        <f>"543.78"</f>
        <v>543.78</v>
      </c>
      <c r="V298" s="18"/>
      <c r="W298" s="18"/>
      <c r="X298" s="18"/>
      <c r="Y298" s="18"/>
      <c r="Z298" s="18" t="str">
        <f>"410.96"</f>
        <v>410.96</v>
      </c>
      <c r="AA298" s="18"/>
      <c r="AB298" s="18"/>
      <c r="AC298" s="18"/>
      <c r="AD298" s="18"/>
      <c r="AE298" s="18"/>
    </row>
    <row r="299" spans="1:31">
      <c r="A299" s="14">
        <v>297</v>
      </c>
      <c r="B299" s="14">
        <v>5369</v>
      </c>
      <c r="C299" s="14" t="s">
        <v>429</v>
      </c>
      <c r="D299" s="14" t="s">
        <v>241</v>
      </c>
      <c r="E299" s="15" t="str">
        <f>"463.24"</f>
        <v>463.24</v>
      </c>
      <c r="F299" s="15"/>
      <c r="G299" s="16" t="str">
        <f>"477.91"</f>
        <v>477.91</v>
      </c>
      <c r="H299" s="17"/>
      <c r="I299" s="15">
        <v>3</v>
      </c>
      <c r="J299" s="15">
        <v>2016</v>
      </c>
      <c r="K299" s="18" t="str">
        <f>"463.24"</f>
        <v>463.24</v>
      </c>
      <c r="L299" s="18"/>
      <c r="M299" s="18"/>
      <c r="N299" s="18"/>
      <c r="O299" s="18"/>
      <c r="P299" s="18"/>
      <c r="Q299" s="18"/>
      <c r="R299" s="18"/>
      <c r="S299" s="18"/>
      <c r="T299" s="18" t="str">
        <f>"503.47"</f>
        <v>503.47</v>
      </c>
      <c r="U299" s="18"/>
      <c r="V299" s="18"/>
      <c r="W299" s="18"/>
      <c r="X299" s="18" t="str">
        <f>"658.38"</f>
        <v>658.38</v>
      </c>
      <c r="Y299" s="18"/>
      <c r="Z299" s="18"/>
      <c r="AA299" s="18"/>
      <c r="AB299" s="18"/>
      <c r="AC299" s="18"/>
      <c r="AD299" s="18" t="str">
        <f>"476.46"</f>
        <v>476.46</v>
      </c>
      <c r="AE299" s="18" t="str">
        <f>"479.36"</f>
        <v>479.36</v>
      </c>
    </row>
    <row r="300" spans="1:31">
      <c r="A300" s="14">
        <v>298</v>
      </c>
      <c r="B300" s="14">
        <v>10768</v>
      </c>
      <c r="C300" s="14" t="s">
        <v>430</v>
      </c>
      <c r="D300" s="14" t="s">
        <v>76</v>
      </c>
      <c r="E300" s="15" t="str">
        <f>"484.02"</f>
        <v>484.02</v>
      </c>
      <c r="F300" s="15"/>
      <c r="G300" s="16" t="str">
        <f>"484.02"</f>
        <v>484.02</v>
      </c>
      <c r="H300" s="17"/>
      <c r="I300" s="15">
        <v>5</v>
      </c>
      <c r="J300" s="15">
        <v>2016</v>
      </c>
      <c r="K300" s="18"/>
      <c r="L300" s="18"/>
      <c r="M300" s="18"/>
      <c r="N300" s="18"/>
      <c r="O300" s="18"/>
      <c r="P300" s="18"/>
      <c r="Q300" s="18"/>
      <c r="R300" s="18"/>
      <c r="S300" s="18" t="str">
        <f>"536.89"</f>
        <v>536.89</v>
      </c>
      <c r="T300" s="18"/>
      <c r="U300" s="18"/>
      <c r="V300" s="18"/>
      <c r="W300" s="18" t="str">
        <f>"431.15"</f>
        <v>431.15</v>
      </c>
      <c r="X300" s="18"/>
      <c r="Y300" s="18"/>
      <c r="Z300" s="18"/>
      <c r="AA300" s="18"/>
      <c r="AB300" s="18"/>
      <c r="AC300" s="18"/>
      <c r="AD300" s="18"/>
      <c r="AE300" s="18"/>
    </row>
    <row r="301" spans="1:31">
      <c r="A301" s="14">
        <v>299</v>
      </c>
      <c r="B301" s="14">
        <v>5916</v>
      </c>
      <c r="C301" s="14" t="s">
        <v>431</v>
      </c>
      <c r="D301" s="14" t="s">
        <v>110</v>
      </c>
      <c r="E301" s="15" t="str">
        <f>"317.90"</f>
        <v>317.90</v>
      </c>
      <c r="F301" s="15"/>
      <c r="G301" s="16" t="str">
        <f>"485.63"</f>
        <v>485.63</v>
      </c>
      <c r="H301" s="17" t="s">
        <v>40</v>
      </c>
      <c r="I301" s="15">
        <v>2</v>
      </c>
      <c r="J301" s="15">
        <v>2016</v>
      </c>
      <c r="K301" s="18" t="str">
        <f>"317.90"</f>
        <v>317.90</v>
      </c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 t="str">
        <f>"445.63"</f>
        <v>445.63</v>
      </c>
      <c r="AE301" s="18"/>
    </row>
    <row r="302" spans="1:31">
      <c r="A302" s="14">
        <v>300</v>
      </c>
      <c r="B302" s="14">
        <v>10583</v>
      </c>
      <c r="C302" s="14" t="s">
        <v>432</v>
      </c>
      <c r="D302" s="14" t="s">
        <v>37</v>
      </c>
      <c r="E302" s="15" t="str">
        <f>"486.23"</f>
        <v>486.23</v>
      </c>
      <c r="F302" s="15"/>
      <c r="G302" s="16" t="str">
        <f>"486.23"</f>
        <v>486.23</v>
      </c>
      <c r="H302" s="17"/>
      <c r="I302" s="15">
        <v>3</v>
      </c>
      <c r="J302" s="15">
        <v>2016</v>
      </c>
      <c r="K302" s="18" t="str">
        <f>"732.10"</f>
        <v>732.10</v>
      </c>
      <c r="L302" s="18"/>
      <c r="M302" s="18"/>
      <c r="N302" s="18"/>
      <c r="O302" s="18"/>
      <c r="P302" s="18"/>
      <c r="Q302" s="18"/>
      <c r="R302" s="18"/>
      <c r="S302" s="18"/>
      <c r="T302" s="18"/>
      <c r="U302" s="18" t="str">
        <f>"496.45"</f>
        <v>496.45</v>
      </c>
      <c r="V302" s="18"/>
      <c r="W302" s="18"/>
      <c r="X302" s="18"/>
      <c r="Y302" s="18"/>
      <c r="Z302" s="18" t="str">
        <f>"476.00"</f>
        <v>476.00</v>
      </c>
      <c r="AA302" s="18"/>
      <c r="AB302" s="18"/>
      <c r="AC302" s="18"/>
      <c r="AD302" s="18"/>
      <c r="AE302" s="18"/>
    </row>
    <row r="303" spans="1:31">
      <c r="A303" s="14">
        <v>301</v>
      </c>
      <c r="B303" s="14">
        <v>10562</v>
      </c>
      <c r="C303" s="14" t="s">
        <v>433</v>
      </c>
      <c r="D303" s="14" t="s">
        <v>37</v>
      </c>
      <c r="E303" s="15" t="str">
        <f>"474.61"</f>
        <v>474.61</v>
      </c>
      <c r="F303" s="15"/>
      <c r="G303" s="16" t="str">
        <f>"490.86"</f>
        <v>490.86</v>
      </c>
      <c r="H303" s="17" t="s">
        <v>40</v>
      </c>
      <c r="I303" s="15">
        <v>2</v>
      </c>
      <c r="J303" s="15">
        <v>2016</v>
      </c>
      <c r="K303" s="18" t="str">
        <f>"498.35"</f>
        <v>498.35</v>
      </c>
      <c r="L303" s="18"/>
      <c r="M303" s="18"/>
      <c r="N303" s="18"/>
      <c r="O303" s="18"/>
      <c r="P303" s="18"/>
      <c r="Q303" s="18"/>
      <c r="R303" s="18"/>
      <c r="S303" s="18"/>
      <c r="T303" s="18"/>
      <c r="U303" s="18" t="str">
        <f>"450.86"</f>
        <v>450.86</v>
      </c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</row>
    <row r="304" spans="1:31">
      <c r="A304" s="14">
        <v>302</v>
      </c>
      <c r="B304" s="14">
        <v>10738</v>
      </c>
      <c r="C304" s="14" t="s">
        <v>434</v>
      </c>
      <c r="D304" s="14" t="s">
        <v>76</v>
      </c>
      <c r="E304" s="15" t="str">
        <f>"491.54"</f>
        <v>491.54</v>
      </c>
      <c r="F304" s="15"/>
      <c r="G304" s="16" t="str">
        <f>"491.54"</f>
        <v>491.54</v>
      </c>
      <c r="H304" s="17"/>
      <c r="I304" s="15">
        <v>5</v>
      </c>
      <c r="J304" s="15">
        <v>2016</v>
      </c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 t="str">
        <f>"539.45"</f>
        <v>539.45</v>
      </c>
      <c r="X304" s="18"/>
      <c r="Y304" s="18"/>
      <c r="Z304" s="18"/>
      <c r="AA304" s="18"/>
      <c r="AB304" s="18"/>
      <c r="AC304" s="18"/>
      <c r="AD304" s="18" t="str">
        <f>"480.26"</f>
        <v>480.26</v>
      </c>
      <c r="AE304" s="18" t="str">
        <f>"502.82"</f>
        <v>502.82</v>
      </c>
    </row>
    <row r="305" spans="1:31">
      <c r="A305" s="14">
        <v>303</v>
      </c>
      <c r="B305" s="14">
        <v>10607</v>
      </c>
      <c r="C305" s="14" t="s">
        <v>435</v>
      </c>
      <c r="D305" s="14" t="s">
        <v>37</v>
      </c>
      <c r="E305" s="15" t="str">
        <f>"491.59"</f>
        <v>491.59</v>
      </c>
      <c r="F305" s="15"/>
      <c r="G305" s="16" t="str">
        <f>"492.07"</f>
        <v>492.07</v>
      </c>
      <c r="H305" s="17"/>
      <c r="I305" s="15">
        <v>3</v>
      </c>
      <c r="J305" s="15">
        <v>2016</v>
      </c>
      <c r="K305" s="18" t="str">
        <f>"511.94"</f>
        <v>511.94</v>
      </c>
      <c r="L305" s="18"/>
      <c r="M305" s="18"/>
      <c r="N305" s="18"/>
      <c r="O305" s="18"/>
      <c r="P305" s="18"/>
      <c r="Q305" s="18"/>
      <c r="R305" s="18"/>
      <c r="S305" s="18"/>
      <c r="T305" s="18"/>
      <c r="U305" s="18" t="str">
        <f>"512.90"</f>
        <v>512.90</v>
      </c>
      <c r="V305" s="18"/>
      <c r="W305" s="18"/>
      <c r="X305" s="18"/>
      <c r="Y305" s="18"/>
      <c r="Z305" s="18" t="str">
        <f>"471.23"</f>
        <v>471.23</v>
      </c>
      <c r="AA305" s="18"/>
      <c r="AB305" s="18"/>
      <c r="AC305" s="18"/>
      <c r="AD305" s="18"/>
      <c r="AE305" s="18"/>
    </row>
    <row r="306" spans="1:31">
      <c r="A306" s="14">
        <v>304</v>
      </c>
      <c r="B306" s="14">
        <v>11094</v>
      </c>
      <c r="C306" s="14" t="s">
        <v>436</v>
      </c>
      <c r="D306" s="14" t="s">
        <v>239</v>
      </c>
      <c r="E306" s="15" t="str">
        <f>"495.31"</f>
        <v>495.31</v>
      </c>
      <c r="F306" s="15"/>
      <c r="G306" s="16" t="str">
        <f>"495.31"</f>
        <v>495.31</v>
      </c>
      <c r="H306" s="17"/>
      <c r="I306" s="15">
        <v>5</v>
      </c>
      <c r="J306" s="15">
        <v>2016</v>
      </c>
      <c r="K306" s="18"/>
      <c r="L306" s="18"/>
      <c r="M306" s="18"/>
      <c r="N306" s="18" t="str">
        <f>"563.88"</f>
        <v>563.88</v>
      </c>
      <c r="O306" s="18"/>
      <c r="P306" s="18" t="str">
        <f>"426.74"</f>
        <v>426.74</v>
      </c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</row>
    <row r="307" spans="1:31">
      <c r="A307" s="14">
        <v>305</v>
      </c>
      <c r="B307" s="14">
        <v>10466</v>
      </c>
      <c r="C307" s="14" t="s">
        <v>437</v>
      </c>
      <c r="D307" s="14" t="s">
        <v>76</v>
      </c>
      <c r="E307" s="15" t="str">
        <f>"497.02"</f>
        <v>497.02</v>
      </c>
      <c r="F307" s="15"/>
      <c r="G307" s="16" t="str">
        <f>"497.02"</f>
        <v>497.02</v>
      </c>
      <c r="H307" s="17" t="s">
        <v>40</v>
      </c>
      <c r="I307" s="15">
        <v>4</v>
      </c>
      <c r="J307" s="15">
        <v>2016</v>
      </c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 t="str">
        <f>"457.02"</f>
        <v>457.02</v>
      </c>
      <c r="X307" s="18"/>
      <c r="Y307" s="18"/>
      <c r="Z307" s="18"/>
      <c r="AA307" s="18"/>
      <c r="AB307" s="18"/>
      <c r="AC307" s="18"/>
      <c r="AD307" s="18"/>
      <c r="AE307" s="18"/>
    </row>
    <row r="308" spans="1:31">
      <c r="A308" s="14">
        <v>306</v>
      </c>
      <c r="B308" s="14">
        <v>3109</v>
      </c>
      <c r="C308" s="14" t="s">
        <v>438</v>
      </c>
      <c r="D308" s="14" t="s">
        <v>189</v>
      </c>
      <c r="E308" s="15" t="str">
        <f>"352.14"</f>
        <v>352.14</v>
      </c>
      <c r="F308" s="15"/>
      <c r="G308" s="16" t="str">
        <f>"499.79"</f>
        <v>499.79</v>
      </c>
      <c r="H308" s="17" t="s">
        <v>40</v>
      </c>
      <c r="I308" s="15">
        <v>2</v>
      </c>
      <c r="J308" s="15">
        <v>2016</v>
      </c>
      <c r="K308" s="18" t="str">
        <f>"352.14"</f>
        <v>352.14</v>
      </c>
      <c r="L308" s="18"/>
      <c r="M308" s="18"/>
      <c r="N308" s="18"/>
      <c r="O308" s="18"/>
      <c r="P308" s="18"/>
      <c r="Q308" s="18"/>
      <c r="R308" s="18"/>
      <c r="S308" s="18"/>
      <c r="T308" s="18" t="str">
        <f>"459.79"</f>
        <v>459.79</v>
      </c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</row>
    <row r="309" spans="1:31">
      <c r="A309" s="14">
        <v>307</v>
      </c>
      <c r="B309" s="14">
        <v>10027</v>
      </c>
      <c r="C309" s="14" t="s">
        <v>439</v>
      </c>
      <c r="D309" s="14" t="s">
        <v>37</v>
      </c>
      <c r="E309" s="15" t="str">
        <f>"467.43"</f>
        <v>467.43</v>
      </c>
      <c r="F309" s="15"/>
      <c r="G309" s="16" t="str">
        <f>"501.02"</f>
        <v>501.02</v>
      </c>
      <c r="H309" s="17" t="s">
        <v>40</v>
      </c>
      <c r="I309" s="15">
        <v>2</v>
      </c>
      <c r="J309" s="15">
        <v>2016</v>
      </c>
      <c r="K309" s="18" t="str">
        <f>"473.84"</f>
        <v>473.84</v>
      </c>
      <c r="L309" s="18"/>
      <c r="M309" s="18"/>
      <c r="N309" s="18"/>
      <c r="O309" s="18"/>
      <c r="P309" s="18"/>
      <c r="Q309" s="18"/>
      <c r="R309" s="18"/>
      <c r="S309" s="18"/>
      <c r="T309" s="18"/>
      <c r="U309" s="18" t="str">
        <f>"461.02"</f>
        <v>461.02</v>
      </c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</row>
    <row r="310" spans="1:31">
      <c r="A310" s="14">
        <v>308</v>
      </c>
      <c r="B310" s="14">
        <v>10085</v>
      </c>
      <c r="C310" s="14" t="s">
        <v>440</v>
      </c>
      <c r="D310" s="14" t="s">
        <v>37</v>
      </c>
      <c r="E310" s="15" t="str">
        <f>"481.64"</f>
        <v>481.64</v>
      </c>
      <c r="F310" s="15"/>
      <c r="G310" s="16" t="str">
        <f>"501.30"</f>
        <v>501.30</v>
      </c>
      <c r="H310" s="17"/>
      <c r="I310" s="15">
        <v>3</v>
      </c>
      <c r="J310" s="15">
        <v>2016</v>
      </c>
      <c r="K310" s="18" t="str">
        <f>"524.78"</f>
        <v>524.78</v>
      </c>
      <c r="L310" s="18"/>
      <c r="M310" s="18"/>
      <c r="N310" s="18"/>
      <c r="O310" s="18"/>
      <c r="P310" s="18"/>
      <c r="Q310" s="18"/>
      <c r="R310" s="18"/>
      <c r="S310" s="18"/>
      <c r="T310" s="18"/>
      <c r="U310" s="18" t="str">
        <f>"564.10"</f>
        <v>564.10</v>
      </c>
      <c r="V310" s="18"/>
      <c r="W310" s="18"/>
      <c r="X310" s="18"/>
      <c r="Y310" s="18"/>
      <c r="Z310" s="18" t="str">
        <f>"438.49"</f>
        <v>438.49</v>
      </c>
      <c r="AA310" s="18"/>
      <c r="AB310" s="18"/>
      <c r="AC310" s="18"/>
      <c r="AD310" s="18"/>
      <c r="AE310" s="18"/>
    </row>
    <row r="311" spans="1:31">
      <c r="A311" s="14">
        <v>309</v>
      </c>
      <c r="B311" s="14">
        <v>10972</v>
      </c>
      <c r="C311" s="14" t="s">
        <v>441</v>
      </c>
      <c r="D311" s="14" t="s">
        <v>55</v>
      </c>
      <c r="E311" s="15" t="str">
        <f>"506.59"</f>
        <v>506.59</v>
      </c>
      <c r="F311" s="15"/>
      <c r="G311" s="16" t="str">
        <f>"506.59"</f>
        <v>506.59</v>
      </c>
      <c r="H311" s="17" t="s">
        <v>40</v>
      </c>
      <c r="I311" s="15">
        <v>4</v>
      </c>
      <c r="J311" s="15">
        <v>2016</v>
      </c>
      <c r="K311" s="18"/>
      <c r="L311" s="18"/>
      <c r="M311" s="18"/>
      <c r="N311" s="18"/>
      <c r="O311" s="18"/>
      <c r="P311" s="18" t="str">
        <f>"466.59"</f>
        <v>466.59</v>
      </c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</row>
    <row r="312" spans="1:31">
      <c r="A312" s="14">
        <v>310</v>
      </c>
      <c r="B312" s="14">
        <v>10596</v>
      </c>
      <c r="C312" s="14" t="s">
        <v>442</v>
      </c>
      <c r="D312" s="14" t="s">
        <v>37</v>
      </c>
      <c r="E312" s="15" t="str">
        <f>"500.32"</f>
        <v>500.32</v>
      </c>
      <c r="F312" s="15"/>
      <c r="G312" s="16" t="str">
        <f>"509.01"</f>
        <v>509.01</v>
      </c>
      <c r="H312" s="17"/>
      <c r="I312" s="15">
        <v>3</v>
      </c>
      <c r="J312" s="15">
        <v>2016</v>
      </c>
      <c r="K312" s="18" t="str">
        <f>"534.82"</f>
        <v>534.82</v>
      </c>
      <c r="L312" s="18"/>
      <c r="M312" s="18"/>
      <c r="N312" s="18"/>
      <c r="O312" s="18"/>
      <c r="P312" s="18"/>
      <c r="Q312" s="18"/>
      <c r="R312" s="18"/>
      <c r="S312" s="18"/>
      <c r="T312" s="18"/>
      <c r="U312" s="18" t="str">
        <f>"552.20"</f>
        <v>552.20</v>
      </c>
      <c r="V312" s="18"/>
      <c r="W312" s="18"/>
      <c r="X312" s="18"/>
      <c r="Y312" s="18"/>
      <c r="Z312" s="18" t="str">
        <f>"465.81"</f>
        <v>465.81</v>
      </c>
      <c r="AA312" s="18"/>
      <c r="AB312" s="18"/>
      <c r="AC312" s="18"/>
      <c r="AD312" s="18"/>
      <c r="AE312" s="18"/>
    </row>
    <row r="313" spans="1:31">
      <c r="A313" s="14">
        <v>311</v>
      </c>
      <c r="B313" s="14">
        <v>10501</v>
      </c>
      <c r="C313" s="14" t="s">
        <v>443</v>
      </c>
      <c r="D313" s="14" t="s">
        <v>76</v>
      </c>
      <c r="E313" s="15" t="str">
        <f>"579.95"</f>
        <v>579.95</v>
      </c>
      <c r="F313" s="15"/>
      <c r="G313" s="16" t="str">
        <f>"509.30"</f>
        <v>509.30</v>
      </c>
      <c r="H313" s="17" t="s">
        <v>40</v>
      </c>
      <c r="I313" s="15">
        <v>2</v>
      </c>
      <c r="J313" s="15">
        <v>2016</v>
      </c>
      <c r="K313" s="18" t="str">
        <f>"690.60"</f>
        <v>690.60</v>
      </c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 t="str">
        <f>"469.30"</f>
        <v>469.30</v>
      </c>
      <c r="X313" s="18"/>
      <c r="Y313" s="18"/>
      <c r="Z313" s="18"/>
      <c r="AA313" s="18"/>
      <c r="AB313" s="18"/>
      <c r="AC313" s="18"/>
      <c r="AD313" s="18"/>
      <c r="AE313" s="18"/>
    </row>
    <row r="314" spans="1:31">
      <c r="A314" s="14">
        <v>312</v>
      </c>
      <c r="B314" s="14">
        <v>11027</v>
      </c>
      <c r="C314" s="14" t="s">
        <v>444</v>
      </c>
      <c r="D314" s="14" t="s">
        <v>236</v>
      </c>
      <c r="E314" s="15" t="str">
        <f>"509.41"</f>
        <v>509.41</v>
      </c>
      <c r="F314" s="15"/>
      <c r="G314" s="16" t="str">
        <f>"509.41"</f>
        <v>509.41</v>
      </c>
      <c r="H314" s="17" t="s">
        <v>40</v>
      </c>
      <c r="I314" s="15">
        <v>4</v>
      </c>
      <c r="J314" s="15">
        <v>2016</v>
      </c>
      <c r="K314" s="18"/>
      <c r="L314" s="18"/>
      <c r="M314" s="18"/>
      <c r="N314" s="18" t="str">
        <f>"469.41"</f>
        <v>469.41</v>
      </c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</row>
    <row r="315" spans="1:31">
      <c r="A315" s="14">
        <v>313</v>
      </c>
      <c r="B315" s="14">
        <v>10878</v>
      </c>
      <c r="C315" s="14" t="s">
        <v>445</v>
      </c>
      <c r="D315" s="14" t="s">
        <v>37</v>
      </c>
      <c r="E315" s="15" t="str">
        <f>"514.88"</f>
        <v>514.88</v>
      </c>
      <c r="F315" s="15"/>
      <c r="G315" s="16" t="str">
        <f>"514.88"</f>
        <v>514.88</v>
      </c>
      <c r="H315" s="17"/>
      <c r="I315" s="15">
        <v>5</v>
      </c>
      <c r="J315" s="15">
        <v>2016</v>
      </c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 t="str">
        <f>"492.17"</f>
        <v>492.17</v>
      </c>
      <c r="V315" s="18"/>
      <c r="W315" s="18"/>
      <c r="X315" s="18"/>
      <c r="Y315" s="18"/>
      <c r="Z315" s="18" t="str">
        <f>"537.58"</f>
        <v>537.58</v>
      </c>
      <c r="AA315" s="18"/>
      <c r="AB315" s="18"/>
      <c r="AC315" s="18"/>
      <c r="AD315" s="18"/>
      <c r="AE315" s="18"/>
    </row>
    <row r="316" spans="1:31">
      <c r="A316" s="14">
        <v>314</v>
      </c>
      <c r="B316" s="14">
        <v>10429</v>
      </c>
      <c r="C316" s="14" t="s">
        <v>446</v>
      </c>
      <c r="D316" s="14" t="s">
        <v>76</v>
      </c>
      <c r="E316" s="15" t="str">
        <f>"515.00"</f>
        <v>515.00</v>
      </c>
      <c r="F316" s="15"/>
      <c r="G316" s="16" t="str">
        <f>"515.00"</f>
        <v>515.00</v>
      </c>
      <c r="H316" s="17" t="s">
        <v>40</v>
      </c>
      <c r="I316" s="15">
        <v>4</v>
      </c>
      <c r="J316" s="15">
        <v>2016</v>
      </c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 t="str">
        <f>"475.00"</f>
        <v>475.00</v>
      </c>
      <c r="X316" s="18"/>
      <c r="Y316" s="18"/>
      <c r="Z316" s="18"/>
      <c r="AA316" s="18"/>
      <c r="AB316" s="18"/>
      <c r="AC316" s="18"/>
      <c r="AD316" s="18"/>
      <c r="AE316" s="18"/>
    </row>
    <row r="317" spans="1:31">
      <c r="A317" s="14">
        <v>315</v>
      </c>
      <c r="B317" s="14">
        <v>11051</v>
      </c>
      <c r="C317" s="14" t="s">
        <v>447</v>
      </c>
      <c r="D317" s="14" t="s">
        <v>45</v>
      </c>
      <c r="E317" s="15" t="str">
        <f>"520.79"</f>
        <v>520.79</v>
      </c>
      <c r="F317" s="15"/>
      <c r="G317" s="16" t="str">
        <f>"520.79"</f>
        <v>520.79</v>
      </c>
      <c r="H317" s="17" t="s">
        <v>40</v>
      </c>
      <c r="I317" s="15">
        <v>4</v>
      </c>
      <c r="J317" s="15">
        <v>2016</v>
      </c>
      <c r="K317" s="18"/>
      <c r="L317" s="18"/>
      <c r="M317" s="18"/>
      <c r="N317" s="18" t="str">
        <f>"480.79"</f>
        <v>480.79</v>
      </c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</row>
    <row r="318" spans="1:31">
      <c r="A318" s="14">
        <v>316</v>
      </c>
      <c r="B318" s="14">
        <v>11064</v>
      </c>
      <c r="C318" s="14" t="s">
        <v>448</v>
      </c>
      <c r="D318" s="14" t="s">
        <v>239</v>
      </c>
      <c r="E318" s="15" t="str">
        <f>"521.08"</f>
        <v>521.08</v>
      </c>
      <c r="F318" s="15"/>
      <c r="G318" s="16" t="str">
        <f>"521.08"</f>
        <v>521.08</v>
      </c>
      <c r="H318" s="17"/>
      <c r="I318" s="15">
        <v>5</v>
      </c>
      <c r="J318" s="15">
        <v>2016</v>
      </c>
      <c r="K318" s="18"/>
      <c r="L318" s="18"/>
      <c r="M318" s="18"/>
      <c r="N318" s="18" t="str">
        <f>"575.09"</f>
        <v>575.09</v>
      </c>
      <c r="O318" s="18"/>
      <c r="P318" s="18" t="str">
        <f>"467.07"</f>
        <v>467.07</v>
      </c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</row>
    <row r="319" spans="1:31">
      <c r="A319" s="14">
        <v>317</v>
      </c>
      <c r="B319" s="14">
        <v>3657</v>
      </c>
      <c r="C319" s="14" t="s">
        <v>449</v>
      </c>
      <c r="D319" s="14" t="s">
        <v>156</v>
      </c>
      <c r="E319" s="15" t="str">
        <f>"481.24"</f>
        <v>481.24</v>
      </c>
      <c r="F319" s="15"/>
      <c r="G319" s="16" t="str">
        <f>"521.24"</f>
        <v>521.24</v>
      </c>
      <c r="H319" s="17" t="s">
        <v>38</v>
      </c>
      <c r="I319" s="15">
        <v>1</v>
      </c>
      <c r="J319" s="15">
        <v>2016</v>
      </c>
      <c r="K319" s="18" t="str">
        <f>"481.24"</f>
        <v>481.24</v>
      </c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</row>
    <row r="320" spans="1:31">
      <c r="A320" s="14">
        <v>318</v>
      </c>
      <c r="B320" s="14">
        <v>10143</v>
      </c>
      <c r="C320" s="14" t="s">
        <v>450</v>
      </c>
      <c r="D320" s="14" t="s">
        <v>76</v>
      </c>
      <c r="E320" s="15" t="str">
        <f>"785.39"</f>
        <v>785.39</v>
      </c>
      <c r="F320" s="15"/>
      <c r="G320" s="16" t="str">
        <f>"522.01"</f>
        <v>522.01</v>
      </c>
      <c r="H320" s="17" t="s">
        <v>40</v>
      </c>
      <c r="I320" s="15">
        <v>2</v>
      </c>
      <c r="J320" s="15">
        <v>2016</v>
      </c>
      <c r="K320" s="18" t="str">
        <f>"1088.76"</f>
        <v>1088.76</v>
      </c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 t="str">
        <f>"482.01"</f>
        <v>482.01</v>
      </c>
      <c r="X320" s="18"/>
      <c r="Y320" s="18"/>
      <c r="Z320" s="18"/>
      <c r="AA320" s="18"/>
      <c r="AB320" s="18"/>
      <c r="AC320" s="18"/>
      <c r="AD320" s="18"/>
      <c r="AE320" s="18"/>
    </row>
    <row r="321" spans="1:31">
      <c r="A321" s="14">
        <v>319</v>
      </c>
      <c r="B321" s="14">
        <v>11046</v>
      </c>
      <c r="C321" s="14" t="s">
        <v>451</v>
      </c>
      <c r="D321" s="14" t="s">
        <v>45</v>
      </c>
      <c r="E321" s="15" t="str">
        <f>"539.40"</f>
        <v>539.40</v>
      </c>
      <c r="F321" s="15"/>
      <c r="G321" s="16" t="str">
        <f>"539.40"</f>
        <v>539.40</v>
      </c>
      <c r="H321" s="17"/>
      <c r="I321" s="15">
        <v>5</v>
      </c>
      <c r="J321" s="15">
        <v>2016</v>
      </c>
      <c r="K321" s="18"/>
      <c r="L321" s="18"/>
      <c r="M321" s="18"/>
      <c r="N321" s="18" t="str">
        <f>"623.56"</f>
        <v>623.56</v>
      </c>
      <c r="O321" s="18"/>
      <c r="P321" s="18" t="str">
        <f>"455.24"</f>
        <v>455.24</v>
      </c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</row>
    <row r="322" spans="1:31">
      <c r="A322" s="14">
        <v>320</v>
      </c>
      <c r="B322" s="14">
        <v>10743</v>
      </c>
      <c r="C322" s="14" t="s">
        <v>452</v>
      </c>
      <c r="D322" s="14" t="s">
        <v>76</v>
      </c>
      <c r="E322" s="15" t="str">
        <f>"543.50"</f>
        <v>543.50</v>
      </c>
      <c r="F322" s="15"/>
      <c r="G322" s="16" t="str">
        <f>"543.50"</f>
        <v>543.50</v>
      </c>
      <c r="H322" s="17" t="s">
        <v>40</v>
      </c>
      <c r="I322" s="15">
        <v>4</v>
      </c>
      <c r="J322" s="15">
        <v>2016</v>
      </c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 t="str">
        <f>"503.50"</f>
        <v>503.50</v>
      </c>
      <c r="X322" s="18"/>
      <c r="Y322" s="18"/>
      <c r="Z322" s="18"/>
      <c r="AA322" s="18"/>
      <c r="AB322" s="18"/>
      <c r="AC322" s="18"/>
      <c r="AD322" s="18"/>
      <c r="AE322" s="18"/>
    </row>
    <row r="323" spans="1:31">
      <c r="A323" s="14">
        <v>321</v>
      </c>
      <c r="B323" s="14">
        <v>2891</v>
      </c>
      <c r="C323" s="14" t="s">
        <v>453</v>
      </c>
      <c r="D323" s="14" t="s">
        <v>156</v>
      </c>
      <c r="E323" s="15" t="str">
        <f>"505.35"</f>
        <v>505.35</v>
      </c>
      <c r="F323" s="15"/>
      <c r="G323" s="16" t="str">
        <f>"545.35"</f>
        <v>545.35</v>
      </c>
      <c r="H323" s="17" t="s">
        <v>38</v>
      </c>
      <c r="I323" s="15">
        <v>1</v>
      </c>
      <c r="J323" s="15">
        <v>2016</v>
      </c>
      <c r="K323" s="18" t="str">
        <f>"505.35"</f>
        <v>505.35</v>
      </c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</row>
    <row r="324" spans="1:31">
      <c r="A324" s="14">
        <v>322</v>
      </c>
      <c r="B324" s="14">
        <v>5355</v>
      </c>
      <c r="C324" s="14" t="s">
        <v>454</v>
      </c>
      <c r="D324" s="14" t="s">
        <v>255</v>
      </c>
      <c r="E324" s="15" t="str">
        <f>"513.55"</f>
        <v>513.55</v>
      </c>
      <c r="F324" s="15"/>
      <c r="G324" s="16" t="str">
        <f>"553.55"</f>
        <v>553.55</v>
      </c>
      <c r="H324" s="17" t="s">
        <v>38</v>
      </c>
      <c r="I324" s="15">
        <v>1</v>
      </c>
      <c r="J324" s="15">
        <v>2016</v>
      </c>
      <c r="K324" s="18" t="str">
        <f>"513.55"</f>
        <v>513.55</v>
      </c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</row>
    <row r="325" spans="1:31">
      <c r="A325" s="14">
        <v>323</v>
      </c>
      <c r="B325" s="14">
        <v>10822</v>
      </c>
      <c r="C325" s="14" t="s">
        <v>455</v>
      </c>
      <c r="D325" s="14" t="s">
        <v>76</v>
      </c>
      <c r="E325" s="15" t="str">
        <f>"557.97"</f>
        <v>557.97</v>
      </c>
      <c r="F325" s="15"/>
      <c r="G325" s="16" t="str">
        <f>"557.97"</f>
        <v>557.97</v>
      </c>
      <c r="H325" s="17" t="s">
        <v>40</v>
      </c>
      <c r="I325" s="15">
        <v>4</v>
      </c>
      <c r="J325" s="15">
        <v>2016</v>
      </c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 t="str">
        <f>"517.97"</f>
        <v>517.97</v>
      </c>
      <c r="X325" s="18"/>
      <c r="Y325" s="18"/>
      <c r="Z325" s="18"/>
      <c r="AA325" s="18"/>
      <c r="AB325" s="18"/>
      <c r="AC325" s="18"/>
      <c r="AD325" s="18"/>
      <c r="AE325" s="18"/>
    </row>
    <row r="326" spans="1:31">
      <c r="A326" s="14">
        <v>324</v>
      </c>
      <c r="B326" s="14">
        <v>10420</v>
      </c>
      <c r="C326" s="14" t="s">
        <v>456</v>
      </c>
      <c r="D326" s="14" t="s">
        <v>76</v>
      </c>
      <c r="E326" s="15" t="str">
        <f>"1345.78"</f>
        <v>1345.78</v>
      </c>
      <c r="F326" s="15"/>
      <c r="G326" s="16" t="str">
        <f>"590.86"</f>
        <v>590.86</v>
      </c>
      <c r="H326" s="17" t="s">
        <v>40</v>
      </c>
      <c r="I326" s="15">
        <v>2</v>
      </c>
      <c r="J326" s="15">
        <v>2016</v>
      </c>
      <c r="K326" s="18" t="str">
        <f>"2140.70"</f>
        <v>2140.70</v>
      </c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 t="str">
        <f>"550.86"</f>
        <v>550.86</v>
      </c>
      <c r="X326" s="18"/>
      <c r="Y326" s="18"/>
      <c r="Z326" s="18"/>
      <c r="AA326" s="18"/>
      <c r="AB326" s="18"/>
      <c r="AC326" s="18"/>
      <c r="AD326" s="18"/>
      <c r="AE326" s="18"/>
    </row>
    <row r="327" spans="1:31">
      <c r="A327" s="14">
        <v>325</v>
      </c>
      <c r="B327" s="14">
        <v>10427</v>
      </c>
      <c r="C327" s="14" t="s">
        <v>457</v>
      </c>
      <c r="D327" s="14" t="s">
        <v>76</v>
      </c>
      <c r="E327" s="15" t="str">
        <f>"561.80"</f>
        <v>561.80</v>
      </c>
      <c r="F327" s="15"/>
      <c r="G327" s="16" t="str">
        <f>"601.80"</f>
        <v>601.80</v>
      </c>
      <c r="H327" s="17" t="s">
        <v>38</v>
      </c>
      <c r="I327" s="15">
        <v>1</v>
      </c>
      <c r="J327" s="15">
        <v>2016</v>
      </c>
      <c r="K327" s="18" t="str">
        <f>"561.80"</f>
        <v>561.80</v>
      </c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</row>
    <row r="328" spans="1:31">
      <c r="A328" s="14">
        <v>326</v>
      </c>
      <c r="B328" s="14">
        <v>10542</v>
      </c>
      <c r="C328" s="14" t="s">
        <v>458</v>
      </c>
      <c r="D328" s="14" t="s">
        <v>37</v>
      </c>
      <c r="E328" s="15" t="str">
        <f>"515.61"</f>
        <v>515.61</v>
      </c>
      <c r="F328" s="15"/>
      <c r="G328" s="16" t="str">
        <f>"602.23"</f>
        <v>602.23</v>
      </c>
      <c r="H328" s="17" t="s">
        <v>40</v>
      </c>
      <c r="I328" s="15">
        <v>2</v>
      </c>
      <c r="J328" s="15">
        <v>2016</v>
      </c>
      <c r="K328" s="18" t="str">
        <f>"515.61"</f>
        <v>515.61</v>
      </c>
      <c r="L328" s="18"/>
      <c r="M328" s="18"/>
      <c r="N328" s="18"/>
      <c r="O328" s="18"/>
      <c r="P328" s="18"/>
      <c r="Q328" s="18"/>
      <c r="R328" s="18"/>
      <c r="S328" s="18"/>
      <c r="T328" s="18"/>
      <c r="U328" s="18" t="str">
        <f>"562.23"</f>
        <v>562.23</v>
      </c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</row>
    <row r="329" spans="1:31">
      <c r="A329" s="14">
        <v>327</v>
      </c>
      <c r="B329" s="14">
        <v>7900</v>
      </c>
      <c r="C329" s="14" t="s">
        <v>459</v>
      </c>
      <c r="D329" s="14" t="s">
        <v>460</v>
      </c>
      <c r="E329" s="15" t="str">
        <f>"583.35"</f>
        <v>583.35</v>
      </c>
      <c r="F329" s="15"/>
      <c r="G329" s="16" t="str">
        <f>"623.35"</f>
        <v>623.35</v>
      </c>
      <c r="H329" s="17" t="s">
        <v>38</v>
      </c>
      <c r="I329" s="15">
        <v>1</v>
      </c>
      <c r="J329" s="15">
        <v>2016</v>
      </c>
      <c r="K329" s="18" t="str">
        <f>"583.35"</f>
        <v>583.35</v>
      </c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</row>
    <row r="330" spans="1:31">
      <c r="A330" s="14">
        <v>328</v>
      </c>
      <c r="B330" s="14">
        <v>10431</v>
      </c>
      <c r="C330" s="14" t="s">
        <v>461</v>
      </c>
      <c r="D330" s="14" t="s">
        <v>76</v>
      </c>
      <c r="E330" s="15" t="str">
        <f>"791.45"</f>
        <v>791.45</v>
      </c>
      <c r="F330" s="15"/>
      <c r="G330" s="16" t="str">
        <f>"627.25"</f>
        <v>627.25</v>
      </c>
      <c r="H330" s="17" t="s">
        <v>40</v>
      </c>
      <c r="I330" s="15">
        <v>2</v>
      </c>
      <c r="J330" s="15">
        <v>2016</v>
      </c>
      <c r="K330" s="18" t="str">
        <f>"995.64"</f>
        <v>995.64</v>
      </c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 t="str">
        <f>"587.25"</f>
        <v>587.25</v>
      </c>
      <c r="X330" s="18"/>
      <c r="Y330" s="18"/>
      <c r="Z330" s="18"/>
      <c r="AA330" s="18"/>
      <c r="AB330" s="18"/>
      <c r="AC330" s="18"/>
      <c r="AD330" s="18"/>
      <c r="AE330" s="18"/>
    </row>
    <row r="331" spans="1:31">
      <c r="A331" s="14">
        <v>329</v>
      </c>
      <c r="B331" s="14">
        <v>11057</v>
      </c>
      <c r="C331" s="14" t="s">
        <v>462</v>
      </c>
      <c r="D331" s="14" t="s">
        <v>239</v>
      </c>
      <c r="E331" s="15" t="str">
        <f>"660.30"</f>
        <v>660.30</v>
      </c>
      <c r="F331" s="15"/>
      <c r="G331" s="16" t="str">
        <f>"660.30"</f>
        <v>660.30</v>
      </c>
      <c r="H331" s="17"/>
      <c r="I331" s="15">
        <v>5</v>
      </c>
      <c r="J331" s="15">
        <v>2016</v>
      </c>
      <c r="K331" s="18"/>
      <c r="L331" s="18"/>
      <c r="M331" s="18"/>
      <c r="N331" s="18" t="str">
        <f>"738.32"</f>
        <v>738.32</v>
      </c>
      <c r="O331" s="18"/>
      <c r="P331" s="18" t="str">
        <f>"582.27"</f>
        <v>582.27</v>
      </c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</row>
    <row r="332" spans="1:31">
      <c r="A332" s="14">
        <v>330</v>
      </c>
      <c r="B332" s="14">
        <v>11025</v>
      </c>
      <c r="C332" s="14" t="s">
        <v>463</v>
      </c>
      <c r="D332" s="14" t="s">
        <v>236</v>
      </c>
      <c r="E332" s="15" t="str">
        <f>"664.72"</f>
        <v>664.72</v>
      </c>
      <c r="F332" s="15"/>
      <c r="G332" s="16" t="str">
        <f>"664.72"</f>
        <v>664.72</v>
      </c>
      <c r="H332" s="17" t="s">
        <v>40</v>
      </c>
      <c r="I332" s="15">
        <v>4</v>
      </c>
      <c r="J332" s="15">
        <v>2016</v>
      </c>
      <c r="K332" s="18"/>
      <c r="L332" s="18"/>
      <c r="M332" s="18"/>
      <c r="N332" s="18" t="str">
        <f>"624.72"</f>
        <v>624.72</v>
      </c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</row>
    <row r="333" spans="1:31">
      <c r="A333" s="14">
        <v>331</v>
      </c>
      <c r="B333" s="14">
        <v>10637</v>
      </c>
      <c r="C333" s="14" t="s">
        <v>464</v>
      </c>
      <c r="D333" s="14" t="s">
        <v>37</v>
      </c>
      <c r="E333" s="15" t="str">
        <f>"672.45"</f>
        <v>672.45</v>
      </c>
      <c r="F333" s="15"/>
      <c r="G333" s="16" t="str">
        <f>"665.33"</f>
        <v>665.33</v>
      </c>
      <c r="H333" s="17" t="s">
        <v>40</v>
      </c>
      <c r="I333" s="15">
        <v>2</v>
      </c>
      <c r="J333" s="15">
        <v>2016</v>
      </c>
      <c r="K333" s="18" t="str">
        <f>"719.57"</f>
        <v>719.57</v>
      </c>
      <c r="L333" s="18"/>
      <c r="M333" s="18"/>
      <c r="N333" s="18"/>
      <c r="O333" s="18"/>
      <c r="P333" s="18"/>
      <c r="Q333" s="18"/>
      <c r="R333" s="18"/>
      <c r="S333" s="18"/>
      <c r="T333" s="18"/>
      <c r="U333" s="18" t="str">
        <f>"625.33"</f>
        <v>625.33</v>
      </c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</row>
    <row r="334" spans="1:31">
      <c r="A334" s="14">
        <v>332</v>
      </c>
      <c r="B334" s="14">
        <v>10500</v>
      </c>
      <c r="C334" s="14" t="s">
        <v>465</v>
      </c>
      <c r="D334" s="14" t="s">
        <v>76</v>
      </c>
      <c r="E334" s="15" t="str">
        <f>"669.78"</f>
        <v>669.78</v>
      </c>
      <c r="F334" s="15"/>
      <c r="G334" s="16" t="str">
        <f>"669.78"</f>
        <v>669.78</v>
      </c>
      <c r="H334" s="17" t="s">
        <v>40</v>
      </c>
      <c r="I334" s="15">
        <v>4</v>
      </c>
      <c r="J334" s="15">
        <v>2016</v>
      </c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 t="str">
        <f>"629.78"</f>
        <v>629.78</v>
      </c>
      <c r="X334" s="18"/>
      <c r="Y334" s="18"/>
      <c r="Z334" s="18"/>
      <c r="AA334" s="18"/>
      <c r="AB334" s="18"/>
      <c r="AC334" s="18"/>
      <c r="AD334" s="18"/>
      <c r="AE334" s="18"/>
    </row>
    <row r="335" spans="1:31">
      <c r="A335" s="14">
        <v>333</v>
      </c>
      <c r="B335" s="14">
        <v>11028</v>
      </c>
      <c r="C335" s="14" t="s">
        <v>466</v>
      </c>
      <c r="D335" s="14" t="s">
        <v>236</v>
      </c>
      <c r="E335" s="15" t="str">
        <f>"675.27"</f>
        <v>675.27</v>
      </c>
      <c r="F335" s="15"/>
      <c r="G335" s="16" t="str">
        <f>"675.27"</f>
        <v>675.27</v>
      </c>
      <c r="H335" s="17" t="s">
        <v>40</v>
      </c>
      <c r="I335" s="15">
        <v>4</v>
      </c>
      <c r="J335" s="15">
        <v>2016</v>
      </c>
      <c r="K335" s="18"/>
      <c r="L335" s="18"/>
      <c r="M335" s="18"/>
      <c r="N335" s="18" t="str">
        <f>"635.27"</f>
        <v>635.27</v>
      </c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</row>
    <row r="336" spans="1:31">
      <c r="A336" s="14">
        <v>334</v>
      </c>
      <c r="B336" s="14">
        <v>2719</v>
      </c>
      <c r="C336" s="14" t="s">
        <v>467</v>
      </c>
      <c r="D336" s="14" t="s">
        <v>468</v>
      </c>
      <c r="E336" s="15" t="str">
        <f>"647.67"</f>
        <v>647.67</v>
      </c>
      <c r="F336" s="15"/>
      <c r="G336" s="16" t="str">
        <f>"687.67"</f>
        <v>687.67</v>
      </c>
      <c r="H336" s="17" t="s">
        <v>38</v>
      </c>
      <c r="I336" s="15">
        <v>1</v>
      </c>
      <c r="J336" s="15">
        <v>2016</v>
      </c>
      <c r="K336" s="18" t="str">
        <f>"647.67"</f>
        <v>647.67</v>
      </c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</row>
    <row r="337" spans="1:31">
      <c r="A337" s="14">
        <v>335</v>
      </c>
      <c r="B337" s="14">
        <v>10959</v>
      </c>
      <c r="C337" s="14" t="s">
        <v>469</v>
      </c>
      <c r="D337" s="14" t="s">
        <v>76</v>
      </c>
      <c r="E337" s="15" t="str">
        <f>"689.51"</f>
        <v>689.51</v>
      </c>
      <c r="F337" s="15"/>
      <c r="G337" s="16" t="str">
        <f>"689.51"</f>
        <v>689.51</v>
      </c>
      <c r="H337" s="17" t="s">
        <v>40</v>
      </c>
      <c r="I337" s="15">
        <v>4</v>
      </c>
      <c r="J337" s="15">
        <v>2016</v>
      </c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 t="str">
        <f>"649.51"</f>
        <v>649.51</v>
      </c>
      <c r="X337" s="18"/>
      <c r="Y337" s="18"/>
      <c r="Z337" s="18"/>
      <c r="AA337" s="18"/>
      <c r="AB337" s="18"/>
      <c r="AC337" s="18"/>
      <c r="AD337" s="18"/>
      <c r="AE337" s="18"/>
    </row>
    <row r="338" spans="1:31">
      <c r="A338" s="14">
        <v>336</v>
      </c>
      <c r="B338" s="14">
        <v>10784</v>
      </c>
      <c r="C338" s="14" t="s">
        <v>470</v>
      </c>
      <c r="D338" s="14" t="s">
        <v>76</v>
      </c>
      <c r="E338" s="15" t="str">
        <f>"697.41"</f>
        <v>697.41</v>
      </c>
      <c r="F338" s="15"/>
      <c r="G338" s="16" t="str">
        <f>"697.41"</f>
        <v>697.41</v>
      </c>
      <c r="H338" s="17" t="s">
        <v>40</v>
      </c>
      <c r="I338" s="15">
        <v>4</v>
      </c>
      <c r="J338" s="15">
        <v>2016</v>
      </c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 t="str">
        <f>"657.41"</f>
        <v>657.41</v>
      </c>
      <c r="X338" s="18"/>
      <c r="Y338" s="18"/>
      <c r="Z338" s="18"/>
      <c r="AA338" s="18"/>
      <c r="AB338" s="18"/>
      <c r="AC338" s="18"/>
      <c r="AD338" s="18"/>
      <c r="AE338" s="18"/>
    </row>
    <row r="339" spans="1:31">
      <c r="A339" s="14">
        <v>337</v>
      </c>
      <c r="B339" s="14">
        <v>10597</v>
      </c>
      <c r="C339" s="14" t="s">
        <v>471</v>
      </c>
      <c r="D339" s="14" t="s">
        <v>37</v>
      </c>
      <c r="E339" s="15" t="str">
        <f>"661.26"</f>
        <v>661.26</v>
      </c>
      <c r="F339" s="15"/>
      <c r="G339" s="16" t="str">
        <f>"701.26"</f>
        <v>701.26</v>
      </c>
      <c r="H339" s="17" t="s">
        <v>38</v>
      </c>
      <c r="I339" s="15">
        <v>1</v>
      </c>
      <c r="J339" s="15">
        <v>2016</v>
      </c>
      <c r="K339" s="18" t="str">
        <f>"661.26"</f>
        <v>661.26</v>
      </c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</row>
    <row r="340" spans="1:31">
      <c r="A340" s="14">
        <v>338</v>
      </c>
      <c r="B340" s="14">
        <v>1432</v>
      </c>
      <c r="C340" s="14" t="s">
        <v>472</v>
      </c>
      <c r="D340" s="14" t="s">
        <v>120</v>
      </c>
      <c r="E340" s="15" t="str">
        <f>"664.69"</f>
        <v>664.69</v>
      </c>
      <c r="F340" s="15"/>
      <c r="G340" s="16" t="str">
        <f>"704.69"</f>
        <v>704.69</v>
      </c>
      <c r="H340" s="17" t="s">
        <v>38</v>
      </c>
      <c r="I340" s="15">
        <v>1</v>
      </c>
      <c r="J340" s="15">
        <v>2016</v>
      </c>
      <c r="K340" s="18" t="str">
        <f>"664.69"</f>
        <v>664.69</v>
      </c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</row>
    <row r="341" spans="1:31">
      <c r="A341" s="14">
        <v>339</v>
      </c>
      <c r="B341" s="14">
        <v>10559</v>
      </c>
      <c r="C341" s="14" t="s">
        <v>473</v>
      </c>
      <c r="D341" s="14" t="s">
        <v>37</v>
      </c>
      <c r="E341" s="15" t="str">
        <f>"677.54"</f>
        <v>677.54</v>
      </c>
      <c r="F341" s="15"/>
      <c r="G341" s="16" t="str">
        <f>"717.54"</f>
        <v>717.54</v>
      </c>
      <c r="H341" s="17" t="s">
        <v>38</v>
      </c>
      <c r="I341" s="15">
        <v>1</v>
      </c>
      <c r="J341" s="15">
        <v>2016</v>
      </c>
      <c r="K341" s="18" t="str">
        <f>"677.54"</f>
        <v>677.54</v>
      </c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</row>
    <row r="342" spans="1:31">
      <c r="A342" s="14">
        <v>340</v>
      </c>
      <c r="B342" s="14">
        <v>10781</v>
      </c>
      <c r="C342" s="14" t="s">
        <v>474</v>
      </c>
      <c r="D342" s="14" t="s">
        <v>76</v>
      </c>
      <c r="E342" s="15" t="str">
        <f>"746.52"</f>
        <v>746.52</v>
      </c>
      <c r="F342" s="15"/>
      <c r="G342" s="16" t="str">
        <f>"746.52"</f>
        <v>746.52</v>
      </c>
      <c r="H342" s="17" t="s">
        <v>40</v>
      </c>
      <c r="I342" s="15">
        <v>4</v>
      </c>
      <c r="J342" s="15">
        <v>2016</v>
      </c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 t="str">
        <f>"706.52"</f>
        <v>706.52</v>
      </c>
      <c r="X342" s="18"/>
      <c r="Y342" s="18"/>
      <c r="Z342" s="18"/>
      <c r="AA342" s="18"/>
      <c r="AB342" s="18"/>
      <c r="AC342" s="18"/>
      <c r="AD342" s="18"/>
      <c r="AE342" s="18"/>
    </row>
    <row r="343" spans="1:31">
      <c r="A343" s="14">
        <v>341</v>
      </c>
      <c r="B343" s="14">
        <v>10465</v>
      </c>
      <c r="C343" s="14" t="s">
        <v>475</v>
      </c>
      <c r="D343" s="14" t="s">
        <v>76</v>
      </c>
      <c r="E343" s="15" t="str">
        <f>"756.16"</f>
        <v>756.16</v>
      </c>
      <c r="F343" s="15"/>
      <c r="G343" s="16" t="str">
        <f>"756.16"</f>
        <v>756.16</v>
      </c>
      <c r="H343" s="17" t="s">
        <v>40</v>
      </c>
      <c r="I343" s="15">
        <v>4</v>
      </c>
      <c r="J343" s="15">
        <v>2016</v>
      </c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 t="str">
        <f>"716.16"</f>
        <v>716.16</v>
      </c>
      <c r="X343" s="18"/>
      <c r="Y343" s="18"/>
      <c r="Z343" s="18"/>
      <c r="AA343" s="18"/>
      <c r="AB343" s="18"/>
      <c r="AC343" s="18"/>
      <c r="AD343" s="18"/>
      <c r="AE343" s="18"/>
    </row>
    <row r="344" spans="1:31">
      <c r="A344" s="14">
        <v>342</v>
      </c>
      <c r="B344" s="14">
        <v>10864</v>
      </c>
      <c r="C344" s="14" t="s">
        <v>476</v>
      </c>
      <c r="D344" s="14" t="s">
        <v>37</v>
      </c>
      <c r="E344" s="15" t="str">
        <f>"764.78"</f>
        <v>764.78</v>
      </c>
      <c r="F344" s="15"/>
      <c r="G344" s="16" t="str">
        <f>"764.78"</f>
        <v>764.78</v>
      </c>
      <c r="H344" s="17"/>
      <c r="I344" s="15">
        <v>5</v>
      </c>
      <c r="J344" s="15">
        <v>2016</v>
      </c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 t="str">
        <f>"765.85"</f>
        <v>765.85</v>
      </c>
      <c r="V344" s="18"/>
      <c r="W344" s="18"/>
      <c r="X344" s="18"/>
      <c r="Y344" s="18"/>
      <c r="Z344" s="18" t="str">
        <f>"763.71"</f>
        <v>763.71</v>
      </c>
      <c r="AA344" s="18"/>
      <c r="AB344" s="18"/>
      <c r="AC344" s="18"/>
      <c r="AD344" s="18"/>
      <c r="AE344" s="18"/>
    </row>
    <row r="345" spans="1:31">
      <c r="A345" s="14">
        <v>343</v>
      </c>
      <c r="B345" s="14">
        <v>10782</v>
      </c>
      <c r="C345" s="14" t="s">
        <v>477</v>
      </c>
      <c r="D345" s="14" t="s">
        <v>76</v>
      </c>
      <c r="E345" s="15" t="str">
        <f>"783.35"</f>
        <v>783.35</v>
      </c>
      <c r="F345" s="15"/>
      <c r="G345" s="16" t="str">
        <f>"783.35"</f>
        <v>783.35</v>
      </c>
      <c r="H345" s="17" t="s">
        <v>40</v>
      </c>
      <c r="I345" s="15">
        <v>4</v>
      </c>
      <c r="J345" s="15">
        <v>2016</v>
      </c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 t="str">
        <f>"743.35"</f>
        <v>743.35</v>
      </c>
      <c r="X345" s="18"/>
      <c r="Y345" s="18"/>
      <c r="Z345" s="18"/>
      <c r="AA345" s="18"/>
      <c r="AB345" s="18"/>
      <c r="AC345" s="18"/>
      <c r="AD345" s="18"/>
      <c r="AE345" s="18"/>
    </row>
    <row r="346" spans="1:31">
      <c r="A346" s="14">
        <v>344</v>
      </c>
      <c r="B346" s="14">
        <v>11095</v>
      </c>
      <c r="C346" s="14" t="s">
        <v>478</v>
      </c>
      <c r="D346" s="14" t="s">
        <v>239</v>
      </c>
      <c r="E346" s="15" t="str">
        <f>"799.77"</f>
        <v>799.77</v>
      </c>
      <c r="F346" s="15"/>
      <c r="G346" s="16" t="str">
        <f>"799.77"</f>
        <v>799.77</v>
      </c>
      <c r="H346" s="17" t="s">
        <v>40</v>
      </c>
      <c r="I346" s="15">
        <v>4</v>
      </c>
      <c r="J346" s="15">
        <v>2016</v>
      </c>
      <c r="K346" s="18"/>
      <c r="L346" s="18"/>
      <c r="M346" s="18"/>
      <c r="N346" s="18"/>
      <c r="O346" s="18"/>
      <c r="P346" s="18" t="str">
        <f>"759.77"</f>
        <v>759.77</v>
      </c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</row>
    <row r="347" spans="1:31">
      <c r="A347" s="14">
        <v>345</v>
      </c>
      <c r="B347" s="14">
        <v>1217</v>
      </c>
      <c r="C347" s="14" t="s">
        <v>479</v>
      </c>
      <c r="D347" s="14" t="s">
        <v>393</v>
      </c>
      <c r="E347" s="15" t="str">
        <f>"670.38"</f>
        <v>670.38</v>
      </c>
      <c r="F347" s="15"/>
      <c r="G347" s="16" t="str">
        <f>"840.97"</f>
        <v>840.97</v>
      </c>
      <c r="H347" s="17" t="s">
        <v>40</v>
      </c>
      <c r="I347" s="15">
        <v>2</v>
      </c>
      <c r="J347" s="15">
        <v>2016</v>
      </c>
      <c r="K347" s="18" t="str">
        <f>"670.38"</f>
        <v>670.38</v>
      </c>
      <c r="L347" s="18"/>
      <c r="M347" s="18"/>
      <c r="N347" s="18"/>
      <c r="O347" s="18"/>
      <c r="P347" s="18"/>
      <c r="Q347" s="18"/>
      <c r="R347" s="18"/>
      <c r="S347" s="18"/>
      <c r="T347" s="18" t="str">
        <f>"800.97"</f>
        <v>800.97</v>
      </c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</row>
    <row r="348" spans="1:31">
      <c r="A348" s="14">
        <v>346</v>
      </c>
      <c r="B348" s="14">
        <v>9988</v>
      </c>
      <c r="C348" s="14" t="s">
        <v>480</v>
      </c>
      <c r="D348" s="14" t="s">
        <v>45</v>
      </c>
      <c r="E348" s="15" t="str">
        <f>"844.66"</f>
        <v>844.66</v>
      </c>
      <c r="F348" s="15"/>
      <c r="G348" s="16" t="str">
        <f>"884.66"</f>
        <v>884.66</v>
      </c>
      <c r="H348" s="17" t="s">
        <v>38</v>
      </c>
      <c r="I348" s="15">
        <v>1</v>
      </c>
      <c r="J348" s="15">
        <v>2016</v>
      </c>
      <c r="K348" s="18" t="str">
        <f>"844.66"</f>
        <v>844.66</v>
      </c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</row>
    <row r="349" spans="1:31">
      <c r="A349" s="14">
        <v>347</v>
      </c>
      <c r="B349" s="14">
        <v>11089</v>
      </c>
      <c r="C349" s="14" t="s">
        <v>481</v>
      </c>
      <c r="D349" s="14" t="s">
        <v>55</v>
      </c>
      <c r="E349" s="15" t="str">
        <f>"898.67"</f>
        <v>898.67</v>
      </c>
      <c r="F349" s="15"/>
      <c r="G349" s="16" t="str">
        <f>"898.67"</f>
        <v>898.67</v>
      </c>
      <c r="H349" s="17" t="s">
        <v>40</v>
      </c>
      <c r="I349" s="15">
        <v>4</v>
      </c>
      <c r="J349" s="15">
        <v>2016</v>
      </c>
      <c r="K349" s="18"/>
      <c r="L349" s="18"/>
      <c r="M349" s="18"/>
      <c r="N349" s="18" t="str">
        <f>"858.67"</f>
        <v>858.67</v>
      </c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</row>
    <row r="350" spans="1:31">
      <c r="A350" s="14">
        <v>348</v>
      </c>
      <c r="B350" s="14">
        <v>10766</v>
      </c>
      <c r="C350" s="14" t="s">
        <v>482</v>
      </c>
      <c r="D350" s="14" t="s">
        <v>76</v>
      </c>
      <c r="E350" s="15" t="str">
        <f>"939.01"</f>
        <v>939.01</v>
      </c>
      <c r="F350" s="15"/>
      <c r="G350" s="16" t="str">
        <f>"939.01"</f>
        <v>939.01</v>
      </c>
      <c r="H350" s="17" t="s">
        <v>40</v>
      </c>
      <c r="I350" s="15">
        <v>4</v>
      </c>
      <c r="J350" s="15">
        <v>2016</v>
      </c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 t="str">
        <f>"899.01"</f>
        <v>899.01</v>
      </c>
      <c r="X350" s="18"/>
      <c r="Y350" s="18"/>
      <c r="Z350" s="18"/>
      <c r="AA350" s="18"/>
      <c r="AB350" s="18"/>
      <c r="AC350" s="18"/>
      <c r="AD350" s="18"/>
      <c r="AE350" s="18"/>
    </row>
    <row r="351" spans="1:31">
      <c r="A351" s="14">
        <v>349</v>
      </c>
      <c r="B351" s="14">
        <v>10716</v>
      </c>
      <c r="C351" s="14" t="s">
        <v>483</v>
      </c>
      <c r="D351" s="14" t="s">
        <v>37</v>
      </c>
      <c r="E351" s="15" t="str">
        <f>"900.49"</f>
        <v>900.49</v>
      </c>
      <c r="F351" s="15"/>
      <c r="G351" s="16" t="str">
        <f>"940.49"</f>
        <v>940.49</v>
      </c>
      <c r="H351" s="17" t="s">
        <v>38</v>
      </c>
      <c r="I351" s="15">
        <v>1</v>
      </c>
      <c r="J351" s="15">
        <v>2016</v>
      </c>
      <c r="K351" s="18" t="str">
        <f>"900.49"</f>
        <v>900.49</v>
      </c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</row>
    <row r="352" spans="1:31">
      <c r="A352" s="14">
        <v>350</v>
      </c>
      <c r="B352" s="14">
        <v>10430</v>
      </c>
      <c r="C352" s="14" t="s">
        <v>484</v>
      </c>
      <c r="D352" s="14" t="s">
        <v>76</v>
      </c>
      <c r="E352" s="15" t="str">
        <f>"935.23"</f>
        <v>935.23</v>
      </c>
      <c r="F352" s="15"/>
      <c r="G352" s="16" t="str">
        <f>"975.23"</f>
        <v>975.23</v>
      </c>
      <c r="H352" s="17" t="s">
        <v>38</v>
      </c>
      <c r="I352" s="15">
        <v>1</v>
      </c>
      <c r="J352" s="15">
        <v>2016</v>
      </c>
      <c r="K352" s="18" t="str">
        <f>"935.23"</f>
        <v>935.23</v>
      </c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</row>
    <row r="353" spans="1:31">
      <c r="A353" s="14">
        <v>351</v>
      </c>
      <c r="B353" s="14">
        <v>10783</v>
      </c>
      <c r="C353" s="14" t="s">
        <v>485</v>
      </c>
      <c r="D353" s="14" t="s">
        <v>76</v>
      </c>
      <c r="E353" s="15" t="str">
        <f>"978.03"</f>
        <v>978.03</v>
      </c>
      <c r="F353" s="15"/>
      <c r="G353" s="16" t="str">
        <f>"978.03"</f>
        <v>978.03</v>
      </c>
      <c r="H353" s="17" t="s">
        <v>40</v>
      </c>
      <c r="I353" s="15">
        <v>4</v>
      </c>
      <c r="J353" s="15">
        <v>2016</v>
      </c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 t="str">
        <f>"938.03"</f>
        <v>938.03</v>
      </c>
      <c r="X353" s="18"/>
      <c r="Y353" s="18"/>
      <c r="Z353" s="18"/>
      <c r="AA353" s="18"/>
      <c r="AB353" s="18"/>
      <c r="AC353" s="18"/>
      <c r="AD353" s="18"/>
      <c r="AE353" s="18"/>
    </row>
    <row r="354" spans="1:31">
      <c r="A354" s="14">
        <v>352</v>
      </c>
      <c r="B354" s="14">
        <v>10777</v>
      </c>
      <c r="C354" s="14" t="s">
        <v>486</v>
      </c>
      <c r="D354" s="14" t="s">
        <v>76</v>
      </c>
      <c r="E354" s="15" t="str">
        <f>"1067.92"</f>
        <v>1067.92</v>
      </c>
      <c r="F354" s="15"/>
      <c r="G354" s="16" t="str">
        <f>"1067.92"</f>
        <v>1067.92</v>
      </c>
      <c r="H354" s="17" t="s">
        <v>40</v>
      </c>
      <c r="I354" s="15">
        <v>4</v>
      </c>
      <c r="J354" s="15">
        <v>2016</v>
      </c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 t="str">
        <f>"1027.92"</f>
        <v>1027.92</v>
      </c>
      <c r="X354" s="18"/>
      <c r="Y354" s="18"/>
      <c r="Z354" s="18"/>
      <c r="AA354" s="18"/>
      <c r="AB354" s="18"/>
      <c r="AC354" s="18"/>
      <c r="AD354" s="18"/>
      <c r="AE354" s="18"/>
    </row>
    <row r="355" spans="1:31">
      <c r="A355" s="14">
        <v>353</v>
      </c>
      <c r="B355" s="14">
        <v>10776</v>
      </c>
      <c r="C355" s="14" t="s">
        <v>487</v>
      </c>
      <c r="D355" s="14" t="s">
        <v>76</v>
      </c>
      <c r="E355" s="15" t="str">
        <f>"1128.43"</f>
        <v>1128.43</v>
      </c>
      <c r="F355" s="15"/>
      <c r="G355" s="16" t="str">
        <f>"1128.43"</f>
        <v>1128.43</v>
      </c>
      <c r="H355" s="17" t="s">
        <v>40</v>
      </c>
      <c r="I355" s="15">
        <v>4</v>
      </c>
      <c r="J355" s="15">
        <v>2016</v>
      </c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 t="str">
        <f>"1088.43"</f>
        <v>1088.43</v>
      </c>
      <c r="X355" s="18"/>
      <c r="Y355" s="18"/>
      <c r="Z355" s="18"/>
      <c r="AA355" s="18"/>
      <c r="AB355" s="18"/>
      <c r="AC355" s="18"/>
      <c r="AD355" s="18"/>
      <c r="AE355" s="18"/>
    </row>
    <row r="356" spans="1:31">
      <c r="A356" s="14">
        <v>354</v>
      </c>
      <c r="B356" s="14">
        <v>10432</v>
      </c>
      <c r="C356" s="14" t="s">
        <v>488</v>
      </c>
      <c r="D356" s="14" t="s">
        <v>76</v>
      </c>
      <c r="E356" s="15" t="str">
        <f>"1483.32"</f>
        <v>1483.32</v>
      </c>
      <c r="F356" s="15"/>
      <c r="G356" s="16" t="str">
        <f>"1523.32"</f>
        <v>1523.32</v>
      </c>
      <c r="H356" s="17" t="s">
        <v>38</v>
      </c>
      <c r="I356" s="15">
        <v>1</v>
      </c>
      <c r="J356" s="15">
        <v>2016</v>
      </c>
      <c r="K356" s="18" t="str">
        <f>"1483.32"</f>
        <v>1483.32</v>
      </c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</row>
  </sheetData>
  <sheetProtection algorithmName="SHA-512" hashValue="JuRjWqBwvPIA3PB6rcv/8VnJRZGvHFPsxHIjsICeN+83VVmjwKyh2cN8sCxe/6GwdAy5zuvW1D5e0PlH4xWNtQ==" saltValue="KPUMqeEqgobvd4p39zIEWQ==" spinCount="100000" sheet="1" objects="1" scenarios="1" selectLockedCells="1" sort="0" autoFilter="0" selectUnlockedCells="1"/>
  <autoFilter ref="A2:AE356"/>
  <phoneticPr fontId="2"/>
  <pageMargins left="0.23622047244094491" right="0.23622047244094491" top="0.15748031496062992" bottom="0.15748031496062992" header="0.31496062992125984" footer="0.31496062992125984"/>
  <pageSetup paperSize="9" scale="33" fitToHeight="0" orientation="landscape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女子GS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</dc:creator>
  <cp:lastModifiedBy>OST</cp:lastModifiedBy>
  <dcterms:created xsi:type="dcterms:W3CDTF">2016-08-31T07:11:48Z</dcterms:created>
  <dcterms:modified xsi:type="dcterms:W3CDTF">2016-08-31T07:13:58Z</dcterms:modified>
</cp:coreProperties>
</file>