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322"/>
  <workbookPr showInkAnnotation="0" autoCompressPictures="0"/>
  <bookViews>
    <workbookView xWindow="2920" yWindow="800" windowWidth="25040" windowHeight="17820" tabRatio="500"/>
  </bookViews>
  <sheets>
    <sheet name="男子SL" sheetId="1" r:id="rId1"/>
  </sheets>
  <definedNames>
    <definedName name="_xlnm._FilterDatabase" localSheetId="0" hidden="1">男子SL!$A$2:$AI$1094</definedName>
    <definedName name="_xlnm.Print_Titles" localSheetId="0">男子SL!$1:$2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094" i="1" l="1"/>
  <c r="G1094" i="1"/>
  <c r="H1094" i="1"/>
  <c r="E1094" i="1"/>
  <c r="U1093" i="1"/>
  <c r="G1093" i="1"/>
  <c r="H1093" i="1"/>
  <c r="E1093" i="1"/>
  <c r="U1092" i="1"/>
  <c r="G1092" i="1"/>
  <c r="H1092" i="1"/>
  <c r="E1092" i="1"/>
  <c r="U1091" i="1"/>
  <c r="G1091" i="1"/>
  <c r="H1091" i="1"/>
  <c r="E1091" i="1"/>
  <c r="U1090" i="1"/>
  <c r="G1090" i="1"/>
  <c r="H1090" i="1"/>
  <c r="E1090" i="1"/>
  <c r="U1089" i="1"/>
  <c r="G1089" i="1"/>
  <c r="H1089" i="1"/>
  <c r="E1089" i="1"/>
  <c r="U1088" i="1"/>
  <c r="G1088" i="1"/>
  <c r="H1088" i="1"/>
  <c r="E1088" i="1"/>
  <c r="U1087" i="1"/>
  <c r="G1087" i="1"/>
  <c r="H1087" i="1"/>
  <c r="E1087" i="1"/>
  <c r="U1086" i="1"/>
  <c r="G1086" i="1"/>
  <c r="H1086" i="1"/>
  <c r="E1086" i="1"/>
  <c r="U1085" i="1"/>
  <c r="G1085" i="1"/>
  <c r="H1085" i="1"/>
  <c r="E1085" i="1"/>
  <c r="U1084" i="1"/>
  <c r="G1084" i="1"/>
  <c r="H1084" i="1"/>
  <c r="E1084" i="1"/>
  <c r="U1083" i="1"/>
  <c r="G1083" i="1"/>
  <c r="H1083" i="1"/>
  <c r="E1083" i="1"/>
  <c r="U1082" i="1"/>
  <c r="G1082" i="1"/>
  <c r="H1082" i="1"/>
  <c r="E1082" i="1"/>
  <c r="U1081" i="1"/>
  <c r="G1081" i="1"/>
  <c r="H1081" i="1"/>
  <c r="E1081" i="1"/>
  <c r="U1080" i="1"/>
  <c r="G1080" i="1"/>
  <c r="H1080" i="1"/>
  <c r="E1080" i="1"/>
  <c r="U1079" i="1"/>
  <c r="G1079" i="1"/>
  <c r="H1079" i="1"/>
  <c r="E1079" i="1"/>
  <c r="U1078" i="1"/>
  <c r="G1078" i="1"/>
  <c r="H1078" i="1"/>
  <c r="E1078" i="1"/>
  <c r="U1077" i="1"/>
  <c r="G1077" i="1"/>
  <c r="H1077" i="1"/>
  <c r="E1077" i="1"/>
  <c r="U1076" i="1"/>
  <c r="G1076" i="1"/>
  <c r="H1076" i="1"/>
  <c r="E1076" i="1"/>
  <c r="U1075" i="1"/>
  <c r="G1075" i="1"/>
  <c r="H1075" i="1"/>
  <c r="E1075" i="1"/>
  <c r="U1074" i="1"/>
  <c r="G1074" i="1"/>
  <c r="H1074" i="1"/>
  <c r="E1074" i="1"/>
  <c r="U1073" i="1"/>
  <c r="G1073" i="1"/>
  <c r="H1073" i="1"/>
  <c r="E1073" i="1"/>
  <c r="AF1072" i="1"/>
  <c r="U1072" i="1"/>
  <c r="G1072" i="1"/>
  <c r="H1072" i="1"/>
  <c r="E1072" i="1"/>
  <c r="U1071" i="1"/>
  <c r="G1071" i="1"/>
  <c r="H1071" i="1"/>
  <c r="E1071" i="1"/>
  <c r="U1070" i="1"/>
  <c r="G1070" i="1"/>
  <c r="H1070" i="1"/>
  <c r="E1070" i="1"/>
  <c r="U1069" i="1"/>
  <c r="G1069" i="1"/>
  <c r="H1069" i="1"/>
  <c r="E1069" i="1"/>
  <c r="U1068" i="1"/>
  <c r="G1068" i="1"/>
  <c r="H1068" i="1"/>
  <c r="E1068" i="1"/>
  <c r="U1067" i="1"/>
  <c r="G1067" i="1"/>
  <c r="H1067" i="1"/>
  <c r="E1067" i="1"/>
  <c r="U1066" i="1"/>
  <c r="L1066" i="1"/>
  <c r="G1066" i="1"/>
  <c r="H1066" i="1"/>
  <c r="E1066" i="1"/>
  <c r="U1065" i="1"/>
  <c r="G1065" i="1"/>
  <c r="H1065" i="1"/>
  <c r="E1065" i="1"/>
  <c r="U1064" i="1"/>
  <c r="G1064" i="1"/>
  <c r="H1064" i="1"/>
  <c r="E1064" i="1"/>
  <c r="U1063" i="1"/>
  <c r="G1063" i="1"/>
  <c r="H1063" i="1"/>
  <c r="E1063" i="1"/>
  <c r="AF1062" i="1"/>
  <c r="U1062" i="1"/>
  <c r="G1062" i="1"/>
  <c r="H1062" i="1"/>
  <c r="E1062" i="1"/>
  <c r="U1061" i="1"/>
  <c r="G1061" i="1"/>
  <c r="H1061" i="1"/>
  <c r="E1061" i="1"/>
  <c r="U1060" i="1"/>
  <c r="G1060" i="1"/>
  <c r="H1060" i="1"/>
  <c r="E1060" i="1"/>
  <c r="L1059" i="1"/>
  <c r="G1059" i="1"/>
  <c r="H1059" i="1"/>
  <c r="E1059" i="1"/>
  <c r="U1058" i="1"/>
  <c r="G1058" i="1"/>
  <c r="H1058" i="1"/>
  <c r="E1058" i="1"/>
  <c r="U1057" i="1"/>
  <c r="G1057" i="1"/>
  <c r="H1057" i="1"/>
  <c r="E1057" i="1"/>
  <c r="U1056" i="1"/>
  <c r="G1056" i="1"/>
  <c r="H1056" i="1"/>
  <c r="E1056" i="1"/>
  <c r="U1055" i="1"/>
  <c r="G1055" i="1"/>
  <c r="H1055" i="1"/>
  <c r="E1055" i="1"/>
  <c r="U1054" i="1"/>
  <c r="G1054" i="1"/>
  <c r="H1054" i="1"/>
  <c r="E1054" i="1"/>
  <c r="AH1053" i="1"/>
  <c r="U1053" i="1"/>
  <c r="P1053" i="1"/>
  <c r="G1053" i="1"/>
  <c r="H1053" i="1"/>
  <c r="E1053" i="1"/>
  <c r="AF1052" i="1"/>
  <c r="U1052" i="1"/>
  <c r="G1052" i="1"/>
  <c r="H1052" i="1"/>
  <c r="E1052" i="1"/>
  <c r="U1051" i="1"/>
  <c r="L1051" i="1"/>
  <c r="G1051" i="1"/>
  <c r="H1051" i="1"/>
  <c r="E1051" i="1"/>
  <c r="U1050" i="1"/>
  <c r="L1050" i="1"/>
  <c r="G1050" i="1"/>
  <c r="H1050" i="1"/>
  <c r="E1050" i="1"/>
  <c r="U1049" i="1"/>
  <c r="L1049" i="1"/>
  <c r="G1049" i="1"/>
  <c r="H1049" i="1"/>
  <c r="E1049" i="1"/>
  <c r="U1048" i="1"/>
  <c r="L1048" i="1"/>
  <c r="G1048" i="1"/>
  <c r="H1048" i="1"/>
  <c r="E1048" i="1"/>
  <c r="U1047" i="1"/>
  <c r="G1047" i="1"/>
  <c r="H1047" i="1"/>
  <c r="E1047" i="1"/>
  <c r="U1046" i="1"/>
  <c r="G1046" i="1"/>
  <c r="H1046" i="1"/>
  <c r="E1046" i="1"/>
  <c r="AF1045" i="1"/>
  <c r="U1045" i="1"/>
  <c r="G1045" i="1"/>
  <c r="H1045" i="1"/>
  <c r="E1045" i="1"/>
  <c r="U1044" i="1"/>
  <c r="G1044" i="1"/>
  <c r="H1044" i="1"/>
  <c r="E1044" i="1"/>
  <c r="U1043" i="1"/>
  <c r="L1043" i="1"/>
  <c r="G1043" i="1"/>
  <c r="H1043" i="1"/>
  <c r="E1043" i="1"/>
  <c r="AF1042" i="1"/>
  <c r="U1042" i="1"/>
  <c r="G1042" i="1"/>
  <c r="H1042" i="1"/>
  <c r="E1042" i="1"/>
  <c r="AF1041" i="1"/>
  <c r="U1041" i="1"/>
  <c r="G1041" i="1"/>
  <c r="H1041" i="1"/>
  <c r="E1041" i="1"/>
  <c r="AF1040" i="1"/>
  <c r="U1040" i="1"/>
  <c r="G1040" i="1"/>
  <c r="H1040" i="1"/>
  <c r="E1040" i="1"/>
  <c r="U1039" i="1"/>
  <c r="G1039" i="1"/>
  <c r="H1039" i="1"/>
  <c r="E1039" i="1"/>
  <c r="U1038" i="1"/>
  <c r="G1038" i="1"/>
  <c r="H1038" i="1"/>
  <c r="E1038" i="1"/>
  <c r="U1037" i="1"/>
  <c r="L1037" i="1"/>
  <c r="G1037" i="1"/>
  <c r="H1037" i="1"/>
  <c r="E1037" i="1"/>
  <c r="U1036" i="1"/>
  <c r="P1036" i="1"/>
  <c r="L1036" i="1"/>
  <c r="G1036" i="1"/>
  <c r="H1036" i="1"/>
  <c r="E1036" i="1"/>
  <c r="U1035" i="1"/>
  <c r="L1035" i="1"/>
  <c r="G1035" i="1"/>
  <c r="H1035" i="1"/>
  <c r="E1035" i="1"/>
  <c r="U1034" i="1"/>
  <c r="G1034" i="1"/>
  <c r="H1034" i="1"/>
  <c r="E1034" i="1"/>
  <c r="U1033" i="1"/>
  <c r="L1033" i="1"/>
  <c r="G1033" i="1"/>
  <c r="H1033" i="1"/>
  <c r="E1033" i="1"/>
  <c r="U1032" i="1"/>
  <c r="L1032" i="1"/>
  <c r="G1032" i="1"/>
  <c r="H1032" i="1"/>
  <c r="E1032" i="1"/>
  <c r="U1031" i="1"/>
  <c r="L1031" i="1"/>
  <c r="G1031" i="1"/>
  <c r="H1031" i="1"/>
  <c r="E1031" i="1"/>
  <c r="L1030" i="1"/>
  <c r="G1030" i="1"/>
  <c r="H1030" i="1"/>
  <c r="E1030" i="1"/>
  <c r="U1029" i="1"/>
  <c r="G1029" i="1"/>
  <c r="H1029" i="1"/>
  <c r="E1029" i="1"/>
  <c r="L1028" i="1"/>
  <c r="G1028" i="1"/>
  <c r="H1028" i="1"/>
  <c r="E1028" i="1"/>
  <c r="U1027" i="1"/>
  <c r="G1027" i="1"/>
  <c r="H1027" i="1"/>
  <c r="E1027" i="1"/>
  <c r="U1026" i="1"/>
  <c r="G1026" i="1"/>
  <c r="H1026" i="1"/>
  <c r="E1026" i="1"/>
  <c r="AF1025" i="1"/>
  <c r="U1025" i="1"/>
  <c r="L1025" i="1"/>
  <c r="G1025" i="1"/>
  <c r="H1025" i="1"/>
  <c r="E1025" i="1"/>
  <c r="AF1024" i="1"/>
  <c r="U1024" i="1"/>
  <c r="G1024" i="1"/>
  <c r="H1024" i="1"/>
  <c r="E1024" i="1"/>
  <c r="AF1023" i="1"/>
  <c r="U1023" i="1"/>
  <c r="G1023" i="1"/>
  <c r="H1023" i="1"/>
  <c r="E1023" i="1"/>
  <c r="AF1022" i="1"/>
  <c r="U1022" i="1"/>
  <c r="G1022" i="1"/>
  <c r="H1022" i="1"/>
  <c r="E1022" i="1"/>
  <c r="U1021" i="1"/>
  <c r="L1021" i="1"/>
  <c r="G1021" i="1"/>
  <c r="H1021" i="1"/>
  <c r="E1021" i="1"/>
  <c r="U1020" i="1"/>
  <c r="L1020" i="1"/>
  <c r="G1020" i="1"/>
  <c r="H1020" i="1"/>
  <c r="E1020" i="1"/>
  <c r="AH1019" i="1"/>
  <c r="U1019" i="1"/>
  <c r="L1019" i="1"/>
  <c r="G1019" i="1"/>
  <c r="H1019" i="1"/>
  <c r="E1019" i="1"/>
  <c r="AF1018" i="1"/>
  <c r="U1018" i="1"/>
  <c r="G1018" i="1"/>
  <c r="H1018" i="1"/>
  <c r="E1018" i="1"/>
  <c r="U1017" i="1"/>
  <c r="G1017" i="1"/>
  <c r="H1017" i="1"/>
  <c r="E1017" i="1"/>
  <c r="U1016" i="1"/>
  <c r="L1016" i="1"/>
  <c r="G1016" i="1"/>
  <c r="H1016" i="1"/>
  <c r="E1016" i="1"/>
  <c r="AH1015" i="1"/>
  <c r="U1015" i="1"/>
  <c r="L1015" i="1"/>
  <c r="G1015" i="1"/>
  <c r="H1015" i="1"/>
  <c r="E1015" i="1"/>
  <c r="U1014" i="1"/>
  <c r="L1014" i="1"/>
  <c r="G1014" i="1"/>
  <c r="H1014" i="1"/>
  <c r="E1014" i="1"/>
  <c r="AF1013" i="1"/>
  <c r="U1013" i="1"/>
  <c r="G1013" i="1"/>
  <c r="H1013" i="1"/>
  <c r="E1013" i="1"/>
  <c r="AF1012" i="1"/>
  <c r="U1012" i="1"/>
  <c r="G1012" i="1"/>
  <c r="H1012" i="1"/>
  <c r="E1012" i="1"/>
  <c r="AH1011" i="1"/>
  <c r="U1011" i="1"/>
  <c r="L1011" i="1"/>
  <c r="G1011" i="1"/>
  <c r="H1011" i="1"/>
  <c r="E1011" i="1"/>
  <c r="U1010" i="1"/>
  <c r="P1010" i="1"/>
  <c r="L1010" i="1"/>
  <c r="G1010" i="1"/>
  <c r="H1010" i="1"/>
  <c r="E1010" i="1"/>
  <c r="AH1009" i="1"/>
  <c r="U1009" i="1"/>
  <c r="L1009" i="1"/>
  <c r="G1009" i="1"/>
  <c r="H1009" i="1"/>
  <c r="E1009" i="1"/>
  <c r="AF1008" i="1"/>
  <c r="U1008" i="1"/>
  <c r="L1008" i="1"/>
  <c r="G1008" i="1"/>
  <c r="H1008" i="1"/>
  <c r="E1008" i="1"/>
  <c r="U1007" i="1"/>
  <c r="L1007" i="1"/>
  <c r="G1007" i="1"/>
  <c r="H1007" i="1"/>
  <c r="E1007" i="1"/>
  <c r="U1006" i="1"/>
  <c r="P1006" i="1"/>
  <c r="L1006" i="1"/>
  <c r="G1006" i="1"/>
  <c r="H1006" i="1"/>
  <c r="E1006" i="1"/>
  <c r="U1005" i="1"/>
  <c r="P1005" i="1"/>
  <c r="G1005" i="1"/>
  <c r="H1005" i="1"/>
  <c r="E1005" i="1"/>
  <c r="U1004" i="1"/>
  <c r="L1004" i="1"/>
  <c r="G1004" i="1"/>
  <c r="H1004" i="1"/>
  <c r="E1004" i="1"/>
  <c r="AC1003" i="1"/>
  <c r="U1003" i="1"/>
  <c r="G1003" i="1"/>
  <c r="H1003" i="1"/>
  <c r="E1003" i="1"/>
  <c r="U1002" i="1"/>
  <c r="L1002" i="1"/>
  <c r="G1002" i="1"/>
  <c r="H1002" i="1"/>
  <c r="E1002" i="1"/>
  <c r="AH1001" i="1"/>
  <c r="U1001" i="1"/>
  <c r="L1001" i="1"/>
  <c r="G1001" i="1"/>
  <c r="H1001" i="1"/>
  <c r="E1001" i="1"/>
  <c r="AH1000" i="1"/>
  <c r="G1000" i="1"/>
  <c r="H1000" i="1"/>
  <c r="E1000" i="1"/>
  <c r="AF999" i="1"/>
  <c r="U999" i="1"/>
  <c r="G999" i="1"/>
  <c r="H999" i="1"/>
  <c r="E999" i="1"/>
  <c r="AF998" i="1"/>
  <c r="U998" i="1"/>
  <c r="L998" i="1"/>
  <c r="G998" i="1"/>
  <c r="H998" i="1"/>
  <c r="E998" i="1"/>
  <c r="AH997" i="1"/>
  <c r="U997" i="1"/>
  <c r="L997" i="1"/>
  <c r="G997" i="1"/>
  <c r="H997" i="1"/>
  <c r="E997" i="1"/>
  <c r="AF996" i="1"/>
  <c r="U996" i="1"/>
  <c r="L996" i="1"/>
  <c r="G996" i="1"/>
  <c r="H996" i="1"/>
  <c r="E996" i="1"/>
  <c r="L995" i="1"/>
  <c r="G995" i="1"/>
  <c r="H995" i="1"/>
  <c r="E995" i="1"/>
  <c r="U994" i="1"/>
  <c r="L994" i="1"/>
  <c r="G994" i="1"/>
  <c r="H994" i="1"/>
  <c r="E994" i="1"/>
  <c r="AH993" i="1"/>
  <c r="G993" i="1"/>
  <c r="H993" i="1"/>
  <c r="E993" i="1"/>
  <c r="AF992" i="1"/>
  <c r="U992" i="1"/>
  <c r="G992" i="1"/>
  <c r="H992" i="1"/>
  <c r="E992" i="1"/>
  <c r="AH991" i="1"/>
  <c r="G991" i="1"/>
  <c r="H991" i="1"/>
  <c r="E991" i="1"/>
  <c r="S990" i="1"/>
  <c r="G990" i="1"/>
  <c r="H990" i="1"/>
  <c r="E990" i="1"/>
  <c r="AH989" i="1"/>
  <c r="G989" i="1"/>
  <c r="H989" i="1"/>
  <c r="E989" i="1"/>
  <c r="U988" i="1"/>
  <c r="L988" i="1"/>
  <c r="G988" i="1"/>
  <c r="H988" i="1"/>
  <c r="E988" i="1"/>
  <c r="L987" i="1"/>
  <c r="G987" i="1"/>
  <c r="H987" i="1"/>
  <c r="E987" i="1"/>
  <c r="U986" i="1"/>
  <c r="L986" i="1"/>
  <c r="G986" i="1"/>
  <c r="H986" i="1"/>
  <c r="E986" i="1"/>
  <c r="S985" i="1"/>
  <c r="L985" i="1"/>
  <c r="G985" i="1"/>
  <c r="H985" i="1"/>
  <c r="E985" i="1"/>
  <c r="L984" i="1"/>
  <c r="G984" i="1"/>
  <c r="H984" i="1"/>
  <c r="E984" i="1"/>
  <c r="AH983" i="1"/>
  <c r="S983" i="1"/>
  <c r="G983" i="1"/>
  <c r="H983" i="1"/>
  <c r="E983" i="1"/>
  <c r="U982" i="1"/>
  <c r="L982" i="1"/>
  <c r="G982" i="1"/>
  <c r="H982" i="1"/>
  <c r="E982" i="1"/>
  <c r="U981" i="1"/>
  <c r="L981" i="1"/>
  <c r="G981" i="1"/>
  <c r="H981" i="1"/>
  <c r="E981" i="1"/>
  <c r="AH980" i="1"/>
  <c r="G980" i="1"/>
  <c r="H980" i="1"/>
  <c r="E980" i="1"/>
  <c r="AF979" i="1"/>
  <c r="U979" i="1"/>
  <c r="G979" i="1"/>
  <c r="H979" i="1"/>
  <c r="E979" i="1"/>
  <c r="L978" i="1"/>
  <c r="G978" i="1"/>
  <c r="H978" i="1"/>
  <c r="E978" i="1"/>
  <c r="AF977" i="1"/>
  <c r="U977" i="1"/>
  <c r="L977" i="1"/>
  <c r="G977" i="1"/>
  <c r="H977" i="1"/>
  <c r="E977" i="1"/>
  <c r="AH976" i="1"/>
  <c r="L976" i="1"/>
  <c r="G976" i="1"/>
  <c r="H976" i="1"/>
  <c r="E976" i="1"/>
  <c r="AH975" i="1"/>
  <c r="X975" i="1"/>
  <c r="G975" i="1"/>
  <c r="H975" i="1"/>
  <c r="E975" i="1"/>
  <c r="L974" i="1"/>
  <c r="G974" i="1"/>
  <c r="H974" i="1"/>
  <c r="E974" i="1"/>
  <c r="U973" i="1"/>
  <c r="L973" i="1"/>
  <c r="G973" i="1"/>
  <c r="H973" i="1"/>
  <c r="E973" i="1"/>
  <c r="U972" i="1"/>
  <c r="P972" i="1"/>
  <c r="L972" i="1"/>
  <c r="G972" i="1"/>
  <c r="H972" i="1"/>
  <c r="E972" i="1"/>
  <c r="AF971" i="1"/>
  <c r="U971" i="1"/>
  <c r="L971" i="1"/>
  <c r="G971" i="1"/>
  <c r="H971" i="1"/>
  <c r="E971" i="1"/>
  <c r="AG970" i="1"/>
  <c r="U970" i="1"/>
  <c r="G970" i="1"/>
  <c r="H970" i="1"/>
  <c r="E970" i="1"/>
  <c r="L969" i="1"/>
  <c r="G969" i="1"/>
  <c r="H969" i="1"/>
  <c r="E969" i="1"/>
  <c r="L968" i="1"/>
  <c r="G968" i="1"/>
  <c r="H968" i="1"/>
  <c r="E968" i="1"/>
  <c r="AF967" i="1"/>
  <c r="AC967" i="1"/>
  <c r="AA967" i="1"/>
  <c r="G967" i="1"/>
  <c r="H967" i="1"/>
  <c r="E967" i="1"/>
  <c r="AF966" i="1"/>
  <c r="U966" i="1"/>
  <c r="G966" i="1"/>
  <c r="H966" i="1"/>
  <c r="E966" i="1"/>
  <c r="AF965" i="1"/>
  <c r="U965" i="1"/>
  <c r="G965" i="1"/>
  <c r="H965" i="1"/>
  <c r="E965" i="1"/>
  <c r="V964" i="1"/>
  <c r="G964" i="1"/>
  <c r="H964" i="1"/>
  <c r="E964" i="1"/>
  <c r="L963" i="1"/>
  <c r="G963" i="1"/>
  <c r="H963" i="1"/>
  <c r="E963" i="1"/>
  <c r="AF962" i="1"/>
  <c r="U962" i="1"/>
  <c r="L962" i="1"/>
  <c r="G962" i="1"/>
  <c r="H962" i="1"/>
  <c r="E962" i="1"/>
  <c r="L961" i="1"/>
  <c r="G961" i="1"/>
  <c r="H961" i="1"/>
  <c r="E961" i="1"/>
  <c r="L960" i="1"/>
  <c r="G960" i="1"/>
  <c r="H960" i="1"/>
  <c r="E960" i="1"/>
  <c r="U959" i="1"/>
  <c r="G959" i="1"/>
  <c r="H959" i="1"/>
  <c r="E959" i="1"/>
  <c r="L958" i="1"/>
  <c r="G958" i="1"/>
  <c r="H958" i="1"/>
  <c r="E958" i="1"/>
  <c r="S957" i="1"/>
  <c r="G957" i="1"/>
  <c r="H957" i="1"/>
  <c r="E957" i="1"/>
  <c r="AH956" i="1"/>
  <c r="G956" i="1"/>
  <c r="H956" i="1"/>
  <c r="E956" i="1"/>
  <c r="AH955" i="1"/>
  <c r="G955" i="1"/>
  <c r="H955" i="1"/>
  <c r="E955" i="1"/>
  <c r="L954" i="1"/>
  <c r="G954" i="1"/>
  <c r="H954" i="1"/>
  <c r="E954" i="1"/>
  <c r="U953" i="1"/>
  <c r="G953" i="1"/>
  <c r="H953" i="1"/>
  <c r="E953" i="1"/>
  <c r="AF952" i="1"/>
  <c r="U952" i="1"/>
  <c r="L952" i="1"/>
  <c r="G952" i="1"/>
  <c r="H952" i="1"/>
  <c r="E952" i="1"/>
  <c r="L951" i="1"/>
  <c r="G951" i="1"/>
  <c r="H951" i="1"/>
  <c r="E951" i="1"/>
  <c r="AH950" i="1"/>
  <c r="G950" i="1"/>
  <c r="H950" i="1"/>
  <c r="E950" i="1"/>
  <c r="Z949" i="1"/>
  <c r="U949" i="1"/>
  <c r="G949" i="1"/>
  <c r="H949" i="1"/>
  <c r="E949" i="1"/>
  <c r="Q948" i="1"/>
  <c r="G948" i="1"/>
  <c r="H948" i="1"/>
  <c r="E948" i="1"/>
  <c r="S947" i="1"/>
  <c r="G947" i="1"/>
  <c r="H947" i="1"/>
  <c r="E947" i="1"/>
  <c r="U946" i="1"/>
  <c r="P946" i="1"/>
  <c r="G946" i="1"/>
  <c r="H946" i="1"/>
  <c r="E946" i="1"/>
  <c r="AE945" i="1"/>
  <c r="X945" i="1"/>
  <c r="L945" i="1"/>
  <c r="G945" i="1"/>
  <c r="H945" i="1"/>
  <c r="E945" i="1"/>
  <c r="AF944" i="1"/>
  <c r="U944" i="1"/>
  <c r="L944" i="1"/>
  <c r="G944" i="1"/>
  <c r="H944" i="1"/>
  <c r="E944" i="1"/>
  <c r="AH943" i="1"/>
  <c r="G943" i="1"/>
  <c r="H943" i="1"/>
  <c r="E943" i="1"/>
  <c r="U942" i="1"/>
  <c r="P942" i="1"/>
  <c r="L942" i="1"/>
  <c r="G942" i="1"/>
  <c r="H942" i="1"/>
  <c r="E942" i="1"/>
  <c r="L941" i="1"/>
  <c r="G941" i="1"/>
  <c r="H941" i="1"/>
  <c r="E941" i="1"/>
  <c r="U940" i="1"/>
  <c r="L940" i="1"/>
  <c r="G940" i="1"/>
  <c r="H940" i="1"/>
  <c r="E940" i="1"/>
  <c r="AH939" i="1"/>
  <c r="S939" i="1"/>
  <c r="G939" i="1"/>
  <c r="H939" i="1"/>
  <c r="E939" i="1"/>
  <c r="X938" i="1"/>
  <c r="S938" i="1"/>
  <c r="L938" i="1"/>
  <c r="G938" i="1"/>
  <c r="H938" i="1"/>
  <c r="E938" i="1"/>
  <c r="U937" i="1"/>
  <c r="P937" i="1"/>
  <c r="G937" i="1"/>
  <c r="H937" i="1"/>
  <c r="E937" i="1"/>
  <c r="AF936" i="1"/>
  <c r="U936" i="1"/>
  <c r="L936" i="1"/>
  <c r="G936" i="1"/>
  <c r="H936" i="1"/>
  <c r="E936" i="1"/>
  <c r="U935" i="1"/>
  <c r="G935" i="1"/>
  <c r="H935" i="1"/>
  <c r="E935" i="1"/>
  <c r="AH934" i="1"/>
  <c r="U934" i="1"/>
  <c r="L934" i="1"/>
  <c r="G934" i="1"/>
  <c r="H934" i="1"/>
  <c r="E934" i="1"/>
  <c r="AF933" i="1"/>
  <c r="U933" i="1"/>
  <c r="L933" i="1"/>
  <c r="G933" i="1"/>
  <c r="H933" i="1"/>
  <c r="E933" i="1"/>
  <c r="AF932" i="1"/>
  <c r="U932" i="1"/>
  <c r="L932" i="1"/>
  <c r="G932" i="1"/>
  <c r="H932" i="1"/>
  <c r="E932" i="1"/>
  <c r="L931" i="1"/>
  <c r="G931" i="1"/>
  <c r="H931" i="1"/>
  <c r="E931" i="1"/>
  <c r="AF930" i="1"/>
  <c r="U930" i="1"/>
  <c r="L930" i="1"/>
  <c r="G930" i="1"/>
  <c r="H930" i="1"/>
  <c r="E930" i="1"/>
  <c r="S929" i="1"/>
  <c r="G929" i="1"/>
  <c r="H929" i="1"/>
  <c r="E929" i="1"/>
  <c r="U928" i="1"/>
  <c r="G928" i="1"/>
  <c r="H928" i="1"/>
  <c r="E928" i="1"/>
  <c r="S927" i="1"/>
  <c r="L927" i="1"/>
  <c r="G927" i="1"/>
  <c r="H927" i="1"/>
  <c r="E927" i="1"/>
  <c r="M926" i="1"/>
  <c r="G926" i="1"/>
  <c r="H926" i="1"/>
  <c r="E926" i="1"/>
  <c r="AH925" i="1"/>
  <c r="X925" i="1"/>
  <c r="G925" i="1"/>
  <c r="H925" i="1"/>
  <c r="E925" i="1"/>
  <c r="L924" i="1"/>
  <c r="G924" i="1"/>
  <c r="H924" i="1"/>
  <c r="E924" i="1"/>
  <c r="L923" i="1"/>
  <c r="G923" i="1"/>
  <c r="H923" i="1"/>
  <c r="E923" i="1"/>
  <c r="L922" i="1"/>
  <c r="G922" i="1"/>
  <c r="H922" i="1"/>
  <c r="E922" i="1"/>
  <c r="W921" i="1"/>
  <c r="L921" i="1"/>
  <c r="G921" i="1"/>
  <c r="H921" i="1"/>
  <c r="E921" i="1"/>
  <c r="AH920" i="1"/>
  <c r="AG920" i="1"/>
  <c r="U920" i="1"/>
  <c r="L920" i="1"/>
  <c r="G920" i="1"/>
  <c r="H920" i="1"/>
  <c r="E920" i="1"/>
  <c r="M919" i="1"/>
  <c r="L919" i="1"/>
  <c r="G919" i="1"/>
  <c r="H919" i="1"/>
  <c r="E919" i="1"/>
  <c r="AH918" i="1"/>
  <c r="G918" i="1"/>
  <c r="H918" i="1"/>
  <c r="E918" i="1"/>
  <c r="M917" i="1"/>
  <c r="G917" i="1"/>
  <c r="H917" i="1"/>
  <c r="E917" i="1"/>
  <c r="U916" i="1"/>
  <c r="P916" i="1"/>
  <c r="G916" i="1"/>
  <c r="H916" i="1"/>
  <c r="E916" i="1"/>
  <c r="M915" i="1"/>
  <c r="G915" i="1"/>
  <c r="H915" i="1"/>
  <c r="E915" i="1"/>
  <c r="X914" i="1"/>
  <c r="S914" i="1"/>
  <c r="L914" i="1"/>
  <c r="G914" i="1"/>
  <c r="H914" i="1"/>
  <c r="E914" i="1"/>
  <c r="X913" i="1"/>
  <c r="S913" i="1"/>
  <c r="L913" i="1"/>
  <c r="G913" i="1"/>
  <c r="H913" i="1"/>
  <c r="E913" i="1"/>
  <c r="U912" i="1"/>
  <c r="G912" i="1"/>
  <c r="H912" i="1"/>
  <c r="E912" i="1"/>
  <c r="L911" i="1"/>
  <c r="G911" i="1"/>
  <c r="H911" i="1"/>
  <c r="E911" i="1"/>
  <c r="L910" i="1"/>
  <c r="G910" i="1"/>
  <c r="H910" i="1"/>
  <c r="E910" i="1"/>
  <c r="AH909" i="1"/>
  <c r="U909" i="1"/>
  <c r="L909" i="1"/>
  <c r="G909" i="1"/>
  <c r="H909" i="1"/>
  <c r="E909" i="1"/>
  <c r="AC908" i="1"/>
  <c r="U908" i="1"/>
  <c r="G908" i="1"/>
  <c r="H908" i="1"/>
  <c r="E908" i="1"/>
  <c r="U907" i="1"/>
  <c r="P907" i="1"/>
  <c r="L907" i="1"/>
  <c r="G907" i="1"/>
  <c r="H907" i="1"/>
  <c r="E907" i="1"/>
  <c r="AH906" i="1"/>
  <c r="G906" i="1"/>
  <c r="H906" i="1"/>
  <c r="E906" i="1"/>
  <c r="AH905" i="1"/>
  <c r="U905" i="1"/>
  <c r="L905" i="1"/>
  <c r="G905" i="1"/>
  <c r="H905" i="1"/>
  <c r="E905" i="1"/>
  <c r="AH904" i="1"/>
  <c r="S904" i="1"/>
  <c r="G904" i="1"/>
  <c r="H904" i="1"/>
  <c r="E904" i="1"/>
  <c r="U903" i="1"/>
  <c r="L903" i="1"/>
  <c r="G903" i="1"/>
  <c r="H903" i="1"/>
  <c r="E903" i="1"/>
  <c r="AH902" i="1"/>
  <c r="G902" i="1"/>
  <c r="H902" i="1"/>
  <c r="E902" i="1"/>
  <c r="AH901" i="1"/>
  <c r="X901" i="1"/>
  <c r="G901" i="1"/>
  <c r="H901" i="1"/>
  <c r="E901" i="1"/>
  <c r="U900" i="1"/>
  <c r="L900" i="1"/>
  <c r="G900" i="1"/>
  <c r="H900" i="1"/>
  <c r="E900" i="1"/>
  <c r="S899" i="1"/>
  <c r="G899" i="1"/>
  <c r="H899" i="1"/>
  <c r="E899" i="1"/>
  <c r="AC898" i="1"/>
  <c r="AA898" i="1"/>
  <c r="U898" i="1"/>
  <c r="G898" i="1"/>
  <c r="H898" i="1"/>
  <c r="E898" i="1"/>
  <c r="T897" i="1"/>
  <c r="S897" i="1"/>
  <c r="L897" i="1"/>
  <c r="G897" i="1"/>
  <c r="H897" i="1"/>
  <c r="E897" i="1"/>
  <c r="AH896" i="1"/>
  <c r="S896" i="1"/>
  <c r="L896" i="1"/>
  <c r="G896" i="1"/>
  <c r="H896" i="1"/>
  <c r="E896" i="1"/>
  <c r="AH895" i="1"/>
  <c r="X895" i="1"/>
  <c r="G895" i="1"/>
  <c r="H895" i="1"/>
  <c r="E895" i="1"/>
  <c r="S894" i="1"/>
  <c r="L894" i="1"/>
  <c r="G894" i="1"/>
  <c r="H894" i="1"/>
  <c r="E894" i="1"/>
  <c r="S893" i="1"/>
  <c r="L893" i="1"/>
  <c r="G893" i="1"/>
  <c r="H893" i="1"/>
  <c r="E893" i="1"/>
  <c r="U892" i="1"/>
  <c r="L892" i="1"/>
  <c r="G892" i="1"/>
  <c r="H892" i="1"/>
  <c r="E892" i="1"/>
  <c r="L891" i="1"/>
  <c r="G891" i="1"/>
  <c r="H891" i="1"/>
  <c r="E891" i="1"/>
  <c r="AH890" i="1"/>
  <c r="G890" i="1"/>
  <c r="H890" i="1"/>
  <c r="E890" i="1"/>
  <c r="AH889" i="1"/>
  <c r="G889" i="1"/>
  <c r="H889" i="1"/>
  <c r="E889" i="1"/>
  <c r="U888" i="1"/>
  <c r="N888" i="1"/>
  <c r="L888" i="1"/>
  <c r="G888" i="1"/>
  <c r="H888" i="1"/>
  <c r="E888" i="1"/>
  <c r="L887" i="1"/>
  <c r="G887" i="1"/>
  <c r="H887" i="1"/>
  <c r="E887" i="1"/>
  <c r="AH886" i="1"/>
  <c r="X886" i="1"/>
  <c r="S886" i="1"/>
  <c r="G886" i="1"/>
  <c r="H886" i="1"/>
  <c r="E886" i="1"/>
  <c r="AF885" i="1"/>
  <c r="G885" i="1"/>
  <c r="H885" i="1"/>
  <c r="E885" i="1"/>
  <c r="AH884" i="1"/>
  <c r="G884" i="1"/>
  <c r="H884" i="1"/>
  <c r="E884" i="1"/>
  <c r="M883" i="1"/>
  <c r="G883" i="1"/>
  <c r="H883" i="1"/>
  <c r="E883" i="1"/>
  <c r="S882" i="1"/>
  <c r="L882" i="1"/>
  <c r="G882" i="1"/>
  <c r="H882" i="1"/>
  <c r="E882" i="1"/>
  <c r="AF881" i="1"/>
  <c r="U881" i="1"/>
  <c r="G881" i="1"/>
  <c r="H881" i="1"/>
  <c r="E881" i="1"/>
  <c r="L880" i="1"/>
  <c r="G880" i="1"/>
  <c r="H880" i="1"/>
  <c r="E880" i="1"/>
  <c r="AH879" i="1"/>
  <c r="AE879" i="1"/>
  <c r="G879" i="1"/>
  <c r="H879" i="1"/>
  <c r="E879" i="1"/>
  <c r="L878" i="1"/>
  <c r="G878" i="1"/>
  <c r="H878" i="1"/>
  <c r="E878" i="1"/>
  <c r="L877" i="1"/>
  <c r="G877" i="1"/>
  <c r="H877" i="1"/>
  <c r="E877" i="1"/>
  <c r="L876" i="1"/>
  <c r="G876" i="1"/>
  <c r="H876" i="1"/>
  <c r="E876" i="1"/>
  <c r="AH875" i="1"/>
  <c r="S875" i="1"/>
  <c r="L875" i="1"/>
  <c r="G875" i="1"/>
  <c r="H875" i="1"/>
  <c r="E875" i="1"/>
  <c r="X874" i="1"/>
  <c r="S874" i="1"/>
  <c r="G874" i="1"/>
  <c r="H874" i="1"/>
  <c r="E874" i="1"/>
  <c r="AE873" i="1"/>
  <c r="V873" i="1"/>
  <c r="G873" i="1"/>
  <c r="H873" i="1"/>
  <c r="E873" i="1"/>
  <c r="AH872" i="1"/>
  <c r="S872" i="1"/>
  <c r="L872" i="1"/>
  <c r="G872" i="1"/>
  <c r="H872" i="1"/>
  <c r="E872" i="1"/>
  <c r="M871" i="1"/>
  <c r="L871" i="1"/>
  <c r="G871" i="1"/>
  <c r="H871" i="1"/>
  <c r="E871" i="1"/>
  <c r="AH870" i="1"/>
  <c r="S870" i="1"/>
  <c r="G870" i="1"/>
  <c r="H870" i="1"/>
  <c r="E870" i="1"/>
  <c r="M869" i="1"/>
  <c r="L869" i="1"/>
  <c r="G869" i="1"/>
  <c r="H869" i="1"/>
  <c r="E869" i="1"/>
  <c r="L868" i="1"/>
  <c r="G868" i="1"/>
  <c r="H868" i="1"/>
  <c r="E868" i="1"/>
  <c r="R867" i="1"/>
  <c r="L867" i="1"/>
  <c r="G867" i="1"/>
  <c r="H867" i="1"/>
  <c r="E867" i="1"/>
  <c r="U866" i="1"/>
  <c r="G866" i="1"/>
  <c r="H866" i="1"/>
  <c r="E866" i="1"/>
  <c r="L865" i="1"/>
  <c r="G865" i="1"/>
  <c r="H865" i="1"/>
  <c r="E865" i="1"/>
  <c r="U864" i="1"/>
  <c r="L864" i="1"/>
  <c r="G864" i="1"/>
  <c r="H864" i="1"/>
  <c r="E864" i="1"/>
  <c r="X863" i="1"/>
  <c r="S863" i="1"/>
  <c r="G863" i="1"/>
  <c r="H863" i="1"/>
  <c r="E863" i="1"/>
  <c r="L862" i="1"/>
  <c r="G862" i="1"/>
  <c r="H862" i="1"/>
  <c r="E862" i="1"/>
  <c r="AE861" i="1"/>
  <c r="X861" i="1"/>
  <c r="S861" i="1"/>
  <c r="L861" i="1"/>
  <c r="G861" i="1"/>
  <c r="H861" i="1"/>
  <c r="E861" i="1"/>
  <c r="L860" i="1"/>
  <c r="G860" i="1"/>
  <c r="H860" i="1"/>
  <c r="E860" i="1"/>
  <c r="S859" i="1"/>
  <c r="L859" i="1"/>
  <c r="G859" i="1"/>
  <c r="H859" i="1"/>
  <c r="E859" i="1"/>
  <c r="AH858" i="1"/>
  <c r="G858" i="1"/>
  <c r="H858" i="1"/>
  <c r="E858" i="1"/>
  <c r="M857" i="1"/>
  <c r="G857" i="1"/>
  <c r="H857" i="1"/>
  <c r="E857" i="1"/>
  <c r="S856" i="1"/>
  <c r="G856" i="1"/>
  <c r="H856" i="1"/>
  <c r="E856" i="1"/>
  <c r="U855" i="1"/>
  <c r="P855" i="1"/>
  <c r="L855" i="1"/>
  <c r="G855" i="1"/>
  <c r="H855" i="1"/>
  <c r="E855" i="1"/>
  <c r="S854" i="1"/>
  <c r="L854" i="1"/>
  <c r="G854" i="1"/>
  <c r="H854" i="1"/>
  <c r="E854" i="1"/>
  <c r="AH853" i="1"/>
  <c r="X853" i="1"/>
  <c r="S853" i="1"/>
  <c r="L853" i="1"/>
  <c r="G853" i="1"/>
  <c r="H853" i="1"/>
  <c r="E853" i="1"/>
  <c r="L852" i="1"/>
  <c r="G852" i="1"/>
  <c r="H852" i="1"/>
  <c r="E852" i="1"/>
  <c r="L851" i="1"/>
  <c r="G851" i="1"/>
  <c r="H851" i="1"/>
  <c r="E851" i="1"/>
  <c r="AE850" i="1"/>
  <c r="L850" i="1"/>
  <c r="G850" i="1"/>
  <c r="H850" i="1"/>
  <c r="E850" i="1"/>
  <c r="L849" i="1"/>
  <c r="G849" i="1"/>
  <c r="H849" i="1"/>
  <c r="E849" i="1"/>
  <c r="U848" i="1"/>
  <c r="L848" i="1"/>
  <c r="G848" i="1"/>
  <c r="H848" i="1"/>
  <c r="E848" i="1"/>
  <c r="Z847" i="1"/>
  <c r="L847" i="1"/>
  <c r="G847" i="1"/>
  <c r="H847" i="1"/>
  <c r="E847" i="1"/>
  <c r="AF846" i="1"/>
  <c r="AC846" i="1"/>
  <c r="AA846" i="1"/>
  <c r="U846" i="1"/>
  <c r="G846" i="1"/>
  <c r="H846" i="1"/>
  <c r="E846" i="1"/>
  <c r="AH845" i="1"/>
  <c r="AG845" i="1"/>
  <c r="G845" i="1"/>
  <c r="H845" i="1"/>
  <c r="E845" i="1"/>
  <c r="L844" i="1"/>
  <c r="G844" i="1"/>
  <c r="H844" i="1"/>
  <c r="E844" i="1"/>
  <c r="AF843" i="1"/>
  <c r="Z843" i="1"/>
  <c r="U843" i="1"/>
  <c r="P843" i="1"/>
  <c r="G843" i="1"/>
  <c r="H843" i="1"/>
  <c r="E843" i="1"/>
  <c r="AH842" i="1"/>
  <c r="U842" i="1"/>
  <c r="P842" i="1"/>
  <c r="L842" i="1"/>
  <c r="G842" i="1"/>
  <c r="H842" i="1"/>
  <c r="E842" i="1"/>
  <c r="X841" i="1"/>
  <c r="G841" i="1"/>
  <c r="H841" i="1"/>
  <c r="E841" i="1"/>
  <c r="M840" i="1"/>
  <c r="L840" i="1"/>
  <c r="G840" i="1"/>
  <c r="H840" i="1"/>
  <c r="E840" i="1"/>
  <c r="L839" i="1"/>
  <c r="G839" i="1"/>
  <c r="H839" i="1"/>
  <c r="E839" i="1"/>
  <c r="AH838" i="1"/>
  <c r="G838" i="1"/>
  <c r="H838" i="1"/>
  <c r="E838" i="1"/>
  <c r="U837" i="1"/>
  <c r="P837" i="1"/>
  <c r="N837" i="1"/>
  <c r="L837" i="1"/>
  <c r="G837" i="1"/>
  <c r="H837" i="1"/>
  <c r="E837" i="1"/>
  <c r="L836" i="1"/>
  <c r="G836" i="1"/>
  <c r="H836" i="1"/>
  <c r="E836" i="1"/>
  <c r="L835" i="1"/>
  <c r="G835" i="1"/>
  <c r="H835" i="1"/>
  <c r="E835" i="1"/>
  <c r="M834" i="1"/>
  <c r="L834" i="1"/>
  <c r="G834" i="1"/>
  <c r="H834" i="1"/>
  <c r="E834" i="1"/>
  <c r="T833" i="1"/>
  <c r="S833" i="1"/>
  <c r="L833" i="1"/>
  <c r="G833" i="1"/>
  <c r="H833" i="1"/>
  <c r="E833" i="1"/>
  <c r="L832" i="1"/>
  <c r="G832" i="1"/>
  <c r="H832" i="1"/>
  <c r="E832" i="1"/>
  <c r="X831" i="1"/>
  <c r="L831" i="1"/>
  <c r="G831" i="1"/>
  <c r="H831" i="1"/>
  <c r="E831" i="1"/>
  <c r="L830" i="1"/>
  <c r="G830" i="1"/>
  <c r="H830" i="1"/>
  <c r="E830" i="1"/>
  <c r="L829" i="1"/>
  <c r="G829" i="1"/>
  <c r="H829" i="1"/>
  <c r="E829" i="1"/>
  <c r="L828" i="1"/>
  <c r="G828" i="1"/>
  <c r="H828" i="1"/>
  <c r="E828" i="1"/>
  <c r="AH827" i="1"/>
  <c r="Y827" i="1"/>
  <c r="X827" i="1"/>
  <c r="S827" i="1"/>
  <c r="L827" i="1"/>
  <c r="G827" i="1"/>
  <c r="H827" i="1"/>
  <c r="E827" i="1"/>
  <c r="AE826" i="1"/>
  <c r="X826" i="1"/>
  <c r="S826" i="1"/>
  <c r="L826" i="1"/>
  <c r="G826" i="1"/>
  <c r="H826" i="1"/>
  <c r="E826" i="1"/>
  <c r="L825" i="1"/>
  <c r="G825" i="1"/>
  <c r="H825" i="1"/>
  <c r="E825" i="1"/>
  <c r="L824" i="1"/>
  <c r="G824" i="1"/>
  <c r="H824" i="1"/>
  <c r="E824" i="1"/>
  <c r="AF823" i="1"/>
  <c r="U823" i="1"/>
  <c r="N823" i="1"/>
  <c r="G823" i="1"/>
  <c r="H823" i="1"/>
  <c r="E823" i="1"/>
  <c r="AE822" i="1"/>
  <c r="S822" i="1"/>
  <c r="G822" i="1"/>
  <c r="H822" i="1"/>
  <c r="E822" i="1"/>
  <c r="W821" i="1"/>
  <c r="L821" i="1"/>
  <c r="G821" i="1"/>
  <c r="H821" i="1"/>
  <c r="E821" i="1"/>
  <c r="L820" i="1"/>
  <c r="G820" i="1"/>
  <c r="H820" i="1"/>
  <c r="E820" i="1"/>
  <c r="X819" i="1"/>
  <c r="L819" i="1"/>
  <c r="G819" i="1"/>
  <c r="H819" i="1"/>
  <c r="E819" i="1"/>
  <c r="AC818" i="1"/>
  <c r="AA818" i="1"/>
  <c r="G818" i="1"/>
  <c r="H818" i="1"/>
  <c r="E818" i="1"/>
  <c r="AH817" i="1"/>
  <c r="G817" i="1"/>
  <c r="H817" i="1"/>
  <c r="E817" i="1"/>
  <c r="AF816" i="1"/>
  <c r="G816" i="1"/>
  <c r="H816" i="1"/>
  <c r="E816" i="1"/>
  <c r="AF815" i="1"/>
  <c r="AC815" i="1"/>
  <c r="AA815" i="1"/>
  <c r="U815" i="1"/>
  <c r="L815" i="1"/>
  <c r="G815" i="1"/>
  <c r="H815" i="1"/>
  <c r="E815" i="1"/>
  <c r="L814" i="1"/>
  <c r="G814" i="1"/>
  <c r="H814" i="1"/>
  <c r="E814" i="1"/>
  <c r="W813" i="1"/>
  <c r="G813" i="1"/>
  <c r="H813" i="1"/>
  <c r="E813" i="1"/>
  <c r="M812" i="1"/>
  <c r="G812" i="1"/>
  <c r="H812" i="1"/>
  <c r="E812" i="1"/>
  <c r="L811" i="1"/>
  <c r="G811" i="1"/>
  <c r="H811" i="1"/>
  <c r="E811" i="1"/>
  <c r="M810" i="1"/>
  <c r="L810" i="1"/>
  <c r="G810" i="1"/>
  <c r="H810" i="1"/>
  <c r="E810" i="1"/>
  <c r="X809" i="1"/>
  <c r="S809" i="1"/>
  <c r="L809" i="1"/>
  <c r="G809" i="1"/>
  <c r="H809" i="1"/>
  <c r="E809" i="1"/>
  <c r="O808" i="1"/>
  <c r="M808" i="1"/>
  <c r="L808" i="1"/>
  <c r="G808" i="1"/>
  <c r="H808" i="1"/>
  <c r="E808" i="1"/>
  <c r="Y807" i="1"/>
  <c r="X807" i="1"/>
  <c r="T807" i="1"/>
  <c r="S807" i="1"/>
  <c r="L807" i="1"/>
  <c r="G807" i="1"/>
  <c r="H807" i="1"/>
  <c r="E807" i="1"/>
  <c r="X806" i="1"/>
  <c r="T806" i="1"/>
  <c r="S806" i="1"/>
  <c r="L806" i="1"/>
  <c r="G806" i="1"/>
  <c r="H806" i="1"/>
  <c r="E806" i="1"/>
  <c r="AH805" i="1"/>
  <c r="S805" i="1"/>
  <c r="L805" i="1"/>
  <c r="G805" i="1"/>
  <c r="H805" i="1"/>
  <c r="E805" i="1"/>
  <c r="M804" i="1"/>
  <c r="L804" i="1"/>
  <c r="G804" i="1"/>
  <c r="H804" i="1"/>
  <c r="E804" i="1"/>
  <c r="Y803" i="1"/>
  <c r="X803" i="1"/>
  <c r="T803" i="1"/>
  <c r="S803" i="1"/>
  <c r="L803" i="1"/>
  <c r="G803" i="1"/>
  <c r="H803" i="1"/>
  <c r="E803" i="1"/>
  <c r="AG802" i="1"/>
  <c r="X802" i="1"/>
  <c r="S802" i="1"/>
  <c r="G802" i="1"/>
  <c r="H802" i="1"/>
  <c r="E802" i="1"/>
  <c r="AH801" i="1"/>
  <c r="X801" i="1"/>
  <c r="S801" i="1"/>
  <c r="G801" i="1"/>
  <c r="H801" i="1"/>
  <c r="E801" i="1"/>
  <c r="W800" i="1"/>
  <c r="L800" i="1"/>
  <c r="G800" i="1"/>
  <c r="H800" i="1"/>
  <c r="E800" i="1"/>
  <c r="AH799" i="1"/>
  <c r="X799" i="1"/>
  <c r="T799" i="1"/>
  <c r="S799" i="1"/>
  <c r="L799" i="1"/>
  <c r="G799" i="1"/>
  <c r="H799" i="1"/>
  <c r="E799" i="1"/>
  <c r="AF798" i="1"/>
  <c r="AC798" i="1"/>
  <c r="U798" i="1"/>
  <c r="L798" i="1"/>
  <c r="G798" i="1"/>
  <c r="H798" i="1"/>
  <c r="E798" i="1"/>
  <c r="L797" i="1"/>
  <c r="G797" i="1"/>
  <c r="H797" i="1"/>
  <c r="E797" i="1"/>
  <c r="M796" i="1"/>
  <c r="L796" i="1"/>
  <c r="G796" i="1"/>
  <c r="H796" i="1"/>
  <c r="E796" i="1"/>
  <c r="AC795" i="1"/>
  <c r="AA795" i="1"/>
  <c r="L795" i="1"/>
  <c r="G795" i="1"/>
  <c r="H795" i="1"/>
  <c r="E795" i="1"/>
  <c r="L794" i="1"/>
  <c r="G794" i="1"/>
  <c r="H794" i="1"/>
  <c r="E794" i="1"/>
  <c r="M793" i="1"/>
  <c r="G793" i="1"/>
  <c r="H793" i="1"/>
  <c r="E793" i="1"/>
  <c r="AF792" i="1"/>
  <c r="U792" i="1"/>
  <c r="L792" i="1"/>
  <c r="G792" i="1"/>
  <c r="H792" i="1"/>
  <c r="E792" i="1"/>
  <c r="AF791" i="1"/>
  <c r="AC791" i="1"/>
  <c r="AA791" i="1"/>
  <c r="U791" i="1"/>
  <c r="L791" i="1"/>
  <c r="G791" i="1"/>
  <c r="H791" i="1"/>
  <c r="E791" i="1"/>
  <c r="M790" i="1"/>
  <c r="L790" i="1"/>
  <c r="G790" i="1"/>
  <c r="H790" i="1"/>
  <c r="E790" i="1"/>
  <c r="U789" i="1"/>
  <c r="N789" i="1"/>
  <c r="L789" i="1"/>
  <c r="G789" i="1"/>
  <c r="H789" i="1"/>
  <c r="E789" i="1"/>
  <c r="L788" i="1"/>
  <c r="G788" i="1"/>
  <c r="H788" i="1"/>
  <c r="E788" i="1"/>
  <c r="X787" i="1"/>
  <c r="T787" i="1"/>
  <c r="S787" i="1"/>
  <c r="L787" i="1"/>
  <c r="G787" i="1"/>
  <c r="H787" i="1"/>
  <c r="E787" i="1"/>
  <c r="L786" i="1"/>
  <c r="G786" i="1"/>
  <c r="H786" i="1"/>
  <c r="E786" i="1"/>
  <c r="AE785" i="1"/>
  <c r="AC785" i="1"/>
  <c r="AA785" i="1"/>
  <c r="Z785" i="1"/>
  <c r="V785" i="1"/>
  <c r="L785" i="1"/>
  <c r="G785" i="1"/>
  <c r="H785" i="1"/>
  <c r="E785" i="1"/>
  <c r="L784" i="1"/>
  <c r="G784" i="1"/>
  <c r="H784" i="1"/>
  <c r="E784" i="1"/>
  <c r="AH783" i="1"/>
  <c r="AG783" i="1"/>
  <c r="Y783" i="1"/>
  <c r="X783" i="1"/>
  <c r="T783" i="1"/>
  <c r="S783" i="1"/>
  <c r="L783" i="1"/>
  <c r="G783" i="1"/>
  <c r="H783" i="1"/>
  <c r="E783" i="1"/>
  <c r="L782" i="1"/>
  <c r="G782" i="1"/>
  <c r="H782" i="1"/>
  <c r="E782" i="1"/>
  <c r="L781" i="1"/>
  <c r="G781" i="1"/>
  <c r="H781" i="1"/>
  <c r="E781" i="1"/>
  <c r="AF780" i="1"/>
  <c r="Z780" i="1"/>
  <c r="U780" i="1"/>
  <c r="P780" i="1"/>
  <c r="L780" i="1"/>
  <c r="G780" i="1"/>
  <c r="H780" i="1"/>
  <c r="E780" i="1"/>
  <c r="V779" i="1"/>
  <c r="L779" i="1"/>
  <c r="G779" i="1"/>
  <c r="H779" i="1"/>
  <c r="E779" i="1"/>
  <c r="AE778" i="1"/>
  <c r="Y778" i="1"/>
  <c r="X778" i="1"/>
  <c r="S778" i="1"/>
  <c r="L778" i="1"/>
  <c r="G778" i="1"/>
  <c r="H778" i="1"/>
  <c r="E778" i="1"/>
  <c r="L777" i="1"/>
  <c r="G777" i="1"/>
  <c r="H777" i="1"/>
  <c r="E777" i="1"/>
  <c r="L776" i="1"/>
  <c r="G776" i="1"/>
  <c r="H776" i="1"/>
  <c r="E776" i="1"/>
  <c r="V775" i="1"/>
  <c r="L775" i="1"/>
  <c r="G775" i="1"/>
  <c r="H775" i="1"/>
  <c r="E775" i="1"/>
  <c r="Y774" i="1"/>
  <c r="X774" i="1"/>
  <c r="S774" i="1"/>
  <c r="G774" i="1"/>
  <c r="H774" i="1"/>
  <c r="E774" i="1"/>
  <c r="L773" i="1"/>
  <c r="G773" i="1"/>
  <c r="H773" i="1"/>
  <c r="E773" i="1"/>
  <c r="Z772" i="1"/>
  <c r="L772" i="1"/>
  <c r="G772" i="1"/>
  <c r="H772" i="1"/>
  <c r="E772" i="1"/>
  <c r="X771" i="1"/>
  <c r="L771" i="1"/>
  <c r="G771" i="1"/>
  <c r="H771" i="1"/>
  <c r="E771" i="1"/>
  <c r="AF770" i="1"/>
  <c r="U770" i="1"/>
  <c r="L770" i="1"/>
  <c r="G770" i="1"/>
  <c r="H770" i="1"/>
  <c r="E770" i="1"/>
  <c r="AH769" i="1"/>
  <c r="AG769" i="1"/>
  <c r="Y769" i="1"/>
  <c r="X769" i="1"/>
  <c r="L769" i="1"/>
  <c r="G769" i="1"/>
  <c r="H769" i="1"/>
  <c r="E769" i="1"/>
  <c r="L768" i="1"/>
  <c r="G768" i="1"/>
  <c r="H768" i="1"/>
  <c r="E768" i="1"/>
  <c r="AD767" i="1"/>
  <c r="Q767" i="1"/>
  <c r="G767" i="1"/>
  <c r="H767" i="1"/>
  <c r="E767" i="1"/>
  <c r="S766" i="1"/>
  <c r="L766" i="1"/>
  <c r="G766" i="1"/>
  <c r="H766" i="1"/>
  <c r="E766" i="1"/>
  <c r="X765" i="1"/>
  <c r="L765" i="1"/>
  <c r="G765" i="1"/>
  <c r="H765" i="1"/>
  <c r="E765" i="1"/>
  <c r="L764" i="1"/>
  <c r="G764" i="1"/>
  <c r="H764" i="1"/>
  <c r="E764" i="1"/>
  <c r="AH763" i="1"/>
  <c r="AG763" i="1"/>
  <c r="S763" i="1"/>
  <c r="L763" i="1"/>
  <c r="G763" i="1"/>
  <c r="H763" i="1"/>
  <c r="E763" i="1"/>
  <c r="AE762" i="1"/>
  <c r="X762" i="1"/>
  <c r="S762" i="1"/>
  <c r="L762" i="1"/>
  <c r="G762" i="1"/>
  <c r="H762" i="1"/>
  <c r="E762" i="1"/>
  <c r="L761" i="1"/>
  <c r="G761" i="1"/>
  <c r="H761" i="1"/>
  <c r="E761" i="1"/>
  <c r="V760" i="1"/>
  <c r="Q760" i="1"/>
  <c r="G760" i="1"/>
  <c r="H760" i="1"/>
  <c r="E760" i="1"/>
  <c r="W759" i="1"/>
  <c r="L759" i="1"/>
  <c r="G759" i="1"/>
  <c r="H759" i="1"/>
  <c r="E759" i="1"/>
  <c r="L758" i="1"/>
  <c r="G758" i="1"/>
  <c r="H758" i="1"/>
  <c r="E758" i="1"/>
  <c r="AH757" i="1"/>
  <c r="AG757" i="1"/>
  <c r="AE757" i="1"/>
  <c r="AC757" i="1"/>
  <c r="S757" i="1"/>
  <c r="L757" i="1"/>
  <c r="G757" i="1"/>
  <c r="H757" i="1"/>
  <c r="E757" i="1"/>
  <c r="T756" i="1"/>
  <c r="L756" i="1"/>
  <c r="G756" i="1"/>
  <c r="H756" i="1"/>
  <c r="E756" i="1"/>
  <c r="R755" i="1"/>
  <c r="L755" i="1"/>
  <c r="G755" i="1"/>
  <c r="H755" i="1"/>
  <c r="E755" i="1"/>
  <c r="AE754" i="1"/>
  <c r="L754" i="1"/>
  <c r="G754" i="1"/>
  <c r="H754" i="1"/>
  <c r="E754" i="1"/>
  <c r="U753" i="1"/>
  <c r="P753" i="1"/>
  <c r="G753" i="1"/>
  <c r="H753" i="1"/>
  <c r="E753" i="1"/>
  <c r="AH752" i="1"/>
  <c r="AG752" i="1"/>
  <c r="G752" i="1"/>
  <c r="H752" i="1"/>
  <c r="E752" i="1"/>
  <c r="AH751" i="1"/>
  <c r="AG751" i="1"/>
  <c r="S751" i="1"/>
  <c r="L751" i="1"/>
  <c r="G751" i="1"/>
  <c r="H751" i="1"/>
  <c r="E751" i="1"/>
  <c r="U750" i="1"/>
  <c r="P750" i="1"/>
  <c r="L750" i="1"/>
  <c r="G750" i="1"/>
  <c r="H750" i="1"/>
  <c r="E750" i="1"/>
  <c r="P749" i="1"/>
  <c r="L749" i="1"/>
  <c r="G749" i="1"/>
  <c r="H749" i="1"/>
  <c r="E749" i="1"/>
  <c r="AG748" i="1"/>
  <c r="U748" i="1"/>
  <c r="L748" i="1"/>
  <c r="G748" i="1"/>
  <c r="H748" i="1"/>
  <c r="E748" i="1"/>
  <c r="AA747" i="1"/>
  <c r="G747" i="1"/>
  <c r="H747" i="1"/>
  <c r="E747" i="1"/>
  <c r="Z746" i="1"/>
  <c r="G746" i="1"/>
  <c r="H746" i="1"/>
  <c r="E746" i="1"/>
  <c r="M745" i="1"/>
  <c r="G745" i="1"/>
  <c r="H745" i="1"/>
  <c r="E745" i="1"/>
  <c r="AF744" i="1"/>
  <c r="AA744" i="1"/>
  <c r="G744" i="1"/>
  <c r="H744" i="1"/>
  <c r="E744" i="1"/>
  <c r="AH743" i="1"/>
  <c r="AG743" i="1"/>
  <c r="Y743" i="1"/>
  <c r="X743" i="1"/>
  <c r="T743" i="1"/>
  <c r="S743" i="1"/>
  <c r="L743" i="1"/>
  <c r="G743" i="1"/>
  <c r="H743" i="1"/>
  <c r="E743" i="1"/>
  <c r="U742" i="1"/>
  <c r="L742" i="1"/>
  <c r="G742" i="1"/>
  <c r="H742" i="1"/>
  <c r="E742" i="1"/>
  <c r="V741" i="1"/>
  <c r="G741" i="1"/>
  <c r="H741" i="1"/>
  <c r="E741" i="1"/>
  <c r="AH740" i="1"/>
  <c r="AG740" i="1"/>
  <c r="U740" i="1"/>
  <c r="P740" i="1"/>
  <c r="L740" i="1"/>
  <c r="G740" i="1"/>
  <c r="H740" i="1"/>
  <c r="E740" i="1"/>
  <c r="AB739" i="1"/>
  <c r="G739" i="1"/>
  <c r="H739" i="1"/>
  <c r="E739" i="1"/>
  <c r="AI738" i="1"/>
  <c r="AH738" i="1"/>
  <c r="AG738" i="1"/>
  <c r="S738" i="1"/>
  <c r="L738" i="1"/>
  <c r="G738" i="1"/>
  <c r="H738" i="1"/>
  <c r="E738" i="1"/>
  <c r="X737" i="1"/>
  <c r="T737" i="1"/>
  <c r="S737" i="1"/>
  <c r="L737" i="1"/>
  <c r="G737" i="1"/>
  <c r="H737" i="1"/>
  <c r="E737" i="1"/>
  <c r="AE736" i="1"/>
  <c r="T736" i="1"/>
  <c r="S736" i="1"/>
  <c r="L736" i="1"/>
  <c r="G736" i="1"/>
  <c r="H736" i="1"/>
  <c r="E736" i="1"/>
  <c r="M735" i="1"/>
  <c r="G735" i="1"/>
  <c r="H735" i="1"/>
  <c r="E735" i="1"/>
  <c r="AH734" i="1"/>
  <c r="AG734" i="1"/>
  <c r="S734" i="1"/>
  <c r="G734" i="1"/>
  <c r="H734" i="1"/>
  <c r="E734" i="1"/>
  <c r="AF733" i="1"/>
  <c r="U733" i="1"/>
  <c r="L733" i="1"/>
  <c r="G733" i="1"/>
  <c r="H733" i="1"/>
  <c r="E733" i="1"/>
  <c r="X732" i="1"/>
  <c r="T732" i="1"/>
  <c r="S732" i="1"/>
  <c r="L732" i="1"/>
  <c r="G732" i="1"/>
  <c r="H732" i="1"/>
  <c r="E732" i="1"/>
  <c r="U731" i="1"/>
  <c r="L731" i="1"/>
  <c r="G731" i="1"/>
  <c r="H731" i="1"/>
  <c r="E731" i="1"/>
  <c r="X730" i="1"/>
  <c r="S730" i="1"/>
  <c r="L730" i="1"/>
  <c r="G730" i="1"/>
  <c r="H730" i="1"/>
  <c r="E730" i="1"/>
  <c r="AH729" i="1"/>
  <c r="AG729" i="1"/>
  <c r="S729" i="1"/>
  <c r="G729" i="1"/>
  <c r="H729" i="1"/>
  <c r="E729" i="1"/>
  <c r="L728" i="1"/>
  <c r="G728" i="1"/>
  <c r="H728" i="1"/>
  <c r="E728" i="1"/>
  <c r="AF727" i="1"/>
  <c r="Z727" i="1"/>
  <c r="U727" i="1"/>
  <c r="L727" i="1"/>
  <c r="G727" i="1"/>
  <c r="H727" i="1"/>
  <c r="E727" i="1"/>
  <c r="AH726" i="1"/>
  <c r="AG726" i="1"/>
  <c r="Y726" i="1"/>
  <c r="X726" i="1"/>
  <c r="T726" i="1"/>
  <c r="S726" i="1"/>
  <c r="L726" i="1"/>
  <c r="G726" i="1"/>
  <c r="H726" i="1"/>
  <c r="E726" i="1"/>
  <c r="T725" i="1"/>
  <c r="L725" i="1"/>
  <c r="G725" i="1"/>
  <c r="H725" i="1"/>
  <c r="E725" i="1"/>
  <c r="V724" i="1"/>
  <c r="U724" i="1"/>
  <c r="P724" i="1"/>
  <c r="N724" i="1"/>
  <c r="G724" i="1"/>
  <c r="H724" i="1"/>
  <c r="E724" i="1"/>
  <c r="L723" i="1"/>
  <c r="G723" i="1"/>
  <c r="H723" i="1"/>
  <c r="E723" i="1"/>
  <c r="L722" i="1"/>
  <c r="G722" i="1"/>
  <c r="H722" i="1"/>
  <c r="E722" i="1"/>
  <c r="AH721" i="1"/>
  <c r="AG721" i="1"/>
  <c r="U721" i="1"/>
  <c r="L721" i="1"/>
  <c r="G721" i="1"/>
  <c r="H721" i="1"/>
  <c r="E721" i="1"/>
  <c r="AH720" i="1"/>
  <c r="AG720" i="1"/>
  <c r="U720" i="1"/>
  <c r="L720" i="1"/>
  <c r="G720" i="1"/>
  <c r="H720" i="1"/>
  <c r="E720" i="1"/>
  <c r="AH719" i="1"/>
  <c r="L719" i="1"/>
  <c r="G719" i="1"/>
  <c r="H719" i="1"/>
  <c r="E719" i="1"/>
  <c r="Z718" i="1"/>
  <c r="L718" i="1"/>
  <c r="G718" i="1"/>
  <c r="H718" i="1"/>
  <c r="E718" i="1"/>
  <c r="AB717" i="1"/>
  <c r="Z717" i="1"/>
  <c r="W717" i="1"/>
  <c r="L717" i="1"/>
  <c r="G717" i="1"/>
  <c r="H717" i="1"/>
  <c r="E717" i="1"/>
  <c r="T716" i="1"/>
  <c r="S716" i="1"/>
  <c r="G716" i="1"/>
  <c r="H716" i="1"/>
  <c r="E716" i="1"/>
  <c r="AH715" i="1"/>
  <c r="AG715" i="1"/>
  <c r="L715" i="1"/>
  <c r="G715" i="1"/>
  <c r="H715" i="1"/>
  <c r="E715" i="1"/>
  <c r="AG714" i="1"/>
  <c r="X714" i="1"/>
  <c r="T714" i="1"/>
  <c r="S714" i="1"/>
  <c r="L714" i="1"/>
  <c r="G714" i="1"/>
  <c r="H714" i="1"/>
  <c r="E714" i="1"/>
  <c r="M713" i="1"/>
  <c r="G713" i="1"/>
  <c r="H713" i="1"/>
  <c r="E713" i="1"/>
  <c r="AH712" i="1"/>
  <c r="AG712" i="1"/>
  <c r="U712" i="1"/>
  <c r="L712" i="1"/>
  <c r="G712" i="1"/>
  <c r="H712" i="1"/>
  <c r="E712" i="1"/>
  <c r="V711" i="1"/>
  <c r="L711" i="1"/>
  <c r="G711" i="1"/>
  <c r="H711" i="1"/>
  <c r="E711" i="1"/>
  <c r="L710" i="1"/>
  <c r="G710" i="1"/>
  <c r="H710" i="1"/>
  <c r="E710" i="1"/>
  <c r="L709" i="1"/>
  <c r="G709" i="1"/>
  <c r="H709" i="1"/>
  <c r="E709" i="1"/>
  <c r="AH708" i="1"/>
  <c r="AG708" i="1"/>
  <c r="T708" i="1"/>
  <c r="S708" i="1"/>
  <c r="L708" i="1"/>
  <c r="G708" i="1"/>
  <c r="H708" i="1"/>
  <c r="E708" i="1"/>
  <c r="Y707" i="1"/>
  <c r="X707" i="1"/>
  <c r="T707" i="1"/>
  <c r="S707" i="1"/>
  <c r="L707" i="1"/>
  <c r="G707" i="1"/>
  <c r="H707" i="1"/>
  <c r="E707" i="1"/>
  <c r="L706" i="1"/>
  <c r="G706" i="1"/>
  <c r="H706" i="1"/>
  <c r="E706" i="1"/>
  <c r="Y705" i="1"/>
  <c r="X705" i="1"/>
  <c r="T705" i="1"/>
  <c r="S705" i="1"/>
  <c r="G705" i="1"/>
  <c r="H705" i="1"/>
  <c r="E705" i="1"/>
  <c r="M704" i="1"/>
  <c r="G704" i="1"/>
  <c r="H704" i="1"/>
  <c r="E704" i="1"/>
  <c r="AF703" i="1"/>
  <c r="AC703" i="1"/>
  <c r="AA703" i="1"/>
  <c r="U703" i="1"/>
  <c r="G703" i="1"/>
  <c r="H703" i="1"/>
  <c r="E703" i="1"/>
  <c r="T702" i="1"/>
  <c r="S702" i="1"/>
  <c r="L702" i="1"/>
  <c r="G702" i="1"/>
  <c r="H702" i="1"/>
  <c r="E702" i="1"/>
  <c r="L701" i="1"/>
  <c r="G701" i="1"/>
  <c r="H701" i="1"/>
  <c r="E701" i="1"/>
  <c r="Y700" i="1"/>
  <c r="X700" i="1"/>
  <c r="S700" i="1"/>
  <c r="L700" i="1"/>
  <c r="G700" i="1"/>
  <c r="H700" i="1"/>
  <c r="E700" i="1"/>
  <c r="L699" i="1"/>
  <c r="G699" i="1"/>
  <c r="H699" i="1"/>
  <c r="E699" i="1"/>
  <c r="AE698" i="1"/>
  <c r="Y698" i="1"/>
  <c r="X698" i="1"/>
  <c r="S698" i="1"/>
  <c r="L698" i="1"/>
  <c r="G698" i="1"/>
  <c r="H698" i="1"/>
  <c r="E698" i="1"/>
  <c r="L697" i="1"/>
  <c r="G697" i="1"/>
  <c r="H697" i="1"/>
  <c r="E697" i="1"/>
  <c r="Y696" i="1"/>
  <c r="X696" i="1"/>
  <c r="L696" i="1"/>
  <c r="G696" i="1"/>
  <c r="H696" i="1"/>
  <c r="E696" i="1"/>
  <c r="AH695" i="1"/>
  <c r="AG695" i="1"/>
  <c r="L695" i="1"/>
  <c r="G695" i="1"/>
  <c r="H695" i="1"/>
  <c r="E695" i="1"/>
  <c r="L694" i="1"/>
  <c r="G694" i="1"/>
  <c r="H694" i="1"/>
  <c r="E694" i="1"/>
  <c r="AF693" i="1"/>
  <c r="AC693" i="1"/>
  <c r="AA693" i="1"/>
  <c r="U693" i="1"/>
  <c r="G693" i="1"/>
  <c r="H693" i="1"/>
  <c r="E693" i="1"/>
  <c r="X692" i="1"/>
  <c r="L692" i="1"/>
  <c r="G692" i="1"/>
  <c r="H692" i="1"/>
  <c r="E692" i="1"/>
  <c r="L691" i="1"/>
  <c r="G691" i="1"/>
  <c r="H691" i="1"/>
  <c r="E691" i="1"/>
  <c r="Z690" i="1"/>
  <c r="G690" i="1"/>
  <c r="H690" i="1"/>
  <c r="E690" i="1"/>
  <c r="L689" i="1"/>
  <c r="G689" i="1"/>
  <c r="H689" i="1"/>
  <c r="E689" i="1"/>
  <c r="AE688" i="1"/>
  <c r="Y688" i="1"/>
  <c r="X688" i="1"/>
  <c r="T688" i="1"/>
  <c r="S688" i="1"/>
  <c r="L688" i="1"/>
  <c r="G688" i="1"/>
  <c r="H688" i="1"/>
  <c r="E688" i="1"/>
  <c r="L687" i="1"/>
  <c r="G687" i="1"/>
  <c r="H687" i="1"/>
  <c r="E687" i="1"/>
  <c r="P686" i="1"/>
  <c r="L686" i="1"/>
  <c r="G686" i="1"/>
  <c r="H686" i="1"/>
  <c r="E686" i="1"/>
  <c r="AH685" i="1"/>
  <c r="AG685" i="1"/>
  <c r="AE685" i="1"/>
  <c r="X685" i="1"/>
  <c r="G685" i="1"/>
  <c r="H685" i="1"/>
  <c r="E685" i="1"/>
  <c r="L684" i="1"/>
  <c r="G684" i="1"/>
  <c r="H684" i="1"/>
  <c r="E684" i="1"/>
  <c r="R683" i="1"/>
  <c r="L683" i="1"/>
  <c r="G683" i="1"/>
  <c r="H683" i="1"/>
  <c r="E683" i="1"/>
  <c r="Z682" i="1"/>
  <c r="L682" i="1"/>
  <c r="G682" i="1"/>
  <c r="H682" i="1"/>
  <c r="E682" i="1"/>
  <c r="L681" i="1"/>
  <c r="G681" i="1"/>
  <c r="H681" i="1"/>
  <c r="E681" i="1"/>
  <c r="AH680" i="1"/>
  <c r="AG680" i="1"/>
  <c r="U680" i="1"/>
  <c r="L680" i="1"/>
  <c r="G680" i="1"/>
  <c r="H680" i="1"/>
  <c r="E680" i="1"/>
  <c r="AH679" i="1"/>
  <c r="AG679" i="1"/>
  <c r="U679" i="1"/>
  <c r="L679" i="1"/>
  <c r="G679" i="1"/>
  <c r="H679" i="1"/>
  <c r="E679" i="1"/>
  <c r="L678" i="1"/>
  <c r="G678" i="1"/>
  <c r="H678" i="1"/>
  <c r="E678" i="1"/>
  <c r="L677" i="1"/>
  <c r="G677" i="1"/>
  <c r="H677" i="1"/>
  <c r="E677" i="1"/>
  <c r="AC676" i="1"/>
  <c r="AA676" i="1"/>
  <c r="L676" i="1"/>
  <c r="G676" i="1"/>
  <c r="H676" i="1"/>
  <c r="E676" i="1"/>
  <c r="L675" i="1"/>
  <c r="G675" i="1"/>
  <c r="H675" i="1"/>
  <c r="E675" i="1"/>
  <c r="Z674" i="1"/>
  <c r="W674" i="1"/>
  <c r="L674" i="1"/>
  <c r="G674" i="1"/>
  <c r="H674" i="1"/>
  <c r="E674" i="1"/>
  <c r="U673" i="1"/>
  <c r="N673" i="1"/>
  <c r="L673" i="1"/>
  <c r="G673" i="1"/>
  <c r="H673" i="1"/>
  <c r="E673" i="1"/>
  <c r="Z672" i="1"/>
  <c r="W672" i="1"/>
  <c r="L672" i="1"/>
  <c r="G672" i="1"/>
  <c r="H672" i="1"/>
  <c r="E672" i="1"/>
  <c r="L671" i="1"/>
  <c r="G671" i="1"/>
  <c r="H671" i="1"/>
  <c r="E671" i="1"/>
  <c r="L670" i="1"/>
  <c r="G670" i="1"/>
  <c r="H670" i="1"/>
  <c r="E670" i="1"/>
  <c r="R669" i="1"/>
  <c r="L669" i="1"/>
  <c r="G669" i="1"/>
  <c r="H669" i="1"/>
  <c r="E669" i="1"/>
  <c r="AF668" i="1"/>
  <c r="Z668" i="1"/>
  <c r="U668" i="1"/>
  <c r="L668" i="1"/>
  <c r="G668" i="1"/>
  <c r="H668" i="1"/>
  <c r="E668" i="1"/>
  <c r="L667" i="1"/>
  <c r="G667" i="1"/>
  <c r="H667" i="1"/>
  <c r="E667" i="1"/>
  <c r="M666" i="1"/>
  <c r="L666" i="1"/>
  <c r="G666" i="1"/>
  <c r="H666" i="1"/>
  <c r="E666" i="1"/>
  <c r="X665" i="1"/>
  <c r="L665" i="1"/>
  <c r="G665" i="1"/>
  <c r="H665" i="1"/>
  <c r="E665" i="1"/>
  <c r="O664" i="1"/>
  <c r="M664" i="1"/>
  <c r="L664" i="1"/>
  <c r="G664" i="1"/>
  <c r="H664" i="1"/>
  <c r="E664" i="1"/>
  <c r="AH663" i="1"/>
  <c r="AG663" i="1"/>
  <c r="Y663" i="1"/>
  <c r="X663" i="1"/>
  <c r="T663" i="1"/>
  <c r="S663" i="1"/>
  <c r="L663" i="1"/>
  <c r="G663" i="1"/>
  <c r="H663" i="1"/>
  <c r="E663" i="1"/>
  <c r="AH662" i="1"/>
  <c r="AG662" i="1"/>
  <c r="S662" i="1"/>
  <c r="G662" i="1"/>
  <c r="H662" i="1"/>
  <c r="E662" i="1"/>
  <c r="AC661" i="1"/>
  <c r="M661" i="1"/>
  <c r="L661" i="1"/>
  <c r="G661" i="1"/>
  <c r="H661" i="1"/>
  <c r="E661" i="1"/>
  <c r="M660" i="1"/>
  <c r="G660" i="1"/>
  <c r="H660" i="1"/>
  <c r="E660" i="1"/>
  <c r="T659" i="1"/>
  <c r="S659" i="1"/>
  <c r="L659" i="1"/>
  <c r="G659" i="1"/>
  <c r="H659" i="1"/>
  <c r="E659" i="1"/>
  <c r="AH658" i="1"/>
  <c r="AG658" i="1"/>
  <c r="S658" i="1"/>
  <c r="G658" i="1"/>
  <c r="H658" i="1"/>
  <c r="E658" i="1"/>
  <c r="L657" i="1"/>
  <c r="G657" i="1"/>
  <c r="H657" i="1"/>
  <c r="E657" i="1"/>
  <c r="AH656" i="1"/>
  <c r="AF656" i="1"/>
  <c r="U656" i="1"/>
  <c r="L656" i="1"/>
  <c r="G656" i="1"/>
  <c r="H656" i="1"/>
  <c r="E656" i="1"/>
  <c r="AH655" i="1"/>
  <c r="X655" i="1"/>
  <c r="S655" i="1"/>
  <c r="L655" i="1"/>
  <c r="G655" i="1"/>
  <c r="H655" i="1"/>
  <c r="E655" i="1"/>
  <c r="R654" i="1"/>
  <c r="L654" i="1"/>
  <c r="G654" i="1"/>
  <c r="H654" i="1"/>
  <c r="E654" i="1"/>
  <c r="AH653" i="1"/>
  <c r="AG653" i="1"/>
  <c r="T653" i="1"/>
  <c r="S653" i="1"/>
  <c r="L653" i="1"/>
  <c r="G653" i="1"/>
  <c r="H653" i="1"/>
  <c r="E653" i="1"/>
  <c r="L652" i="1"/>
  <c r="G652" i="1"/>
  <c r="H652" i="1"/>
  <c r="E652" i="1"/>
  <c r="Y651" i="1"/>
  <c r="X651" i="1"/>
  <c r="L651" i="1"/>
  <c r="G651" i="1"/>
  <c r="H651" i="1"/>
  <c r="E651" i="1"/>
  <c r="Z650" i="1"/>
  <c r="L650" i="1"/>
  <c r="G650" i="1"/>
  <c r="H650" i="1"/>
  <c r="E650" i="1"/>
  <c r="M649" i="1"/>
  <c r="L649" i="1"/>
  <c r="G649" i="1"/>
  <c r="H649" i="1"/>
  <c r="E649" i="1"/>
  <c r="L648" i="1"/>
  <c r="G648" i="1"/>
  <c r="H648" i="1"/>
  <c r="E648" i="1"/>
  <c r="L647" i="1"/>
  <c r="G647" i="1"/>
  <c r="H647" i="1"/>
  <c r="E647" i="1"/>
  <c r="AE646" i="1"/>
  <c r="X646" i="1"/>
  <c r="L646" i="1"/>
  <c r="G646" i="1"/>
  <c r="H646" i="1"/>
  <c r="E646" i="1"/>
  <c r="U645" i="1"/>
  <c r="P645" i="1"/>
  <c r="L645" i="1"/>
  <c r="G645" i="1"/>
  <c r="H645" i="1"/>
  <c r="E645" i="1"/>
  <c r="L644" i="1"/>
  <c r="G644" i="1"/>
  <c r="H644" i="1"/>
  <c r="E644" i="1"/>
  <c r="L643" i="1"/>
  <c r="G643" i="1"/>
  <c r="H643" i="1"/>
  <c r="E643" i="1"/>
  <c r="AF642" i="1"/>
  <c r="L642" i="1"/>
  <c r="G642" i="1"/>
  <c r="H642" i="1"/>
  <c r="E642" i="1"/>
  <c r="AC641" i="1"/>
  <c r="AA641" i="1"/>
  <c r="G641" i="1"/>
  <c r="H641" i="1"/>
  <c r="E641" i="1"/>
  <c r="L640" i="1"/>
  <c r="G640" i="1"/>
  <c r="H640" i="1"/>
  <c r="E640" i="1"/>
  <c r="AD639" i="1"/>
  <c r="G639" i="1"/>
  <c r="H639" i="1"/>
  <c r="E639" i="1"/>
  <c r="AB638" i="1"/>
  <c r="L638" i="1"/>
  <c r="G638" i="1"/>
  <c r="H638" i="1"/>
  <c r="E638" i="1"/>
  <c r="AH637" i="1"/>
  <c r="AG637" i="1"/>
  <c r="X637" i="1"/>
  <c r="S637" i="1"/>
  <c r="L637" i="1"/>
  <c r="G637" i="1"/>
  <c r="H637" i="1"/>
  <c r="E637" i="1"/>
  <c r="Z636" i="1"/>
  <c r="G636" i="1"/>
  <c r="H636" i="1"/>
  <c r="E636" i="1"/>
  <c r="L635" i="1"/>
  <c r="G635" i="1"/>
  <c r="H635" i="1"/>
  <c r="E635" i="1"/>
  <c r="T634" i="1"/>
  <c r="S634" i="1"/>
  <c r="L634" i="1"/>
  <c r="G634" i="1"/>
  <c r="H634" i="1"/>
  <c r="E634" i="1"/>
  <c r="L633" i="1"/>
  <c r="G633" i="1"/>
  <c r="H633" i="1"/>
  <c r="E633" i="1"/>
  <c r="AH632" i="1"/>
  <c r="AG632" i="1"/>
  <c r="AE632" i="1"/>
  <c r="AC632" i="1"/>
  <c r="AA632" i="1"/>
  <c r="Y632" i="1"/>
  <c r="X632" i="1"/>
  <c r="L632" i="1"/>
  <c r="G632" i="1"/>
  <c r="H632" i="1"/>
  <c r="E632" i="1"/>
  <c r="AI631" i="1"/>
  <c r="AH631" i="1"/>
  <c r="X631" i="1"/>
  <c r="T631" i="1"/>
  <c r="S631" i="1"/>
  <c r="L631" i="1"/>
  <c r="G631" i="1"/>
  <c r="H631" i="1"/>
  <c r="E631" i="1"/>
  <c r="R630" i="1"/>
  <c r="L630" i="1"/>
  <c r="G630" i="1"/>
  <c r="H630" i="1"/>
  <c r="E630" i="1"/>
  <c r="AI629" i="1"/>
  <c r="AH629" i="1"/>
  <c r="AG629" i="1"/>
  <c r="Y629" i="1"/>
  <c r="X629" i="1"/>
  <c r="T629" i="1"/>
  <c r="S629" i="1"/>
  <c r="L629" i="1"/>
  <c r="G629" i="1"/>
  <c r="H629" i="1"/>
  <c r="E629" i="1"/>
  <c r="Y628" i="1"/>
  <c r="X628" i="1"/>
  <c r="T628" i="1"/>
  <c r="S628" i="1"/>
  <c r="L628" i="1"/>
  <c r="G628" i="1"/>
  <c r="H628" i="1"/>
  <c r="E628" i="1"/>
  <c r="L627" i="1"/>
  <c r="G627" i="1"/>
  <c r="H627" i="1"/>
  <c r="E627" i="1"/>
  <c r="AA626" i="1"/>
  <c r="V626" i="1"/>
  <c r="L626" i="1"/>
  <c r="G626" i="1"/>
  <c r="H626" i="1"/>
  <c r="E626" i="1"/>
  <c r="AE625" i="1"/>
  <c r="V625" i="1"/>
  <c r="Q625" i="1"/>
  <c r="L625" i="1"/>
  <c r="G625" i="1"/>
  <c r="H625" i="1"/>
  <c r="E625" i="1"/>
  <c r="V624" i="1"/>
  <c r="G624" i="1"/>
  <c r="H624" i="1"/>
  <c r="E624" i="1"/>
  <c r="AH623" i="1"/>
  <c r="AF623" i="1"/>
  <c r="U623" i="1"/>
  <c r="P623" i="1"/>
  <c r="L623" i="1"/>
  <c r="G623" i="1"/>
  <c r="H623" i="1"/>
  <c r="E623" i="1"/>
  <c r="AH622" i="1"/>
  <c r="AG622" i="1"/>
  <c r="U622" i="1"/>
  <c r="L622" i="1"/>
  <c r="G622" i="1"/>
  <c r="H622" i="1"/>
  <c r="E622" i="1"/>
  <c r="Y621" i="1"/>
  <c r="X621" i="1"/>
  <c r="T621" i="1"/>
  <c r="S621" i="1"/>
  <c r="L621" i="1"/>
  <c r="G621" i="1"/>
  <c r="H621" i="1"/>
  <c r="E621" i="1"/>
  <c r="AE620" i="1"/>
  <c r="Y620" i="1"/>
  <c r="X620" i="1"/>
  <c r="L620" i="1"/>
  <c r="G620" i="1"/>
  <c r="H620" i="1"/>
  <c r="E620" i="1"/>
  <c r="L619" i="1"/>
  <c r="G619" i="1"/>
  <c r="H619" i="1"/>
  <c r="E619" i="1"/>
  <c r="R618" i="1"/>
  <c r="G618" i="1"/>
  <c r="H618" i="1"/>
  <c r="E618" i="1"/>
  <c r="R617" i="1"/>
  <c r="L617" i="1"/>
  <c r="G617" i="1"/>
  <c r="H617" i="1"/>
  <c r="E617" i="1"/>
  <c r="AI616" i="1"/>
  <c r="AH616" i="1"/>
  <c r="U616" i="1"/>
  <c r="L616" i="1"/>
  <c r="G616" i="1"/>
  <c r="H616" i="1"/>
  <c r="E616" i="1"/>
  <c r="AI615" i="1"/>
  <c r="AH615" i="1"/>
  <c r="AG615" i="1"/>
  <c r="Y615" i="1"/>
  <c r="X615" i="1"/>
  <c r="S615" i="1"/>
  <c r="L615" i="1"/>
  <c r="G615" i="1"/>
  <c r="H615" i="1"/>
  <c r="E615" i="1"/>
  <c r="AG614" i="1"/>
  <c r="T614" i="1"/>
  <c r="L614" i="1"/>
  <c r="G614" i="1"/>
  <c r="H614" i="1"/>
  <c r="E614" i="1"/>
  <c r="L613" i="1"/>
  <c r="G613" i="1"/>
  <c r="H613" i="1"/>
  <c r="E613" i="1"/>
  <c r="Z612" i="1"/>
  <c r="G612" i="1"/>
  <c r="H612" i="1"/>
  <c r="E612" i="1"/>
  <c r="L611" i="1"/>
  <c r="G611" i="1"/>
  <c r="H611" i="1"/>
  <c r="E611" i="1"/>
  <c r="Y610" i="1"/>
  <c r="T610" i="1"/>
  <c r="L610" i="1"/>
  <c r="G610" i="1"/>
  <c r="H610" i="1"/>
  <c r="E610" i="1"/>
  <c r="W609" i="1"/>
  <c r="L609" i="1"/>
  <c r="G609" i="1"/>
  <c r="H609" i="1"/>
  <c r="E609" i="1"/>
  <c r="M608" i="1"/>
  <c r="L608" i="1"/>
  <c r="G608" i="1"/>
  <c r="H608" i="1"/>
  <c r="E608" i="1"/>
  <c r="L607" i="1"/>
  <c r="G607" i="1"/>
  <c r="H607" i="1"/>
  <c r="E607" i="1"/>
  <c r="AC606" i="1"/>
  <c r="V606" i="1"/>
  <c r="L606" i="1"/>
  <c r="G606" i="1"/>
  <c r="H606" i="1"/>
  <c r="E606" i="1"/>
  <c r="AH605" i="1"/>
  <c r="AG605" i="1"/>
  <c r="L605" i="1"/>
  <c r="G605" i="1"/>
  <c r="H605" i="1"/>
  <c r="E605" i="1"/>
  <c r="W604" i="1"/>
  <c r="R604" i="1"/>
  <c r="L604" i="1"/>
  <c r="G604" i="1"/>
  <c r="H604" i="1"/>
  <c r="E604" i="1"/>
  <c r="AI603" i="1"/>
  <c r="AH603" i="1"/>
  <c r="AG603" i="1"/>
  <c r="P603" i="1"/>
  <c r="L603" i="1"/>
  <c r="G603" i="1"/>
  <c r="H603" i="1"/>
  <c r="E603" i="1"/>
  <c r="AA602" i="1"/>
  <c r="L602" i="1"/>
  <c r="G602" i="1"/>
  <c r="H602" i="1"/>
  <c r="E602" i="1"/>
  <c r="L601" i="1"/>
  <c r="G601" i="1"/>
  <c r="H601" i="1"/>
  <c r="E601" i="1"/>
  <c r="AA600" i="1"/>
  <c r="G600" i="1"/>
  <c r="H600" i="1"/>
  <c r="E600" i="1"/>
  <c r="L599" i="1"/>
  <c r="G599" i="1"/>
  <c r="H599" i="1"/>
  <c r="E599" i="1"/>
  <c r="AF598" i="1"/>
  <c r="U598" i="1"/>
  <c r="P598" i="1"/>
  <c r="L598" i="1"/>
  <c r="G598" i="1"/>
  <c r="H598" i="1"/>
  <c r="E598" i="1"/>
  <c r="M597" i="1"/>
  <c r="L597" i="1"/>
  <c r="G597" i="1"/>
  <c r="H597" i="1"/>
  <c r="E597" i="1"/>
  <c r="AA596" i="1"/>
  <c r="L596" i="1"/>
  <c r="G596" i="1"/>
  <c r="H596" i="1"/>
  <c r="E596" i="1"/>
  <c r="L595" i="1"/>
  <c r="G595" i="1"/>
  <c r="H595" i="1"/>
  <c r="E595" i="1"/>
  <c r="L594" i="1"/>
  <c r="G594" i="1"/>
  <c r="H594" i="1"/>
  <c r="E594" i="1"/>
  <c r="S593" i="1"/>
  <c r="L593" i="1"/>
  <c r="G593" i="1"/>
  <c r="H593" i="1"/>
  <c r="E593" i="1"/>
  <c r="V592" i="1"/>
  <c r="G592" i="1"/>
  <c r="H592" i="1"/>
  <c r="E592" i="1"/>
  <c r="Y591" i="1"/>
  <c r="X591" i="1"/>
  <c r="T591" i="1"/>
  <c r="S591" i="1"/>
  <c r="L591" i="1"/>
  <c r="G591" i="1"/>
  <c r="H591" i="1"/>
  <c r="E591" i="1"/>
  <c r="L590" i="1"/>
  <c r="G590" i="1"/>
  <c r="H590" i="1"/>
  <c r="E590" i="1"/>
  <c r="Y589" i="1"/>
  <c r="X589" i="1"/>
  <c r="T589" i="1"/>
  <c r="S589" i="1"/>
  <c r="L589" i="1"/>
  <c r="G589" i="1"/>
  <c r="H589" i="1"/>
  <c r="E589" i="1"/>
  <c r="L588" i="1"/>
  <c r="G588" i="1"/>
  <c r="H588" i="1"/>
  <c r="E588" i="1"/>
  <c r="Y587" i="1"/>
  <c r="T587" i="1"/>
  <c r="L587" i="1"/>
  <c r="G587" i="1"/>
  <c r="H587" i="1"/>
  <c r="E587" i="1"/>
  <c r="X586" i="1"/>
  <c r="T586" i="1"/>
  <c r="S586" i="1"/>
  <c r="L586" i="1"/>
  <c r="G586" i="1"/>
  <c r="H586" i="1"/>
  <c r="E586" i="1"/>
  <c r="AH585" i="1"/>
  <c r="AG585" i="1"/>
  <c r="X585" i="1"/>
  <c r="S585" i="1"/>
  <c r="L585" i="1"/>
  <c r="G585" i="1"/>
  <c r="H585" i="1"/>
  <c r="E585" i="1"/>
  <c r="L584" i="1"/>
  <c r="G584" i="1"/>
  <c r="H584" i="1"/>
  <c r="E584" i="1"/>
  <c r="W583" i="1"/>
  <c r="L583" i="1"/>
  <c r="G583" i="1"/>
  <c r="H583" i="1"/>
  <c r="E583" i="1"/>
  <c r="L582" i="1"/>
  <c r="G582" i="1"/>
  <c r="H582" i="1"/>
  <c r="E582" i="1"/>
  <c r="L581" i="1"/>
  <c r="G581" i="1"/>
  <c r="H581" i="1"/>
  <c r="E581" i="1"/>
  <c r="L580" i="1"/>
  <c r="G580" i="1"/>
  <c r="H580" i="1"/>
  <c r="E580" i="1"/>
  <c r="L579" i="1"/>
  <c r="G579" i="1"/>
  <c r="H579" i="1"/>
  <c r="E579" i="1"/>
  <c r="X578" i="1"/>
  <c r="L578" i="1"/>
  <c r="G578" i="1"/>
  <c r="H578" i="1"/>
  <c r="E578" i="1"/>
  <c r="L577" i="1"/>
  <c r="G577" i="1"/>
  <c r="H577" i="1"/>
  <c r="E577" i="1"/>
  <c r="AI576" i="1"/>
  <c r="AH576" i="1"/>
  <c r="X576" i="1"/>
  <c r="T576" i="1"/>
  <c r="S576" i="1"/>
  <c r="L576" i="1"/>
  <c r="G576" i="1"/>
  <c r="H576" i="1"/>
  <c r="E576" i="1"/>
  <c r="M575" i="1"/>
  <c r="L575" i="1"/>
  <c r="G575" i="1"/>
  <c r="H575" i="1"/>
  <c r="E575" i="1"/>
  <c r="AG574" i="1"/>
  <c r="AE574" i="1"/>
  <c r="L574" i="1"/>
  <c r="G574" i="1"/>
  <c r="H574" i="1"/>
  <c r="E574" i="1"/>
  <c r="L573" i="1"/>
  <c r="G573" i="1"/>
  <c r="H573" i="1"/>
  <c r="E573" i="1"/>
  <c r="AF572" i="1"/>
  <c r="M572" i="1"/>
  <c r="L572" i="1"/>
  <c r="G572" i="1"/>
  <c r="H572" i="1"/>
  <c r="E572" i="1"/>
  <c r="AE571" i="1"/>
  <c r="L571" i="1"/>
  <c r="G571" i="1"/>
  <c r="H571" i="1"/>
  <c r="E571" i="1"/>
  <c r="Z570" i="1"/>
  <c r="U570" i="1"/>
  <c r="N570" i="1"/>
  <c r="L570" i="1"/>
  <c r="G570" i="1"/>
  <c r="H570" i="1"/>
  <c r="E570" i="1"/>
  <c r="Z569" i="1"/>
  <c r="L569" i="1"/>
  <c r="G569" i="1"/>
  <c r="H569" i="1"/>
  <c r="E569" i="1"/>
  <c r="V568" i="1"/>
  <c r="G568" i="1"/>
  <c r="H568" i="1"/>
  <c r="E568" i="1"/>
  <c r="R567" i="1"/>
  <c r="L567" i="1"/>
  <c r="G567" i="1"/>
  <c r="H567" i="1"/>
  <c r="E567" i="1"/>
  <c r="L566" i="1"/>
  <c r="G566" i="1"/>
  <c r="H566" i="1"/>
  <c r="E566" i="1"/>
  <c r="L565" i="1"/>
  <c r="G565" i="1"/>
  <c r="H565" i="1"/>
  <c r="E565" i="1"/>
  <c r="AI564" i="1"/>
  <c r="AH564" i="1"/>
  <c r="Y564" i="1"/>
  <c r="X564" i="1"/>
  <c r="S564" i="1"/>
  <c r="L564" i="1"/>
  <c r="G564" i="1"/>
  <c r="H564" i="1"/>
  <c r="E564" i="1"/>
  <c r="Z563" i="1"/>
  <c r="L563" i="1"/>
  <c r="G563" i="1"/>
  <c r="H563" i="1"/>
  <c r="E563" i="1"/>
  <c r="L562" i="1"/>
  <c r="G562" i="1"/>
  <c r="H562" i="1"/>
  <c r="E562" i="1"/>
  <c r="Z561" i="1"/>
  <c r="W561" i="1"/>
  <c r="Q561" i="1"/>
  <c r="L561" i="1"/>
  <c r="G561" i="1"/>
  <c r="H561" i="1"/>
  <c r="E561" i="1"/>
  <c r="AI560" i="1"/>
  <c r="AH560" i="1"/>
  <c r="AG560" i="1"/>
  <c r="AE560" i="1"/>
  <c r="AC560" i="1"/>
  <c r="AA560" i="1"/>
  <c r="T560" i="1"/>
  <c r="S560" i="1"/>
  <c r="L560" i="1"/>
  <c r="G560" i="1"/>
  <c r="H560" i="1"/>
  <c r="E560" i="1"/>
  <c r="Z559" i="1"/>
  <c r="L559" i="1"/>
  <c r="G559" i="1"/>
  <c r="H559" i="1"/>
  <c r="E559" i="1"/>
  <c r="AE558" i="1"/>
  <c r="Z558" i="1"/>
  <c r="L558" i="1"/>
  <c r="G558" i="1"/>
  <c r="H558" i="1"/>
  <c r="E558" i="1"/>
  <c r="AH557" i="1"/>
  <c r="AG557" i="1"/>
  <c r="T557" i="1"/>
  <c r="S557" i="1"/>
  <c r="L557" i="1"/>
  <c r="G557" i="1"/>
  <c r="H557" i="1"/>
  <c r="E557" i="1"/>
  <c r="AE556" i="1"/>
  <c r="G556" i="1"/>
  <c r="H556" i="1"/>
  <c r="E556" i="1"/>
  <c r="AC555" i="1"/>
  <c r="T555" i="1"/>
  <c r="S555" i="1"/>
  <c r="L555" i="1"/>
  <c r="G555" i="1"/>
  <c r="H555" i="1"/>
  <c r="E555" i="1"/>
  <c r="AF554" i="1"/>
  <c r="P554" i="1"/>
  <c r="L554" i="1"/>
  <c r="G554" i="1"/>
  <c r="H554" i="1"/>
  <c r="E554" i="1"/>
  <c r="Y553" i="1"/>
  <c r="T553" i="1"/>
  <c r="L553" i="1"/>
  <c r="G553" i="1"/>
  <c r="H553" i="1"/>
  <c r="E553" i="1"/>
  <c r="L552" i="1"/>
  <c r="G552" i="1"/>
  <c r="H552" i="1"/>
  <c r="E552" i="1"/>
  <c r="P551" i="1"/>
  <c r="N551" i="1"/>
  <c r="L551" i="1"/>
  <c r="G551" i="1"/>
  <c r="H551" i="1"/>
  <c r="E551" i="1"/>
  <c r="Z550" i="1"/>
  <c r="L550" i="1"/>
  <c r="G550" i="1"/>
  <c r="H550" i="1"/>
  <c r="E550" i="1"/>
  <c r="U549" i="1"/>
  <c r="N549" i="1"/>
  <c r="L549" i="1"/>
  <c r="G549" i="1"/>
  <c r="H549" i="1"/>
  <c r="E549" i="1"/>
  <c r="Z548" i="1"/>
  <c r="L548" i="1"/>
  <c r="G548" i="1"/>
  <c r="H548" i="1"/>
  <c r="E548" i="1"/>
  <c r="L547" i="1"/>
  <c r="G547" i="1"/>
  <c r="H547" i="1"/>
  <c r="E547" i="1"/>
  <c r="L546" i="1"/>
  <c r="G546" i="1"/>
  <c r="H546" i="1"/>
  <c r="E546" i="1"/>
  <c r="L545" i="1"/>
  <c r="G545" i="1"/>
  <c r="H545" i="1"/>
  <c r="E545" i="1"/>
  <c r="AD544" i="1"/>
  <c r="AB544" i="1"/>
  <c r="W544" i="1"/>
  <c r="R544" i="1"/>
  <c r="L544" i="1"/>
  <c r="G544" i="1"/>
  <c r="H544" i="1"/>
  <c r="E544" i="1"/>
  <c r="V543" i="1"/>
  <c r="L543" i="1"/>
  <c r="G543" i="1"/>
  <c r="H543" i="1"/>
  <c r="E543" i="1"/>
  <c r="T542" i="1"/>
  <c r="L542" i="1"/>
  <c r="G542" i="1"/>
  <c r="H542" i="1"/>
  <c r="E542" i="1"/>
  <c r="Z541" i="1"/>
  <c r="L541" i="1"/>
  <c r="G541" i="1"/>
  <c r="H541" i="1"/>
  <c r="E541" i="1"/>
  <c r="L540" i="1"/>
  <c r="G540" i="1"/>
  <c r="H540" i="1"/>
  <c r="E540" i="1"/>
  <c r="X539" i="1"/>
  <c r="T539" i="1"/>
  <c r="S539" i="1"/>
  <c r="L539" i="1"/>
  <c r="G539" i="1"/>
  <c r="H539" i="1"/>
  <c r="E539" i="1"/>
  <c r="AI538" i="1"/>
  <c r="AH538" i="1"/>
  <c r="AG538" i="1"/>
  <c r="AE538" i="1"/>
  <c r="AC538" i="1"/>
  <c r="AA538" i="1"/>
  <c r="S538" i="1"/>
  <c r="L538" i="1"/>
  <c r="G538" i="1"/>
  <c r="H538" i="1"/>
  <c r="E538" i="1"/>
  <c r="AC537" i="1"/>
  <c r="AA537" i="1"/>
  <c r="G537" i="1"/>
  <c r="H537" i="1"/>
  <c r="E537" i="1"/>
  <c r="V536" i="1"/>
  <c r="Q536" i="1"/>
  <c r="G536" i="1"/>
  <c r="H536" i="1"/>
  <c r="E536" i="1"/>
  <c r="AD535" i="1"/>
  <c r="AB535" i="1"/>
  <c r="L535" i="1"/>
  <c r="G535" i="1"/>
  <c r="H535" i="1"/>
  <c r="E535" i="1"/>
  <c r="L534" i="1"/>
  <c r="G534" i="1"/>
  <c r="H534" i="1"/>
  <c r="E534" i="1"/>
  <c r="L533" i="1"/>
  <c r="G533" i="1"/>
  <c r="H533" i="1"/>
  <c r="E533" i="1"/>
  <c r="T532" i="1"/>
  <c r="L532" i="1"/>
  <c r="G532" i="1"/>
  <c r="H532" i="1"/>
  <c r="E532" i="1"/>
  <c r="AC531" i="1"/>
  <c r="AA531" i="1"/>
  <c r="G531" i="1"/>
  <c r="H531" i="1"/>
  <c r="E531" i="1"/>
  <c r="AI530" i="1"/>
  <c r="AH530" i="1"/>
  <c r="AG530" i="1"/>
  <c r="U530" i="1"/>
  <c r="P530" i="1"/>
  <c r="L530" i="1"/>
  <c r="G530" i="1"/>
  <c r="H530" i="1"/>
  <c r="E530" i="1"/>
  <c r="L529" i="1"/>
  <c r="G529" i="1"/>
  <c r="H529" i="1"/>
  <c r="E529" i="1"/>
  <c r="O528" i="1"/>
  <c r="M528" i="1"/>
  <c r="L528" i="1"/>
  <c r="G528" i="1"/>
  <c r="H528" i="1"/>
  <c r="E528" i="1"/>
  <c r="R527" i="1"/>
  <c r="G527" i="1"/>
  <c r="H527" i="1"/>
  <c r="E527" i="1"/>
  <c r="P526" i="1"/>
  <c r="N526" i="1"/>
  <c r="L526" i="1"/>
  <c r="G526" i="1"/>
  <c r="H526" i="1"/>
  <c r="E526" i="1"/>
  <c r="AI525" i="1"/>
  <c r="AH525" i="1"/>
  <c r="AG525" i="1"/>
  <c r="S525" i="1"/>
  <c r="L525" i="1"/>
  <c r="G525" i="1"/>
  <c r="H525" i="1"/>
  <c r="E525" i="1"/>
  <c r="L524" i="1"/>
  <c r="G524" i="1"/>
  <c r="H524" i="1"/>
  <c r="E524" i="1"/>
  <c r="M523" i="1"/>
  <c r="L523" i="1"/>
  <c r="G523" i="1"/>
  <c r="H523" i="1"/>
  <c r="E523" i="1"/>
  <c r="X522" i="1"/>
  <c r="T522" i="1"/>
  <c r="S522" i="1"/>
  <c r="L522" i="1"/>
  <c r="G522" i="1"/>
  <c r="H522" i="1"/>
  <c r="E522" i="1"/>
  <c r="L521" i="1"/>
  <c r="G521" i="1"/>
  <c r="H521" i="1"/>
  <c r="E521" i="1"/>
  <c r="AE520" i="1"/>
  <c r="G520" i="1"/>
  <c r="H520" i="1"/>
  <c r="E520" i="1"/>
  <c r="L519" i="1"/>
  <c r="G519" i="1"/>
  <c r="H519" i="1"/>
  <c r="E519" i="1"/>
  <c r="L518" i="1"/>
  <c r="G518" i="1"/>
  <c r="H518" i="1"/>
  <c r="E518" i="1"/>
  <c r="L517" i="1"/>
  <c r="G517" i="1"/>
  <c r="H517" i="1"/>
  <c r="E517" i="1"/>
  <c r="AI516" i="1"/>
  <c r="AH516" i="1"/>
  <c r="AG516" i="1"/>
  <c r="AE516" i="1"/>
  <c r="Y516" i="1"/>
  <c r="X516" i="1"/>
  <c r="T516" i="1"/>
  <c r="S516" i="1"/>
  <c r="L516" i="1"/>
  <c r="G516" i="1"/>
  <c r="H516" i="1"/>
  <c r="E516" i="1"/>
  <c r="L515" i="1"/>
  <c r="G515" i="1"/>
  <c r="H515" i="1"/>
  <c r="E515" i="1"/>
  <c r="AI514" i="1"/>
  <c r="AH514" i="1"/>
  <c r="AG514" i="1"/>
  <c r="U514" i="1"/>
  <c r="L514" i="1"/>
  <c r="G514" i="1"/>
  <c r="H514" i="1"/>
  <c r="E514" i="1"/>
  <c r="AD513" i="1"/>
  <c r="AB513" i="1"/>
  <c r="L513" i="1"/>
  <c r="G513" i="1"/>
  <c r="H513" i="1"/>
  <c r="E513" i="1"/>
  <c r="AD512" i="1"/>
  <c r="AB512" i="1"/>
  <c r="W512" i="1"/>
  <c r="L512" i="1"/>
  <c r="G512" i="1"/>
  <c r="H512" i="1"/>
  <c r="E512" i="1"/>
  <c r="V511" i="1"/>
  <c r="M511" i="1"/>
  <c r="G511" i="1"/>
  <c r="H511" i="1"/>
  <c r="E511" i="1"/>
  <c r="L510" i="1"/>
  <c r="G510" i="1"/>
  <c r="H510" i="1"/>
  <c r="E510" i="1"/>
  <c r="L509" i="1"/>
  <c r="G509" i="1"/>
  <c r="H509" i="1"/>
  <c r="E509" i="1"/>
  <c r="L508" i="1"/>
  <c r="G508" i="1"/>
  <c r="H508" i="1"/>
  <c r="E508" i="1"/>
  <c r="Z507" i="1"/>
  <c r="L507" i="1"/>
  <c r="G507" i="1"/>
  <c r="H507" i="1"/>
  <c r="E507" i="1"/>
  <c r="Z506" i="1"/>
  <c r="G506" i="1"/>
  <c r="H506" i="1"/>
  <c r="E506" i="1"/>
  <c r="U505" i="1"/>
  <c r="L505" i="1"/>
  <c r="G505" i="1"/>
  <c r="H505" i="1"/>
  <c r="E505" i="1"/>
  <c r="W504" i="1"/>
  <c r="Q504" i="1"/>
  <c r="L504" i="1"/>
  <c r="G504" i="1"/>
  <c r="H504" i="1"/>
  <c r="E504" i="1"/>
  <c r="AF503" i="1"/>
  <c r="V503" i="1"/>
  <c r="U503" i="1"/>
  <c r="L503" i="1"/>
  <c r="G503" i="1"/>
  <c r="H503" i="1"/>
  <c r="E503" i="1"/>
  <c r="V502" i="1"/>
  <c r="L502" i="1"/>
  <c r="G502" i="1"/>
  <c r="H502" i="1"/>
  <c r="E502" i="1"/>
  <c r="L501" i="1"/>
  <c r="G501" i="1"/>
  <c r="H501" i="1"/>
  <c r="E501" i="1"/>
  <c r="O500" i="1"/>
  <c r="M500" i="1"/>
  <c r="L500" i="1"/>
  <c r="G500" i="1"/>
  <c r="H500" i="1"/>
  <c r="E500" i="1"/>
  <c r="L499" i="1"/>
  <c r="G499" i="1"/>
  <c r="H499" i="1"/>
  <c r="E499" i="1"/>
  <c r="L498" i="1"/>
  <c r="G498" i="1"/>
  <c r="H498" i="1"/>
  <c r="E498" i="1"/>
  <c r="Y497" i="1"/>
  <c r="X497" i="1"/>
  <c r="T497" i="1"/>
  <c r="S497" i="1"/>
  <c r="L497" i="1"/>
  <c r="G497" i="1"/>
  <c r="H497" i="1"/>
  <c r="E497" i="1"/>
  <c r="L496" i="1"/>
  <c r="G496" i="1"/>
  <c r="H496" i="1"/>
  <c r="E496" i="1"/>
  <c r="AF495" i="1"/>
  <c r="Z495" i="1"/>
  <c r="U495" i="1"/>
  <c r="P495" i="1"/>
  <c r="L495" i="1"/>
  <c r="G495" i="1"/>
  <c r="H495" i="1"/>
  <c r="E495" i="1"/>
  <c r="L494" i="1"/>
  <c r="G494" i="1"/>
  <c r="H494" i="1"/>
  <c r="E494" i="1"/>
  <c r="AE493" i="1"/>
  <c r="L493" i="1"/>
  <c r="G493" i="1"/>
  <c r="H493" i="1"/>
  <c r="E493" i="1"/>
  <c r="AI492" i="1"/>
  <c r="AH492" i="1"/>
  <c r="AG492" i="1"/>
  <c r="Y492" i="1"/>
  <c r="X492" i="1"/>
  <c r="L492" i="1"/>
  <c r="G492" i="1"/>
  <c r="H492" i="1"/>
  <c r="E492" i="1"/>
  <c r="AG491" i="1"/>
  <c r="AE491" i="1"/>
  <c r="Y491" i="1"/>
  <c r="X491" i="1"/>
  <c r="S491" i="1"/>
  <c r="G491" i="1"/>
  <c r="H491" i="1"/>
  <c r="E491" i="1"/>
  <c r="L490" i="1"/>
  <c r="G490" i="1"/>
  <c r="H490" i="1"/>
  <c r="E490" i="1"/>
  <c r="Z489" i="1"/>
  <c r="U489" i="1"/>
  <c r="L489" i="1"/>
  <c r="G489" i="1"/>
  <c r="H489" i="1"/>
  <c r="E489" i="1"/>
  <c r="W488" i="1"/>
  <c r="L488" i="1"/>
  <c r="G488" i="1"/>
  <c r="H488" i="1"/>
  <c r="E488" i="1"/>
  <c r="U487" i="1"/>
  <c r="G487" i="1"/>
  <c r="H487" i="1"/>
  <c r="E487" i="1"/>
  <c r="Z486" i="1"/>
  <c r="G486" i="1"/>
  <c r="H486" i="1"/>
  <c r="E486" i="1"/>
  <c r="AH485" i="1"/>
  <c r="AG485" i="1"/>
  <c r="X485" i="1"/>
  <c r="P485" i="1"/>
  <c r="L485" i="1"/>
  <c r="G485" i="1"/>
  <c r="H485" i="1"/>
  <c r="E485" i="1"/>
  <c r="L484" i="1"/>
  <c r="G484" i="1"/>
  <c r="H484" i="1"/>
  <c r="E484" i="1"/>
  <c r="T483" i="1"/>
  <c r="S483" i="1"/>
  <c r="L483" i="1"/>
  <c r="G483" i="1"/>
  <c r="H483" i="1"/>
  <c r="E483" i="1"/>
  <c r="W482" i="1"/>
  <c r="L482" i="1"/>
  <c r="G482" i="1"/>
  <c r="H482" i="1"/>
  <c r="E482" i="1"/>
  <c r="W481" i="1"/>
  <c r="R481" i="1"/>
  <c r="L481" i="1"/>
  <c r="G481" i="1"/>
  <c r="H481" i="1"/>
  <c r="E481" i="1"/>
  <c r="L480" i="1"/>
  <c r="G480" i="1"/>
  <c r="H480" i="1"/>
  <c r="E480" i="1"/>
  <c r="O479" i="1"/>
  <c r="M479" i="1"/>
  <c r="G479" i="1"/>
  <c r="H479" i="1"/>
  <c r="E479" i="1"/>
  <c r="L478" i="1"/>
  <c r="G478" i="1"/>
  <c r="H478" i="1"/>
  <c r="E478" i="1"/>
  <c r="AI477" i="1"/>
  <c r="AH477" i="1"/>
  <c r="AG477" i="1"/>
  <c r="P477" i="1"/>
  <c r="G477" i="1"/>
  <c r="H477" i="1"/>
  <c r="E477" i="1"/>
  <c r="L476" i="1"/>
  <c r="G476" i="1"/>
  <c r="H476" i="1"/>
  <c r="E476" i="1"/>
  <c r="L475" i="1"/>
  <c r="G475" i="1"/>
  <c r="H475" i="1"/>
  <c r="E475" i="1"/>
  <c r="AC474" i="1"/>
  <c r="L474" i="1"/>
  <c r="G474" i="1"/>
  <c r="H474" i="1"/>
  <c r="E474" i="1"/>
  <c r="Z473" i="1"/>
  <c r="G473" i="1"/>
  <c r="H473" i="1"/>
  <c r="E473" i="1"/>
  <c r="T472" i="1"/>
  <c r="S472" i="1"/>
  <c r="L472" i="1"/>
  <c r="G472" i="1"/>
  <c r="H472" i="1"/>
  <c r="E472" i="1"/>
  <c r="L471" i="1"/>
  <c r="G471" i="1"/>
  <c r="H471" i="1"/>
  <c r="E471" i="1"/>
  <c r="Q470" i="1"/>
  <c r="L470" i="1"/>
  <c r="G470" i="1"/>
  <c r="H470" i="1"/>
  <c r="E470" i="1"/>
  <c r="L469" i="1"/>
  <c r="G469" i="1"/>
  <c r="H469" i="1"/>
  <c r="E469" i="1"/>
  <c r="Y468" i="1"/>
  <c r="T468" i="1"/>
  <c r="L468" i="1"/>
  <c r="G468" i="1"/>
  <c r="H468" i="1"/>
  <c r="E468" i="1"/>
  <c r="AG467" i="1"/>
  <c r="X467" i="1"/>
  <c r="L467" i="1"/>
  <c r="G467" i="1"/>
  <c r="H467" i="1"/>
  <c r="E467" i="1"/>
  <c r="L466" i="1"/>
  <c r="G466" i="1"/>
  <c r="H466" i="1"/>
  <c r="E466" i="1"/>
  <c r="Q465" i="1"/>
  <c r="G465" i="1"/>
  <c r="H465" i="1"/>
  <c r="E465" i="1"/>
  <c r="Y464" i="1"/>
  <c r="T464" i="1"/>
  <c r="L464" i="1"/>
  <c r="G464" i="1"/>
  <c r="H464" i="1"/>
  <c r="E464" i="1"/>
  <c r="L463" i="1"/>
  <c r="G463" i="1"/>
  <c r="H463" i="1"/>
  <c r="E463" i="1"/>
  <c r="L462" i="1"/>
  <c r="G462" i="1"/>
  <c r="H462" i="1"/>
  <c r="E462" i="1"/>
  <c r="L461" i="1"/>
  <c r="G461" i="1"/>
  <c r="H461" i="1"/>
  <c r="E461" i="1"/>
  <c r="V460" i="1"/>
  <c r="L460" i="1"/>
  <c r="G460" i="1"/>
  <c r="H460" i="1"/>
  <c r="E460" i="1"/>
  <c r="L459" i="1"/>
  <c r="G459" i="1"/>
  <c r="H459" i="1"/>
  <c r="E459" i="1"/>
  <c r="Y458" i="1"/>
  <c r="X458" i="1"/>
  <c r="T458" i="1"/>
  <c r="S458" i="1"/>
  <c r="L458" i="1"/>
  <c r="G458" i="1"/>
  <c r="H458" i="1"/>
  <c r="E458" i="1"/>
  <c r="M457" i="1"/>
  <c r="L457" i="1"/>
  <c r="G457" i="1"/>
  <c r="H457" i="1"/>
  <c r="E457" i="1"/>
  <c r="M456" i="1"/>
  <c r="L456" i="1"/>
  <c r="G456" i="1"/>
  <c r="H456" i="1"/>
  <c r="E456" i="1"/>
  <c r="Q455" i="1"/>
  <c r="G455" i="1"/>
  <c r="H455" i="1"/>
  <c r="E455" i="1"/>
  <c r="AD454" i="1"/>
  <c r="AB454" i="1"/>
  <c r="R454" i="1"/>
  <c r="L454" i="1"/>
  <c r="G454" i="1"/>
  <c r="H454" i="1"/>
  <c r="E454" i="1"/>
  <c r="L453" i="1"/>
  <c r="G453" i="1"/>
  <c r="H453" i="1"/>
  <c r="E453" i="1"/>
  <c r="L452" i="1"/>
  <c r="G452" i="1"/>
  <c r="H452" i="1"/>
  <c r="E452" i="1"/>
  <c r="AC451" i="1"/>
  <c r="AA451" i="1"/>
  <c r="V451" i="1"/>
  <c r="L451" i="1"/>
  <c r="G451" i="1"/>
  <c r="H451" i="1"/>
  <c r="E451" i="1"/>
  <c r="AI450" i="1"/>
  <c r="AH450" i="1"/>
  <c r="AG450" i="1"/>
  <c r="AE450" i="1"/>
  <c r="T450" i="1"/>
  <c r="S450" i="1"/>
  <c r="G450" i="1"/>
  <c r="H450" i="1"/>
  <c r="E450" i="1"/>
  <c r="Z449" i="1"/>
  <c r="L449" i="1"/>
  <c r="G449" i="1"/>
  <c r="H449" i="1"/>
  <c r="E449" i="1"/>
  <c r="Y448" i="1"/>
  <c r="X448" i="1"/>
  <c r="T448" i="1"/>
  <c r="S448" i="1"/>
  <c r="L448" i="1"/>
  <c r="G448" i="1"/>
  <c r="H448" i="1"/>
  <c r="E448" i="1"/>
  <c r="AI447" i="1"/>
  <c r="AH447" i="1"/>
  <c r="AG447" i="1"/>
  <c r="U447" i="1"/>
  <c r="L447" i="1"/>
  <c r="G447" i="1"/>
  <c r="H447" i="1"/>
  <c r="E447" i="1"/>
  <c r="L446" i="1"/>
  <c r="G446" i="1"/>
  <c r="H446" i="1"/>
  <c r="E446" i="1"/>
  <c r="Z445" i="1"/>
  <c r="L445" i="1"/>
  <c r="G445" i="1"/>
  <c r="H445" i="1"/>
  <c r="E445" i="1"/>
  <c r="X444" i="1"/>
  <c r="T444" i="1"/>
  <c r="S444" i="1"/>
  <c r="L444" i="1"/>
  <c r="G444" i="1"/>
  <c r="H444" i="1"/>
  <c r="E444" i="1"/>
  <c r="AD443" i="1"/>
  <c r="AB443" i="1"/>
  <c r="G443" i="1"/>
  <c r="H443" i="1"/>
  <c r="E443" i="1"/>
  <c r="Z442" i="1"/>
  <c r="X442" i="1"/>
  <c r="T442" i="1"/>
  <c r="S442" i="1"/>
  <c r="L442" i="1"/>
  <c r="G442" i="1"/>
  <c r="H442" i="1"/>
  <c r="E442" i="1"/>
  <c r="AI441" i="1"/>
  <c r="AH441" i="1"/>
  <c r="AG441" i="1"/>
  <c r="T441" i="1"/>
  <c r="S441" i="1"/>
  <c r="L441" i="1"/>
  <c r="G441" i="1"/>
  <c r="H441" i="1"/>
  <c r="E441" i="1"/>
  <c r="AI440" i="1"/>
  <c r="AH440" i="1"/>
  <c r="X440" i="1"/>
  <c r="T440" i="1"/>
  <c r="S440" i="1"/>
  <c r="L440" i="1"/>
  <c r="G440" i="1"/>
  <c r="H440" i="1"/>
  <c r="E440" i="1"/>
  <c r="O439" i="1"/>
  <c r="M439" i="1"/>
  <c r="L439" i="1"/>
  <c r="G439" i="1"/>
  <c r="H439" i="1"/>
  <c r="E439" i="1"/>
  <c r="Z438" i="1"/>
  <c r="L438" i="1"/>
  <c r="G438" i="1"/>
  <c r="H438" i="1"/>
  <c r="E438" i="1"/>
  <c r="Q437" i="1"/>
  <c r="G437" i="1"/>
  <c r="H437" i="1"/>
  <c r="E437" i="1"/>
  <c r="L436" i="1"/>
  <c r="G436" i="1"/>
  <c r="H436" i="1"/>
  <c r="E436" i="1"/>
  <c r="AH435" i="1"/>
  <c r="AG435" i="1"/>
  <c r="AE435" i="1"/>
  <c r="AC435" i="1"/>
  <c r="S435" i="1"/>
  <c r="L435" i="1"/>
  <c r="G435" i="1"/>
  <c r="H435" i="1"/>
  <c r="E435" i="1"/>
  <c r="L434" i="1"/>
  <c r="G434" i="1"/>
  <c r="H434" i="1"/>
  <c r="E434" i="1"/>
  <c r="Z433" i="1"/>
  <c r="G433" i="1"/>
  <c r="H433" i="1"/>
  <c r="E433" i="1"/>
  <c r="L432" i="1"/>
  <c r="G432" i="1"/>
  <c r="H432" i="1"/>
  <c r="E432" i="1"/>
  <c r="AH431" i="1"/>
  <c r="Y431" i="1"/>
  <c r="X431" i="1"/>
  <c r="T431" i="1"/>
  <c r="S431" i="1"/>
  <c r="L431" i="1"/>
  <c r="G431" i="1"/>
  <c r="H431" i="1"/>
  <c r="E431" i="1"/>
  <c r="Y430" i="1"/>
  <c r="X430" i="1"/>
  <c r="T430" i="1"/>
  <c r="S430" i="1"/>
  <c r="L430" i="1"/>
  <c r="G430" i="1"/>
  <c r="H430" i="1"/>
  <c r="E430" i="1"/>
  <c r="AE429" i="1"/>
  <c r="G429" i="1"/>
  <c r="H429" i="1"/>
  <c r="E429" i="1"/>
  <c r="U428" i="1"/>
  <c r="N428" i="1"/>
  <c r="L428" i="1"/>
  <c r="G428" i="1"/>
  <c r="H428" i="1"/>
  <c r="E428" i="1"/>
  <c r="AC427" i="1"/>
  <c r="AA427" i="1"/>
  <c r="V427" i="1"/>
  <c r="Q427" i="1"/>
  <c r="L427" i="1"/>
  <c r="G427" i="1"/>
  <c r="H427" i="1"/>
  <c r="E427" i="1"/>
  <c r="N426" i="1"/>
  <c r="G426" i="1"/>
  <c r="H426" i="1"/>
  <c r="E426" i="1"/>
  <c r="Y425" i="1"/>
  <c r="X425" i="1"/>
  <c r="T425" i="1"/>
  <c r="S425" i="1"/>
  <c r="L425" i="1"/>
  <c r="G425" i="1"/>
  <c r="H425" i="1"/>
  <c r="E425" i="1"/>
  <c r="AD424" i="1"/>
  <c r="W424" i="1"/>
  <c r="L424" i="1"/>
  <c r="G424" i="1"/>
  <c r="H424" i="1"/>
  <c r="E424" i="1"/>
  <c r="L423" i="1"/>
  <c r="G423" i="1"/>
  <c r="H423" i="1"/>
  <c r="E423" i="1"/>
  <c r="AC422" i="1"/>
  <c r="AA422" i="1"/>
  <c r="Z422" i="1"/>
  <c r="L422" i="1"/>
  <c r="G422" i="1"/>
  <c r="H422" i="1"/>
  <c r="E422" i="1"/>
  <c r="Z421" i="1"/>
  <c r="L421" i="1"/>
  <c r="G421" i="1"/>
  <c r="H421" i="1"/>
  <c r="E421" i="1"/>
  <c r="AD420" i="1"/>
  <c r="AB420" i="1"/>
  <c r="W420" i="1"/>
  <c r="L420" i="1"/>
  <c r="G420" i="1"/>
  <c r="H420" i="1"/>
  <c r="E420" i="1"/>
  <c r="L419" i="1"/>
  <c r="G419" i="1"/>
  <c r="H419" i="1"/>
  <c r="E419" i="1"/>
  <c r="V418" i="1"/>
  <c r="L418" i="1"/>
  <c r="G418" i="1"/>
  <c r="H418" i="1"/>
  <c r="E418" i="1"/>
  <c r="Y417" i="1"/>
  <c r="X417" i="1"/>
  <c r="T417" i="1"/>
  <c r="S417" i="1"/>
  <c r="L417" i="1"/>
  <c r="G417" i="1"/>
  <c r="H417" i="1"/>
  <c r="E417" i="1"/>
  <c r="Z416" i="1"/>
  <c r="L416" i="1"/>
  <c r="G416" i="1"/>
  <c r="H416" i="1"/>
  <c r="E416" i="1"/>
  <c r="AD415" i="1"/>
  <c r="AB415" i="1"/>
  <c r="L415" i="1"/>
  <c r="G415" i="1"/>
  <c r="H415" i="1"/>
  <c r="E415" i="1"/>
  <c r="Z414" i="1"/>
  <c r="V414" i="1"/>
  <c r="Q414" i="1"/>
  <c r="L414" i="1"/>
  <c r="G414" i="1"/>
  <c r="H414" i="1"/>
  <c r="E414" i="1"/>
  <c r="AI413" i="1"/>
  <c r="AH413" i="1"/>
  <c r="AG413" i="1"/>
  <c r="AE413" i="1"/>
  <c r="AC413" i="1"/>
  <c r="T413" i="1"/>
  <c r="S413" i="1"/>
  <c r="L413" i="1"/>
  <c r="G413" i="1"/>
  <c r="H413" i="1"/>
  <c r="E413" i="1"/>
  <c r="AB412" i="1"/>
  <c r="L412" i="1"/>
  <c r="G412" i="1"/>
  <c r="H412" i="1"/>
  <c r="E412" i="1"/>
  <c r="AI411" i="1"/>
  <c r="AG411" i="1"/>
  <c r="AA411" i="1"/>
  <c r="T411" i="1"/>
  <c r="L411" i="1"/>
  <c r="G411" i="1"/>
  <c r="H411" i="1"/>
  <c r="E411" i="1"/>
  <c r="L410" i="1"/>
  <c r="G410" i="1"/>
  <c r="H410" i="1"/>
  <c r="E410" i="1"/>
  <c r="W409" i="1"/>
  <c r="L409" i="1"/>
  <c r="G409" i="1"/>
  <c r="H409" i="1"/>
  <c r="E409" i="1"/>
  <c r="Z408" i="1"/>
  <c r="V408" i="1"/>
  <c r="L408" i="1"/>
  <c r="G408" i="1"/>
  <c r="H408" i="1"/>
  <c r="E408" i="1"/>
  <c r="Y407" i="1"/>
  <c r="X407" i="1"/>
  <c r="T407" i="1"/>
  <c r="S407" i="1"/>
  <c r="L407" i="1"/>
  <c r="G407" i="1"/>
  <c r="H407" i="1"/>
  <c r="E407" i="1"/>
  <c r="V406" i="1"/>
  <c r="L406" i="1"/>
  <c r="G406" i="1"/>
  <c r="H406" i="1"/>
  <c r="E406" i="1"/>
  <c r="Z405" i="1"/>
  <c r="G405" i="1"/>
  <c r="H405" i="1"/>
  <c r="E405" i="1"/>
  <c r="T404" i="1"/>
  <c r="L404" i="1"/>
  <c r="G404" i="1"/>
  <c r="H404" i="1"/>
  <c r="E404" i="1"/>
  <c r="AI403" i="1"/>
  <c r="AH403" i="1"/>
  <c r="X403" i="1"/>
  <c r="T403" i="1"/>
  <c r="S403" i="1"/>
  <c r="L403" i="1"/>
  <c r="G403" i="1"/>
  <c r="H403" i="1"/>
  <c r="E403" i="1"/>
  <c r="Z402" i="1"/>
  <c r="V402" i="1"/>
  <c r="L402" i="1"/>
  <c r="G402" i="1"/>
  <c r="H402" i="1"/>
  <c r="E402" i="1"/>
  <c r="T401" i="1"/>
  <c r="S401" i="1"/>
  <c r="L401" i="1"/>
  <c r="G401" i="1"/>
  <c r="H401" i="1"/>
  <c r="E401" i="1"/>
  <c r="Q400" i="1"/>
  <c r="G400" i="1"/>
  <c r="H400" i="1"/>
  <c r="E400" i="1"/>
  <c r="AE399" i="1"/>
  <c r="L399" i="1"/>
  <c r="G399" i="1"/>
  <c r="H399" i="1"/>
  <c r="E399" i="1"/>
  <c r="L398" i="1"/>
  <c r="G398" i="1"/>
  <c r="H398" i="1"/>
  <c r="E398" i="1"/>
  <c r="AA397" i="1"/>
  <c r="G397" i="1"/>
  <c r="H397" i="1"/>
  <c r="E397" i="1"/>
  <c r="L396" i="1"/>
  <c r="G396" i="1"/>
  <c r="H396" i="1"/>
  <c r="E396" i="1"/>
  <c r="AE395" i="1"/>
  <c r="G395" i="1"/>
  <c r="H395" i="1"/>
  <c r="E395" i="1"/>
  <c r="AA394" i="1"/>
  <c r="Z394" i="1"/>
  <c r="Q394" i="1"/>
  <c r="L394" i="1"/>
  <c r="G394" i="1"/>
  <c r="H394" i="1"/>
  <c r="E394" i="1"/>
  <c r="L393" i="1"/>
  <c r="G393" i="1"/>
  <c r="H393" i="1"/>
  <c r="E393" i="1"/>
  <c r="Y392" i="1"/>
  <c r="T392" i="1"/>
  <c r="L392" i="1"/>
  <c r="G392" i="1"/>
  <c r="H392" i="1"/>
  <c r="E392" i="1"/>
  <c r="L391" i="1"/>
  <c r="G391" i="1"/>
  <c r="H391" i="1"/>
  <c r="E391" i="1"/>
  <c r="Z390" i="1"/>
  <c r="L390" i="1"/>
  <c r="G390" i="1"/>
  <c r="H390" i="1"/>
  <c r="E390" i="1"/>
  <c r="Y389" i="1"/>
  <c r="X389" i="1"/>
  <c r="T389" i="1"/>
  <c r="S389" i="1"/>
  <c r="L389" i="1"/>
  <c r="G389" i="1"/>
  <c r="H389" i="1"/>
  <c r="E389" i="1"/>
  <c r="P388" i="1"/>
  <c r="N388" i="1"/>
  <c r="L388" i="1"/>
  <c r="G388" i="1"/>
  <c r="H388" i="1"/>
  <c r="E388" i="1"/>
  <c r="L387" i="1"/>
  <c r="G387" i="1"/>
  <c r="H387" i="1"/>
  <c r="E387" i="1"/>
  <c r="AI386" i="1"/>
  <c r="AH386" i="1"/>
  <c r="AG386" i="1"/>
  <c r="AE386" i="1"/>
  <c r="Y386" i="1"/>
  <c r="X386" i="1"/>
  <c r="V386" i="1"/>
  <c r="T386" i="1"/>
  <c r="S386" i="1"/>
  <c r="L386" i="1"/>
  <c r="G386" i="1"/>
  <c r="H386" i="1"/>
  <c r="E386" i="1"/>
  <c r="L385" i="1"/>
  <c r="G385" i="1"/>
  <c r="H385" i="1"/>
  <c r="E385" i="1"/>
  <c r="AG384" i="1"/>
  <c r="G384" i="1"/>
  <c r="H384" i="1"/>
  <c r="E384" i="1"/>
  <c r="AA383" i="1"/>
  <c r="Q383" i="1"/>
  <c r="L383" i="1"/>
  <c r="G383" i="1"/>
  <c r="H383" i="1"/>
  <c r="E383" i="1"/>
  <c r="Z382" i="1"/>
  <c r="V382" i="1"/>
  <c r="Q382" i="1"/>
  <c r="L382" i="1"/>
  <c r="G382" i="1"/>
  <c r="H382" i="1"/>
  <c r="E382" i="1"/>
  <c r="W381" i="1"/>
  <c r="R381" i="1"/>
  <c r="L381" i="1"/>
  <c r="G381" i="1"/>
  <c r="H381" i="1"/>
  <c r="E381" i="1"/>
  <c r="M380" i="1"/>
  <c r="L380" i="1"/>
  <c r="G380" i="1"/>
  <c r="H380" i="1"/>
  <c r="E380" i="1"/>
  <c r="AI379" i="1"/>
  <c r="AH379" i="1"/>
  <c r="AG379" i="1"/>
  <c r="U379" i="1"/>
  <c r="L379" i="1"/>
  <c r="G379" i="1"/>
  <c r="H379" i="1"/>
  <c r="E379" i="1"/>
  <c r="Q378" i="1"/>
  <c r="L378" i="1"/>
  <c r="G378" i="1"/>
  <c r="H378" i="1"/>
  <c r="E378" i="1"/>
  <c r="AD377" i="1"/>
  <c r="AB377" i="1"/>
  <c r="R377" i="1"/>
  <c r="L377" i="1"/>
  <c r="G377" i="1"/>
  <c r="H377" i="1"/>
  <c r="E377" i="1"/>
  <c r="U376" i="1"/>
  <c r="P376" i="1"/>
  <c r="L376" i="1"/>
  <c r="G376" i="1"/>
  <c r="H376" i="1"/>
  <c r="E376" i="1"/>
  <c r="AF375" i="1"/>
  <c r="U375" i="1"/>
  <c r="P375" i="1"/>
  <c r="N375" i="1"/>
  <c r="L375" i="1"/>
  <c r="G375" i="1"/>
  <c r="H375" i="1"/>
  <c r="E375" i="1"/>
  <c r="AI374" i="1"/>
  <c r="AH374" i="1"/>
  <c r="AG374" i="1"/>
  <c r="Y374" i="1"/>
  <c r="X374" i="1"/>
  <c r="T374" i="1"/>
  <c r="S374" i="1"/>
  <c r="L374" i="1"/>
  <c r="G374" i="1"/>
  <c r="H374" i="1"/>
  <c r="E374" i="1"/>
  <c r="AD373" i="1"/>
  <c r="AB373" i="1"/>
  <c r="L373" i="1"/>
  <c r="G373" i="1"/>
  <c r="H373" i="1"/>
  <c r="E373" i="1"/>
  <c r="L372" i="1"/>
  <c r="G372" i="1"/>
  <c r="H372" i="1"/>
  <c r="E372" i="1"/>
  <c r="AD371" i="1"/>
  <c r="AB371" i="1"/>
  <c r="L371" i="1"/>
  <c r="G371" i="1"/>
  <c r="H371" i="1"/>
  <c r="E371" i="1"/>
  <c r="Z370" i="1"/>
  <c r="U370" i="1"/>
  <c r="P370" i="1"/>
  <c r="L370" i="1"/>
  <c r="G370" i="1"/>
  <c r="H370" i="1"/>
  <c r="E370" i="1"/>
  <c r="AI369" i="1"/>
  <c r="AG369" i="1"/>
  <c r="L369" i="1"/>
  <c r="G369" i="1"/>
  <c r="H369" i="1"/>
  <c r="E369" i="1"/>
  <c r="L368" i="1"/>
  <c r="G368" i="1"/>
  <c r="H368" i="1"/>
  <c r="E368" i="1"/>
  <c r="Y367" i="1"/>
  <c r="X367" i="1"/>
  <c r="T367" i="1"/>
  <c r="S367" i="1"/>
  <c r="L367" i="1"/>
  <c r="G367" i="1"/>
  <c r="H367" i="1"/>
  <c r="E367" i="1"/>
  <c r="Y366" i="1"/>
  <c r="X366" i="1"/>
  <c r="L366" i="1"/>
  <c r="G366" i="1"/>
  <c r="H366" i="1"/>
  <c r="E366" i="1"/>
  <c r="L365" i="1"/>
  <c r="G365" i="1"/>
  <c r="H365" i="1"/>
  <c r="E365" i="1"/>
  <c r="V364" i="1"/>
  <c r="L364" i="1"/>
  <c r="G364" i="1"/>
  <c r="H364" i="1"/>
  <c r="E364" i="1"/>
  <c r="AE363" i="1"/>
  <c r="Z363" i="1"/>
  <c r="L363" i="1"/>
  <c r="G363" i="1"/>
  <c r="H363" i="1"/>
  <c r="E363" i="1"/>
  <c r="W362" i="1"/>
  <c r="L362" i="1"/>
  <c r="G362" i="1"/>
  <c r="H362" i="1"/>
  <c r="E362" i="1"/>
  <c r="L361" i="1"/>
  <c r="G361" i="1"/>
  <c r="H361" i="1"/>
  <c r="E361" i="1"/>
  <c r="Q360" i="1"/>
  <c r="L360" i="1"/>
  <c r="G360" i="1"/>
  <c r="H360" i="1"/>
  <c r="E360" i="1"/>
  <c r="AC359" i="1"/>
  <c r="AA359" i="1"/>
  <c r="Z359" i="1"/>
  <c r="Q359" i="1"/>
  <c r="L359" i="1"/>
  <c r="G359" i="1"/>
  <c r="H359" i="1"/>
  <c r="E359" i="1"/>
  <c r="Q358" i="1"/>
  <c r="L358" i="1"/>
  <c r="G358" i="1"/>
  <c r="H358" i="1"/>
  <c r="E358" i="1"/>
  <c r="L357" i="1"/>
  <c r="H357" i="1"/>
  <c r="E357" i="1"/>
  <c r="AE356" i="1"/>
  <c r="G356" i="1"/>
  <c r="H356" i="1"/>
  <c r="E356" i="1"/>
  <c r="Z355" i="1"/>
  <c r="G355" i="1"/>
  <c r="H355" i="1"/>
  <c r="E355" i="1"/>
  <c r="R354" i="1"/>
  <c r="L354" i="1"/>
  <c r="G354" i="1"/>
  <c r="H354" i="1"/>
  <c r="E354" i="1"/>
  <c r="L353" i="1"/>
  <c r="G353" i="1"/>
  <c r="H353" i="1"/>
  <c r="E353" i="1"/>
  <c r="M352" i="1"/>
  <c r="G352" i="1"/>
  <c r="H352" i="1"/>
  <c r="E352" i="1"/>
  <c r="V351" i="1"/>
  <c r="Q351" i="1"/>
  <c r="G351" i="1"/>
  <c r="H351" i="1"/>
  <c r="E351" i="1"/>
  <c r="L350" i="1"/>
  <c r="G350" i="1"/>
  <c r="H350" i="1"/>
  <c r="E350" i="1"/>
  <c r="AD349" i="1"/>
  <c r="AB349" i="1"/>
  <c r="W349" i="1"/>
  <c r="R349" i="1"/>
  <c r="L349" i="1"/>
  <c r="G349" i="1"/>
  <c r="H349" i="1"/>
  <c r="E349" i="1"/>
  <c r="O348" i="1"/>
  <c r="M348" i="1"/>
  <c r="L348" i="1"/>
  <c r="G348" i="1"/>
  <c r="H348" i="1"/>
  <c r="E348" i="1"/>
  <c r="W347" i="1"/>
  <c r="G347" i="1"/>
  <c r="H347" i="1"/>
  <c r="E347" i="1"/>
  <c r="L346" i="1"/>
  <c r="G346" i="1"/>
  <c r="H346" i="1"/>
  <c r="E346" i="1"/>
  <c r="V345" i="1"/>
  <c r="L345" i="1"/>
  <c r="G345" i="1"/>
  <c r="H345" i="1"/>
  <c r="E345" i="1"/>
  <c r="AI344" i="1"/>
  <c r="AH344" i="1"/>
  <c r="AG344" i="1"/>
  <c r="AE344" i="1"/>
  <c r="G344" i="1"/>
  <c r="H344" i="1"/>
  <c r="E344" i="1"/>
  <c r="U343" i="1"/>
  <c r="P343" i="1"/>
  <c r="N343" i="1"/>
  <c r="L343" i="1"/>
  <c r="G343" i="1"/>
  <c r="H343" i="1"/>
  <c r="E343" i="1"/>
  <c r="L342" i="1"/>
  <c r="G342" i="1"/>
  <c r="H342" i="1"/>
  <c r="E342" i="1"/>
  <c r="L341" i="1"/>
  <c r="G341" i="1"/>
  <c r="H341" i="1"/>
  <c r="E341" i="1"/>
  <c r="AI340" i="1"/>
  <c r="L340" i="1"/>
  <c r="G340" i="1"/>
  <c r="H340" i="1"/>
  <c r="E340" i="1"/>
  <c r="L339" i="1"/>
  <c r="G339" i="1"/>
  <c r="H339" i="1"/>
  <c r="E339" i="1"/>
  <c r="L338" i="1"/>
  <c r="G338" i="1"/>
  <c r="H338" i="1"/>
  <c r="E338" i="1"/>
  <c r="L337" i="1"/>
  <c r="G337" i="1"/>
  <c r="H337" i="1"/>
  <c r="E337" i="1"/>
  <c r="L336" i="1"/>
  <c r="G336" i="1"/>
  <c r="H336" i="1"/>
  <c r="E336" i="1"/>
  <c r="W335" i="1"/>
  <c r="L335" i="1"/>
  <c r="G335" i="1"/>
  <c r="H335" i="1"/>
  <c r="E335" i="1"/>
  <c r="AD334" i="1"/>
  <c r="AB334" i="1"/>
  <c r="L334" i="1"/>
  <c r="G334" i="1"/>
  <c r="H334" i="1"/>
  <c r="E334" i="1"/>
  <c r="R333" i="1"/>
  <c r="L333" i="1"/>
  <c r="G333" i="1"/>
  <c r="H333" i="1"/>
  <c r="E333" i="1"/>
  <c r="AD332" i="1"/>
  <c r="Z332" i="1"/>
  <c r="Q332" i="1"/>
  <c r="L332" i="1"/>
  <c r="G332" i="1"/>
  <c r="H332" i="1"/>
  <c r="E332" i="1"/>
  <c r="AD331" i="1"/>
  <c r="AB331" i="1"/>
  <c r="L331" i="1"/>
  <c r="G331" i="1"/>
  <c r="H331" i="1"/>
  <c r="E331" i="1"/>
  <c r="AF330" i="1"/>
  <c r="L330" i="1"/>
  <c r="H330" i="1"/>
  <c r="E330" i="1"/>
  <c r="AD329" i="1"/>
  <c r="W329" i="1"/>
  <c r="R329" i="1"/>
  <c r="L329" i="1"/>
  <c r="G329" i="1"/>
  <c r="H329" i="1"/>
  <c r="E329" i="1"/>
  <c r="U328" i="1"/>
  <c r="P328" i="1"/>
  <c r="N328" i="1"/>
  <c r="L328" i="1"/>
  <c r="G328" i="1"/>
  <c r="H328" i="1"/>
  <c r="E328" i="1"/>
  <c r="Z327" i="1"/>
  <c r="U327" i="1"/>
  <c r="P327" i="1"/>
  <c r="N327" i="1"/>
  <c r="G327" i="1"/>
  <c r="H327" i="1"/>
  <c r="E327" i="1"/>
  <c r="V326" i="1"/>
  <c r="L326" i="1"/>
  <c r="G326" i="1"/>
  <c r="H326" i="1"/>
  <c r="E326" i="1"/>
  <c r="W325" i="1"/>
  <c r="L325" i="1"/>
  <c r="G325" i="1"/>
  <c r="H325" i="1"/>
  <c r="E325" i="1"/>
  <c r="L324" i="1"/>
  <c r="G324" i="1"/>
  <c r="H324" i="1"/>
  <c r="E324" i="1"/>
  <c r="Q323" i="1"/>
  <c r="L323" i="1"/>
  <c r="G323" i="1"/>
  <c r="H323" i="1"/>
  <c r="E323" i="1"/>
  <c r="L322" i="1"/>
  <c r="G322" i="1"/>
  <c r="H322" i="1"/>
  <c r="E322" i="1"/>
  <c r="Z321" i="1"/>
  <c r="W321" i="1"/>
  <c r="L321" i="1"/>
  <c r="G321" i="1"/>
  <c r="H321" i="1"/>
  <c r="E321" i="1"/>
  <c r="W320" i="1"/>
  <c r="L320" i="1"/>
  <c r="G320" i="1"/>
  <c r="H320" i="1"/>
  <c r="E320" i="1"/>
  <c r="L319" i="1"/>
  <c r="G319" i="1"/>
  <c r="H319" i="1"/>
  <c r="E319" i="1"/>
  <c r="L318" i="1"/>
  <c r="G318" i="1"/>
  <c r="H318" i="1"/>
  <c r="E318" i="1"/>
  <c r="L317" i="1"/>
  <c r="G317" i="1"/>
  <c r="H317" i="1"/>
  <c r="E317" i="1"/>
  <c r="AA316" i="1"/>
  <c r="L316" i="1"/>
  <c r="G316" i="1"/>
  <c r="H316" i="1"/>
  <c r="E316" i="1"/>
  <c r="M315" i="1"/>
  <c r="L315" i="1"/>
  <c r="G315" i="1"/>
  <c r="H315" i="1"/>
  <c r="E315" i="1"/>
  <c r="Y314" i="1"/>
  <c r="X314" i="1"/>
  <c r="T314" i="1"/>
  <c r="S314" i="1"/>
  <c r="L314" i="1"/>
  <c r="G314" i="1"/>
  <c r="H314" i="1"/>
  <c r="E314" i="1"/>
  <c r="W313" i="1"/>
  <c r="R313" i="1"/>
  <c r="L313" i="1"/>
  <c r="G313" i="1"/>
  <c r="H313" i="1"/>
  <c r="E313" i="1"/>
  <c r="AE312" i="1"/>
  <c r="Q312" i="1"/>
  <c r="L312" i="1"/>
  <c r="G312" i="1"/>
  <c r="H312" i="1"/>
  <c r="E312" i="1"/>
  <c r="L311" i="1"/>
  <c r="G311" i="1"/>
  <c r="H311" i="1"/>
  <c r="E311" i="1"/>
  <c r="AH310" i="1"/>
  <c r="AC310" i="1"/>
  <c r="AA310" i="1"/>
  <c r="U310" i="1"/>
  <c r="L310" i="1"/>
  <c r="G310" i="1"/>
  <c r="H310" i="1"/>
  <c r="E310" i="1"/>
  <c r="W309" i="1"/>
  <c r="L309" i="1"/>
  <c r="G309" i="1"/>
  <c r="H309" i="1"/>
  <c r="E309" i="1"/>
  <c r="L308" i="1"/>
  <c r="G308" i="1"/>
  <c r="H308" i="1"/>
  <c r="E308" i="1"/>
  <c r="AE307" i="1"/>
  <c r="AB307" i="1"/>
  <c r="W307" i="1"/>
  <c r="L307" i="1"/>
  <c r="G307" i="1"/>
  <c r="H307" i="1"/>
  <c r="E307" i="1"/>
  <c r="L306" i="1"/>
  <c r="G306" i="1"/>
  <c r="H306" i="1"/>
  <c r="E306" i="1"/>
  <c r="L305" i="1"/>
  <c r="G305" i="1"/>
  <c r="H305" i="1"/>
  <c r="E305" i="1"/>
  <c r="AG304" i="1"/>
  <c r="Y304" i="1"/>
  <c r="X304" i="1"/>
  <c r="L304" i="1"/>
  <c r="G304" i="1"/>
  <c r="H304" i="1"/>
  <c r="E304" i="1"/>
  <c r="L303" i="1"/>
  <c r="H303" i="1"/>
  <c r="E303" i="1"/>
  <c r="M302" i="1"/>
  <c r="L302" i="1"/>
  <c r="G302" i="1"/>
  <c r="H302" i="1"/>
  <c r="E302" i="1"/>
  <c r="W301" i="1"/>
  <c r="L301" i="1"/>
  <c r="G301" i="1"/>
  <c r="H301" i="1"/>
  <c r="E301" i="1"/>
  <c r="L300" i="1"/>
  <c r="G300" i="1"/>
  <c r="H300" i="1"/>
  <c r="E300" i="1"/>
  <c r="Q299" i="1"/>
  <c r="G299" i="1"/>
  <c r="H299" i="1"/>
  <c r="E299" i="1"/>
  <c r="Z298" i="1"/>
  <c r="Q298" i="1"/>
  <c r="L298" i="1"/>
  <c r="G298" i="1"/>
  <c r="H298" i="1"/>
  <c r="E298" i="1"/>
  <c r="L297" i="1"/>
  <c r="G297" i="1"/>
  <c r="H297" i="1"/>
  <c r="E297" i="1"/>
  <c r="L296" i="1"/>
  <c r="G296" i="1"/>
  <c r="H296" i="1"/>
  <c r="E296" i="1"/>
  <c r="AH295" i="1"/>
  <c r="AG295" i="1"/>
  <c r="P295" i="1"/>
  <c r="G295" i="1"/>
  <c r="H295" i="1"/>
  <c r="E295" i="1"/>
  <c r="L294" i="1"/>
  <c r="G294" i="1"/>
  <c r="H294" i="1"/>
  <c r="E294" i="1"/>
  <c r="L293" i="1"/>
  <c r="G293" i="1"/>
  <c r="H293" i="1"/>
  <c r="E293" i="1"/>
  <c r="L292" i="1"/>
  <c r="G292" i="1"/>
  <c r="H292" i="1"/>
  <c r="E292" i="1"/>
  <c r="L291" i="1"/>
  <c r="G291" i="1"/>
  <c r="H291" i="1"/>
  <c r="E291" i="1"/>
  <c r="U290" i="1"/>
  <c r="P290" i="1"/>
  <c r="N290" i="1"/>
  <c r="L290" i="1"/>
  <c r="G290" i="1"/>
  <c r="H290" i="1"/>
  <c r="E290" i="1"/>
  <c r="O289" i="1"/>
  <c r="M289" i="1"/>
  <c r="L289" i="1"/>
  <c r="G289" i="1"/>
  <c r="H289" i="1"/>
  <c r="E289" i="1"/>
  <c r="L288" i="1"/>
  <c r="G288" i="1"/>
  <c r="H288" i="1"/>
  <c r="E288" i="1"/>
  <c r="W287" i="1"/>
  <c r="L287" i="1"/>
  <c r="G287" i="1"/>
  <c r="H287" i="1"/>
  <c r="E287" i="1"/>
  <c r="AD286" i="1"/>
  <c r="AB286" i="1"/>
  <c r="V286" i="1"/>
  <c r="L286" i="1"/>
  <c r="G286" i="1"/>
  <c r="H286" i="1"/>
  <c r="E286" i="1"/>
  <c r="L285" i="1"/>
  <c r="G285" i="1"/>
  <c r="H285" i="1"/>
  <c r="E285" i="1"/>
  <c r="L284" i="1"/>
  <c r="G284" i="1"/>
  <c r="H284" i="1"/>
  <c r="E284" i="1"/>
  <c r="AE283" i="1"/>
  <c r="W283" i="1"/>
  <c r="L283" i="1"/>
  <c r="G283" i="1"/>
  <c r="H283" i="1"/>
  <c r="E283" i="1"/>
  <c r="U282" i="1"/>
  <c r="N282" i="1"/>
  <c r="L282" i="1"/>
  <c r="G282" i="1"/>
  <c r="H282" i="1"/>
  <c r="E282" i="1"/>
  <c r="Z281" i="1"/>
  <c r="V281" i="1"/>
  <c r="L281" i="1"/>
  <c r="G281" i="1"/>
  <c r="H281" i="1"/>
  <c r="E281" i="1"/>
  <c r="AC280" i="1"/>
  <c r="AA280" i="1"/>
  <c r="V280" i="1"/>
  <c r="Q280" i="1"/>
  <c r="L280" i="1"/>
  <c r="G280" i="1"/>
  <c r="H280" i="1"/>
  <c r="E280" i="1"/>
  <c r="Q279" i="1"/>
  <c r="G279" i="1"/>
  <c r="H279" i="1"/>
  <c r="E279" i="1"/>
  <c r="AF278" i="1"/>
  <c r="Z278" i="1"/>
  <c r="U278" i="1"/>
  <c r="L278" i="1"/>
  <c r="G278" i="1"/>
  <c r="H278" i="1"/>
  <c r="E278" i="1"/>
  <c r="Y277" i="1"/>
  <c r="X277" i="1"/>
  <c r="T277" i="1"/>
  <c r="S277" i="1"/>
  <c r="L277" i="1"/>
  <c r="G277" i="1"/>
  <c r="H277" i="1"/>
  <c r="E277" i="1"/>
  <c r="AB276" i="1"/>
  <c r="L276" i="1"/>
  <c r="G276" i="1"/>
  <c r="H276" i="1"/>
  <c r="E276" i="1"/>
  <c r="L275" i="1"/>
  <c r="G275" i="1"/>
  <c r="H275" i="1"/>
  <c r="E275" i="1"/>
  <c r="L274" i="1"/>
  <c r="H274" i="1"/>
  <c r="E274" i="1"/>
  <c r="V273" i="1"/>
  <c r="L273" i="1"/>
  <c r="G273" i="1"/>
  <c r="H273" i="1"/>
  <c r="E273" i="1"/>
  <c r="W272" i="1"/>
  <c r="R272" i="1"/>
  <c r="L272" i="1"/>
  <c r="G272" i="1"/>
  <c r="H272" i="1"/>
  <c r="E272" i="1"/>
  <c r="Y271" i="1"/>
  <c r="T271" i="1"/>
  <c r="L271" i="1"/>
  <c r="G271" i="1"/>
  <c r="H271" i="1"/>
  <c r="E271" i="1"/>
  <c r="L270" i="1"/>
  <c r="G270" i="1"/>
  <c r="H270" i="1"/>
  <c r="E270" i="1"/>
  <c r="V269" i="1"/>
  <c r="Q269" i="1"/>
  <c r="L269" i="1"/>
  <c r="G269" i="1"/>
  <c r="H269" i="1"/>
  <c r="E269" i="1"/>
  <c r="AH268" i="1"/>
  <c r="AG268" i="1"/>
  <c r="T268" i="1"/>
  <c r="S268" i="1"/>
  <c r="L268" i="1"/>
  <c r="G268" i="1"/>
  <c r="H268" i="1"/>
  <c r="E268" i="1"/>
  <c r="U267" i="1"/>
  <c r="N267" i="1"/>
  <c r="L267" i="1"/>
  <c r="G267" i="1"/>
  <c r="H267" i="1"/>
  <c r="E267" i="1"/>
  <c r="T266" i="1"/>
  <c r="L266" i="1"/>
  <c r="G266" i="1"/>
  <c r="H266" i="1"/>
  <c r="E266" i="1"/>
  <c r="AF265" i="1"/>
  <c r="U265" i="1"/>
  <c r="N265" i="1"/>
  <c r="L265" i="1"/>
  <c r="G265" i="1"/>
  <c r="H265" i="1"/>
  <c r="E265" i="1"/>
  <c r="W264" i="1"/>
  <c r="L264" i="1"/>
  <c r="G264" i="1"/>
  <c r="H264" i="1"/>
  <c r="E264" i="1"/>
  <c r="AA263" i="1"/>
  <c r="V263" i="1"/>
  <c r="Q263" i="1"/>
  <c r="L263" i="1"/>
  <c r="G263" i="1"/>
  <c r="H263" i="1"/>
  <c r="E263" i="1"/>
  <c r="AE262" i="1"/>
  <c r="AC262" i="1"/>
  <c r="AA262" i="1"/>
  <c r="Z262" i="1"/>
  <c r="L262" i="1"/>
  <c r="G262" i="1"/>
  <c r="H262" i="1"/>
  <c r="E262" i="1"/>
  <c r="AE261" i="1"/>
  <c r="V261" i="1"/>
  <c r="Q261" i="1"/>
  <c r="L261" i="1"/>
  <c r="G261" i="1"/>
  <c r="H261" i="1"/>
  <c r="E261" i="1"/>
  <c r="L260" i="1"/>
  <c r="G260" i="1"/>
  <c r="H260" i="1"/>
  <c r="E260" i="1"/>
  <c r="Q259" i="1"/>
  <c r="L259" i="1"/>
  <c r="G259" i="1"/>
  <c r="H259" i="1"/>
  <c r="E259" i="1"/>
  <c r="AI258" i="1"/>
  <c r="AG258" i="1"/>
  <c r="AE258" i="1"/>
  <c r="T258" i="1"/>
  <c r="L258" i="1"/>
  <c r="G258" i="1"/>
  <c r="H258" i="1"/>
  <c r="E258" i="1"/>
  <c r="L257" i="1"/>
  <c r="G257" i="1"/>
  <c r="H257" i="1"/>
  <c r="E257" i="1"/>
  <c r="L256" i="1"/>
  <c r="G256" i="1"/>
  <c r="H256" i="1"/>
  <c r="E256" i="1"/>
  <c r="AD255" i="1"/>
  <c r="AB255" i="1"/>
  <c r="W255" i="1"/>
  <c r="R255" i="1"/>
  <c r="L255" i="1"/>
  <c r="G255" i="1"/>
  <c r="H255" i="1"/>
  <c r="E255" i="1"/>
  <c r="L254" i="1"/>
  <c r="G254" i="1"/>
  <c r="H254" i="1"/>
  <c r="E254" i="1"/>
  <c r="L253" i="1"/>
  <c r="G253" i="1"/>
  <c r="H253" i="1"/>
  <c r="E253" i="1"/>
  <c r="AE252" i="1"/>
  <c r="AA252" i="1"/>
  <c r="L252" i="1"/>
  <c r="G252" i="1"/>
  <c r="H252" i="1"/>
  <c r="E252" i="1"/>
  <c r="U251" i="1"/>
  <c r="N251" i="1"/>
  <c r="L251" i="1"/>
  <c r="G251" i="1"/>
  <c r="H251" i="1"/>
  <c r="E251" i="1"/>
  <c r="AE250" i="1"/>
  <c r="AC250" i="1"/>
  <c r="Z250" i="1"/>
  <c r="Q250" i="1"/>
  <c r="L250" i="1"/>
  <c r="G250" i="1"/>
  <c r="H250" i="1"/>
  <c r="E250" i="1"/>
  <c r="W249" i="1"/>
  <c r="R249" i="1"/>
  <c r="L249" i="1"/>
  <c r="G249" i="1"/>
  <c r="H249" i="1"/>
  <c r="E249" i="1"/>
  <c r="AC248" i="1"/>
  <c r="AA248" i="1"/>
  <c r="G248" i="1"/>
  <c r="H248" i="1"/>
  <c r="E248" i="1"/>
  <c r="Y247" i="1"/>
  <c r="T247" i="1"/>
  <c r="L247" i="1"/>
  <c r="G247" i="1"/>
  <c r="H247" i="1"/>
  <c r="E247" i="1"/>
  <c r="Z246" i="1"/>
  <c r="L246" i="1"/>
  <c r="G246" i="1"/>
  <c r="H246" i="1"/>
  <c r="E246" i="1"/>
  <c r="AE245" i="1"/>
  <c r="Z245" i="1"/>
  <c r="Q245" i="1"/>
  <c r="L245" i="1"/>
  <c r="G245" i="1"/>
  <c r="H245" i="1"/>
  <c r="E245" i="1"/>
  <c r="L244" i="1"/>
  <c r="G244" i="1"/>
  <c r="H244" i="1"/>
  <c r="E244" i="1"/>
  <c r="L243" i="1"/>
  <c r="G243" i="1"/>
  <c r="H243" i="1"/>
  <c r="E243" i="1"/>
  <c r="AE242" i="1"/>
  <c r="Z242" i="1"/>
  <c r="L242" i="1"/>
  <c r="G242" i="1"/>
  <c r="H242" i="1"/>
  <c r="E242" i="1"/>
  <c r="R241" i="1"/>
  <c r="L241" i="1"/>
  <c r="G241" i="1"/>
  <c r="H241" i="1"/>
  <c r="E241" i="1"/>
  <c r="Z240" i="1"/>
  <c r="V240" i="1"/>
  <c r="L240" i="1"/>
  <c r="G240" i="1"/>
  <c r="H240" i="1"/>
  <c r="E240" i="1"/>
  <c r="W239" i="1"/>
  <c r="L239" i="1"/>
  <c r="G239" i="1"/>
  <c r="H239" i="1"/>
  <c r="E239" i="1"/>
  <c r="L238" i="1"/>
  <c r="G238" i="1"/>
  <c r="H238" i="1"/>
  <c r="E238" i="1"/>
  <c r="R237" i="1"/>
  <c r="L237" i="1"/>
  <c r="G237" i="1"/>
  <c r="H237" i="1"/>
  <c r="E237" i="1"/>
  <c r="L236" i="1"/>
  <c r="G236" i="1"/>
  <c r="H236" i="1"/>
  <c r="E236" i="1"/>
  <c r="Q235" i="1"/>
  <c r="G235" i="1"/>
  <c r="H235" i="1"/>
  <c r="E235" i="1"/>
  <c r="L234" i="1"/>
  <c r="G234" i="1"/>
  <c r="H234" i="1"/>
  <c r="E234" i="1"/>
  <c r="AH233" i="1"/>
  <c r="AG233" i="1"/>
  <c r="AE233" i="1"/>
  <c r="X233" i="1"/>
  <c r="L233" i="1"/>
  <c r="G233" i="1"/>
  <c r="H233" i="1"/>
  <c r="E233" i="1"/>
  <c r="Q232" i="1"/>
  <c r="L232" i="1"/>
  <c r="G232" i="1"/>
  <c r="H232" i="1"/>
  <c r="E232" i="1"/>
  <c r="AB231" i="1"/>
  <c r="V231" i="1"/>
  <c r="L231" i="1"/>
  <c r="G231" i="1"/>
  <c r="H231" i="1"/>
  <c r="E231" i="1"/>
  <c r="O230" i="1"/>
  <c r="M230" i="1"/>
  <c r="L230" i="1"/>
  <c r="G230" i="1"/>
  <c r="H230" i="1"/>
  <c r="E230" i="1"/>
  <c r="L229" i="1"/>
  <c r="G229" i="1"/>
  <c r="H229" i="1"/>
  <c r="E229" i="1"/>
  <c r="Z228" i="1"/>
  <c r="L228" i="1"/>
  <c r="G228" i="1"/>
  <c r="H228" i="1"/>
  <c r="E228" i="1"/>
  <c r="AC227" i="1"/>
  <c r="AA227" i="1"/>
  <c r="L227" i="1"/>
  <c r="G227" i="1"/>
  <c r="H227" i="1"/>
  <c r="E227" i="1"/>
  <c r="AC226" i="1"/>
  <c r="V226" i="1"/>
  <c r="L226" i="1"/>
  <c r="G226" i="1"/>
  <c r="H226" i="1"/>
  <c r="E226" i="1"/>
  <c r="AI225" i="1"/>
  <c r="AG225" i="1"/>
  <c r="T225" i="1"/>
  <c r="L225" i="1"/>
  <c r="G225" i="1"/>
  <c r="H225" i="1"/>
  <c r="E225" i="1"/>
  <c r="L224" i="1"/>
  <c r="G224" i="1"/>
  <c r="H224" i="1"/>
  <c r="E224" i="1"/>
  <c r="AI223" i="1"/>
  <c r="AE223" i="1"/>
  <c r="AC223" i="1"/>
  <c r="T223" i="1"/>
  <c r="L223" i="1"/>
  <c r="G223" i="1"/>
  <c r="H223" i="1"/>
  <c r="E223" i="1"/>
  <c r="AI222" i="1"/>
  <c r="AH222" i="1"/>
  <c r="AG222" i="1"/>
  <c r="Y222" i="1"/>
  <c r="X222" i="1"/>
  <c r="T222" i="1"/>
  <c r="S222" i="1"/>
  <c r="L222" i="1"/>
  <c r="G222" i="1"/>
  <c r="H222" i="1"/>
  <c r="E222" i="1"/>
  <c r="L221" i="1"/>
  <c r="G221" i="1"/>
  <c r="H221" i="1"/>
  <c r="E221" i="1"/>
  <c r="V220" i="1"/>
  <c r="G220" i="1"/>
  <c r="H220" i="1"/>
  <c r="E220" i="1"/>
  <c r="AE219" i="1"/>
  <c r="AC219" i="1"/>
  <c r="AA219" i="1"/>
  <c r="Z219" i="1"/>
  <c r="Q219" i="1"/>
  <c r="L219" i="1"/>
  <c r="G219" i="1"/>
  <c r="H219" i="1"/>
  <c r="E219" i="1"/>
  <c r="AE218" i="1"/>
  <c r="Q218" i="1"/>
  <c r="L218" i="1"/>
  <c r="G218" i="1"/>
  <c r="H218" i="1"/>
  <c r="E218" i="1"/>
  <c r="Z217" i="1"/>
  <c r="U217" i="1"/>
  <c r="P217" i="1"/>
  <c r="L217" i="1"/>
  <c r="G217" i="1"/>
  <c r="H217" i="1"/>
  <c r="E217" i="1"/>
  <c r="Z216" i="1"/>
  <c r="L216" i="1"/>
  <c r="G216" i="1"/>
  <c r="H216" i="1"/>
  <c r="E216" i="1"/>
  <c r="L215" i="1"/>
  <c r="G215" i="1"/>
  <c r="H215" i="1"/>
  <c r="E215" i="1"/>
  <c r="Z214" i="1"/>
  <c r="Q214" i="1"/>
  <c r="L214" i="1"/>
  <c r="G214" i="1"/>
  <c r="H214" i="1"/>
  <c r="E214" i="1"/>
  <c r="AI213" i="1"/>
  <c r="AH213" i="1"/>
  <c r="AG213" i="1"/>
  <c r="X213" i="1"/>
  <c r="T213" i="1"/>
  <c r="S213" i="1"/>
  <c r="L213" i="1"/>
  <c r="G213" i="1"/>
  <c r="H213" i="1"/>
  <c r="E213" i="1"/>
  <c r="T212" i="1"/>
  <c r="L212" i="1"/>
  <c r="G212" i="1"/>
  <c r="H212" i="1"/>
  <c r="E212" i="1"/>
  <c r="AD211" i="1"/>
  <c r="AB211" i="1"/>
  <c r="Q211" i="1"/>
  <c r="L211" i="1"/>
  <c r="G211" i="1"/>
  <c r="H211" i="1"/>
  <c r="E211" i="1"/>
  <c r="U210" i="1"/>
  <c r="N210" i="1"/>
  <c r="L210" i="1"/>
  <c r="G210" i="1"/>
  <c r="H210" i="1"/>
  <c r="E210" i="1"/>
  <c r="AE209" i="1"/>
  <c r="Z209" i="1"/>
  <c r="L209" i="1"/>
  <c r="G209" i="1"/>
  <c r="H209" i="1"/>
  <c r="E209" i="1"/>
  <c r="AI208" i="1"/>
  <c r="AG208" i="1"/>
  <c r="Y208" i="1"/>
  <c r="T208" i="1"/>
  <c r="L208" i="1"/>
  <c r="G208" i="1"/>
  <c r="H208" i="1"/>
  <c r="E208" i="1"/>
  <c r="AE207" i="1"/>
  <c r="Z207" i="1"/>
  <c r="V207" i="1"/>
  <c r="L207" i="1"/>
  <c r="G207" i="1"/>
  <c r="H207" i="1"/>
  <c r="E207" i="1"/>
  <c r="L206" i="1"/>
  <c r="G206" i="1"/>
  <c r="H206" i="1"/>
  <c r="E206" i="1"/>
  <c r="AD205" i="1"/>
  <c r="AB205" i="1"/>
  <c r="V205" i="1"/>
  <c r="L205" i="1"/>
  <c r="G205" i="1"/>
  <c r="H205" i="1"/>
  <c r="E205" i="1"/>
  <c r="AD204" i="1"/>
  <c r="AB204" i="1"/>
  <c r="R204" i="1"/>
  <c r="L204" i="1"/>
  <c r="G204" i="1"/>
  <c r="H204" i="1"/>
  <c r="E204" i="1"/>
  <c r="AE203" i="1"/>
  <c r="Z203" i="1"/>
  <c r="V203" i="1"/>
  <c r="Q203" i="1"/>
  <c r="L203" i="1"/>
  <c r="G203" i="1"/>
  <c r="H203" i="1"/>
  <c r="E203" i="1"/>
  <c r="O202" i="1"/>
  <c r="M202" i="1"/>
  <c r="L202" i="1"/>
  <c r="G202" i="1"/>
  <c r="H202" i="1"/>
  <c r="E202" i="1"/>
  <c r="L201" i="1"/>
  <c r="G201" i="1"/>
  <c r="H201" i="1"/>
  <c r="E201" i="1"/>
  <c r="AC200" i="1"/>
  <c r="Y200" i="1"/>
  <c r="L200" i="1"/>
  <c r="G200" i="1"/>
  <c r="H200" i="1"/>
  <c r="E200" i="1"/>
  <c r="Y199" i="1"/>
  <c r="T199" i="1"/>
  <c r="L199" i="1"/>
  <c r="G199" i="1"/>
  <c r="H199" i="1"/>
  <c r="E199" i="1"/>
  <c r="Z198" i="1"/>
  <c r="R198" i="1"/>
  <c r="L198" i="1"/>
  <c r="G198" i="1"/>
  <c r="H198" i="1"/>
  <c r="E198" i="1"/>
  <c r="L197" i="1"/>
  <c r="G197" i="1"/>
  <c r="H197" i="1"/>
  <c r="E197" i="1"/>
  <c r="AD196" i="1"/>
  <c r="AB196" i="1"/>
  <c r="W196" i="1"/>
  <c r="R196" i="1"/>
  <c r="L196" i="1"/>
  <c r="G196" i="1"/>
  <c r="H196" i="1"/>
  <c r="E196" i="1"/>
  <c r="W195" i="1"/>
  <c r="L195" i="1"/>
  <c r="G195" i="1"/>
  <c r="H195" i="1"/>
  <c r="E195" i="1"/>
  <c r="AE194" i="1"/>
  <c r="Z194" i="1"/>
  <c r="T194" i="1"/>
  <c r="S194" i="1"/>
  <c r="L194" i="1"/>
  <c r="G194" i="1"/>
  <c r="H194" i="1"/>
  <c r="E194" i="1"/>
  <c r="AI193" i="1"/>
  <c r="Y193" i="1"/>
  <c r="T193" i="1"/>
  <c r="L193" i="1"/>
  <c r="G193" i="1"/>
  <c r="H193" i="1"/>
  <c r="E193" i="1"/>
  <c r="T192" i="1"/>
  <c r="S192" i="1"/>
  <c r="L192" i="1"/>
  <c r="G192" i="1"/>
  <c r="H192" i="1"/>
  <c r="E192" i="1"/>
  <c r="V191" i="1"/>
  <c r="O191" i="1"/>
  <c r="L191" i="1"/>
  <c r="G191" i="1"/>
  <c r="H191" i="1"/>
  <c r="E191" i="1"/>
  <c r="W190" i="1"/>
  <c r="L190" i="1"/>
  <c r="G190" i="1"/>
  <c r="H190" i="1"/>
  <c r="E190" i="1"/>
  <c r="V189" i="1"/>
  <c r="T189" i="1"/>
  <c r="L189" i="1"/>
  <c r="G189" i="1"/>
  <c r="H189" i="1"/>
  <c r="E189" i="1"/>
  <c r="Y188" i="1"/>
  <c r="T188" i="1"/>
  <c r="L188" i="1"/>
  <c r="G188" i="1"/>
  <c r="H188" i="1"/>
  <c r="E188" i="1"/>
  <c r="L187" i="1"/>
  <c r="G187" i="1"/>
  <c r="H187" i="1"/>
  <c r="E187" i="1"/>
  <c r="Z186" i="1"/>
  <c r="Y186" i="1"/>
  <c r="T186" i="1"/>
  <c r="L186" i="1"/>
  <c r="G186" i="1"/>
  <c r="H186" i="1"/>
  <c r="E186" i="1"/>
  <c r="U185" i="1"/>
  <c r="N185" i="1"/>
  <c r="L185" i="1"/>
  <c r="G185" i="1"/>
  <c r="H185" i="1"/>
  <c r="E185" i="1"/>
  <c r="L184" i="1"/>
  <c r="G184" i="1"/>
  <c r="H184" i="1"/>
  <c r="E184" i="1"/>
  <c r="L183" i="1"/>
  <c r="G183" i="1"/>
  <c r="H183" i="1"/>
  <c r="E183" i="1"/>
  <c r="AE182" i="1"/>
  <c r="AD182" i="1"/>
  <c r="AB182" i="1"/>
  <c r="Z182" i="1"/>
  <c r="Q182" i="1"/>
  <c r="L182" i="1"/>
  <c r="G182" i="1"/>
  <c r="H182" i="1"/>
  <c r="E182" i="1"/>
  <c r="L181" i="1"/>
  <c r="G181" i="1"/>
  <c r="H181" i="1"/>
  <c r="E181" i="1"/>
  <c r="AI180" i="1"/>
  <c r="AG180" i="1"/>
  <c r="T180" i="1"/>
  <c r="L180" i="1"/>
  <c r="G180" i="1"/>
  <c r="H180" i="1"/>
  <c r="E180" i="1"/>
  <c r="AI179" i="1"/>
  <c r="AH179" i="1"/>
  <c r="AG179" i="1"/>
  <c r="P179" i="1"/>
  <c r="L179" i="1"/>
  <c r="G179" i="1"/>
  <c r="H179" i="1"/>
  <c r="E179" i="1"/>
  <c r="Z178" i="1"/>
  <c r="U178" i="1"/>
  <c r="N178" i="1"/>
  <c r="L178" i="1"/>
  <c r="G178" i="1"/>
  <c r="H178" i="1"/>
  <c r="E178" i="1"/>
  <c r="O177" i="1"/>
  <c r="M177" i="1"/>
  <c r="L177" i="1"/>
  <c r="G177" i="1"/>
  <c r="H177" i="1"/>
  <c r="E177" i="1"/>
  <c r="AC176" i="1"/>
  <c r="V176" i="1"/>
  <c r="G176" i="1"/>
  <c r="H176" i="1"/>
  <c r="E176" i="1"/>
  <c r="AE175" i="1"/>
  <c r="G175" i="1"/>
  <c r="H175" i="1"/>
  <c r="E175" i="1"/>
  <c r="Z174" i="1"/>
  <c r="Q174" i="1"/>
  <c r="L174" i="1"/>
  <c r="G174" i="1"/>
  <c r="H174" i="1"/>
  <c r="E174" i="1"/>
  <c r="Q173" i="1"/>
  <c r="G173" i="1"/>
  <c r="H173" i="1"/>
  <c r="E173" i="1"/>
  <c r="L172" i="1"/>
  <c r="G172" i="1"/>
  <c r="H172" i="1"/>
  <c r="E172" i="1"/>
  <c r="AC171" i="1"/>
  <c r="V171" i="1"/>
  <c r="U171" i="1"/>
  <c r="N171" i="1"/>
  <c r="L171" i="1"/>
  <c r="G171" i="1"/>
  <c r="H171" i="1"/>
  <c r="E171" i="1"/>
  <c r="L170" i="1"/>
  <c r="G170" i="1"/>
  <c r="H170" i="1"/>
  <c r="E170" i="1"/>
  <c r="AA169" i="1"/>
  <c r="T169" i="1"/>
  <c r="L169" i="1"/>
  <c r="G169" i="1"/>
  <c r="H169" i="1"/>
  <c r="E169" i="1"/>
  <c r="L168" i="1"/>
  <c r="G168" i="1"/>
  <c r="H168" i="1"/>
  <c r="E168" i="1"/>
  <c r="AI167" i="1"/>
  <c r="AH167" i="1"/>
  <c r="AG167" i="1"/>
  <c r="X167" i="1"/>
  <c r="T167" i="1"/>
  <c r="S167" i="1"/>
  <c r="P167" i="1"/>
  <c r="L167" i="1"/>
  <c r="G167" i="1"/>
  <c r="H167" i="1"/>
  <c r="E167" i="1"/>
  <c r="AI166" i="1"/>
  <c r="Y166" i="1"/>
  <c r="T166" i="1"/>
  <c r="L166" i="1"/>
  <c r="G166" i="1"/>
  <c r="H166" i="1"/>
  <c r="E166" i="1"/>
  <c r="AA165" i="1"/>
  <c r="L165" i="1"/>
  <c r="G165" i="1"/>
  <c r="H165" i="1"/>
  <c r="E165" i="1"/>
  <c r="AC164" i="1"/>
  <c r="AA164" i="1"/>
  <c r="L164" i="1"/>
  <c r="H164" i="1"/>
  <c r="E164" i="1"/>
  <c r="O163" i="1"/>
  <c r="M163" i="1"/>
  <c r="L163" i="1"/>
  <c r="G163" i="1"/>
  <c r="H163" i="1"/>
  <c r="E163" i="1"/>
  <c r="Z162" i="1"/>
  <c r="U162" i="1"/>
  <c r="L162" i="1"/>
  <c r="G162" i="1"/>
  <c r="H162" i="1"/>
  <c r="E162" i="1"/>
  <c r="L161" i="1"/>
  <c r="G161" i="1"/>
  <c r="H161" i="1"/>
  <c r="E161" i="1"/>
  <c r="AB160" i="1"/>
  <c r="W160" i="1"/>
  <c r="R160" i="1"/>
  <c r="L160" i="1"/>
  <c r="G160" i="1"/>
  <c r="H160" i="1"/>
  <c r="E160" i="1"/>
  <c r="L159" i="1"/>
  <c r="H159" i="1"/>
  <c r="E159" i="1"/>
  <c r="L158" i="1"/>
  <c r="G158" i="1"/>
  <c r="H158" i="1"/>
  <c r="E158" i="1"/>
  <c r="AC157" i="1"/>
  <c r="AA157" i="1"/>
  <c r="V157" i="1"/>
  <c r="L157" i="1"/>
  <c r="G157" i="1"/>
  <c r="H157" i="1"/>
  <c r="E157" i="1"/>
  <c r="AI156" i="1"/>
  <c r="Z156" i="1"/>
  <c r="Q156" i="1"/>
  <c r="L156" i="1"/>
  <c r="G156" i="1"/>
  <c r="H156" i="1"/>
  <c r="E156" i="1"/>
  <c r="AE155" i="1"/>
  <c r="T155" i="1"/>
  <c r="L155" i="1"/>
  <c r="G155" i="1"/>
  <c r="H155" i="1"/>
  <c r="E155" i="1"/>
  <c r="V154" i="1"/>
  <c r="L154" i="1"/>
  <c r="G154" i="1"/>
  <c r="H154" i="1"/>
  <c r="E154" i="1"/>
  <c r="AC153" i="1"/>
  <c r="Z153" i="1"/>
  <c r="V153" i="1"/>
  <c r="Q153" i="1"/>
  <c r="L153" i="1"/>
  <c r="G153" i="1"/>
  <c r="H153" i="1"/>
  <c r="E153" i="1"/>
  <c r="Y152" i="1"/>
  <c r="T152" i="1"/>
  <c r="L152" i="1"/>
  <c r="G152" i="1"/>
  <c r="H152" i="1"/>
  <c r="E152" i="1"/>
  <c r="AD151" i="1"/>
  <c r="AB151" i="1"/>
  <c r="G151" i="1"/>
  <c r="H151" i="1"/>
  <c r="E151" i="1"/>
  <c r="AC150" i="1"/>
  <c r="AA150" i="1"/>
  <c r="T150" i="1"/>
  <c r="L150" i="1"/>
  <c r="G150" i="1"/>
  <c r="H150" i="1"/>
  <c r="E150" i="1"/>
  <c r="AD149" i="1"/>
  <c r="AB149" i="1"/>
  <c r="L149" i="1"/>
  <c r="G149" i="1"/>
  <c r="H149" i="1"/>
  <c r="E149" i="1"/>
  <c r="T148" i="1"/>
  <c r="L148" i="1"/>
  <c r="G148" i="1"/>
  <c r="H148" i="1"/>
  <c r="E148" i="1"/>
  <c r="R147" i="1"/>
  <c r="L147" i="1"/>
  <c r="G147" i="1"/>
  <c r="H147" i="1"/>
  <c r="E147" i="1"/>
  <c r="AC146" i="1"/>
  <c r="AA146" i="1"/>
  <c r="M146" i="1"/>
  <c r="L146" i="1"/>
  <c r="G146" i="1"/>
  <c r="H146" i="1"/>
  <c r="E146" i="1"/>
  <c r="AH145" i="1"/>
  <c r="AG145" i="1"/>
  <c r="AA145" i="1"/>
  <c r="X145" i="1"/>
  <c r="T145" i="1"/>
  <c r="S145" i="1"/>
  <c r="L145" i="1"/>
  <c r="G145" i="1"/>
  <c r="H145" i="1"/>
  <c r="E145" i="1"/>
  <c r="V144" i="1"/>
  <c r="L144" i="1"/>
  <c r="G144" i="1"/>
  <c r="H144" i="1"/>
  <c r="E144" i="1"/>
  <c r="AI143" i="1"/>
  <c r="AG143" i="1"/>
  <c r="AE143" i="1"/>
  <c r="V143" i="1"/>
  <c r="L143" i="1"/>
  <c r="G143" i="1"/>
  <c r="H143" i="1"/>
  <c r="E143" i="1"/>
  <c r="Z142" i="1"/>
  <c r="Q142" i="1"/>
  <c r="L142" i="1"/>
  <c r="G142" i="1"/>
  <c r="H142" i="1"/>
  <c r="E142" i="1"/>
  <c r="L141" i="1"/>
  <c r="G141" i="1"/>
  <c r="H141" i="1"/>
  <c r="E141" i="1"/>
  <c r="AF140" i="1"/>
  <c r="Z140" i="1"/>
  <c r="P140" i="1"/>
  <c r="L140" i="1"/>
  <c r="G140" i="1"/>
  <c r="H140" i="1"/>
  <c r="E140" i="1"/>
  <c r="AE139" i="1"/>
  <c r="Z139" i="1"/>
  <c r="Q139" i="1"/>
  <c r="L139" i="1"/>
  <c r="G139" i="1"/>
  <c r="H139" i="1"/>
  <c r="E139" i="1"/>
  <c r="AA138" i="1"/>
  <c r="Z138" i="1"/>
  <c r="Q138" i="1"/>
  <c r="L138" i="1"/>
  <c r="G138" i="1"/>
  <c r="H138" i="1"/>
  <c r="E138" i="1"/>
  <c r="U137" i="1"/>
  <c r="P137" i="1"/>
  <c r="N137" i="1"/>
  <c r="L137" i="1"/>
  <c r="G137" i="1"/>
  <c r="H137" i="1"/>
  <c r="E137" i="1"/>
  <c r="L136" i="1"/>
  <c r="G136" i="1"/>
  <c r="H136" i="1"/>
  <c r="E136" i="1"/>
  <c r="L135" i="1"/>
  <c r="G135" i="1"/>
  <c r="H135" i="1"/>
  <c r="E135" i="1"/>
  <c r="Y134" i="1"/>
  <c r="T134" i="1"/>
  <c r="L134" i="1"/>
  <c r="G134" i="1"/>
  <c r="H134" i="1"/>
  <c r="E134" i="1"/>
  <c r="L133" i="1"/>
  <c r="G133" i="1"/>
  <c r="H133" i="1"/>
  <c r="E133" i="1"/>
  <c r="V132" i="1"/>
  <c r="L132" i="1"/>
  <c r="G132" i="1"/>
  <c r="H132" i="1"/>
  <c r="E132" i="1"/>
  <c r="AE131" i="1"/>
  <c r="V131" i="1"/>
  <c r="L131" i="1"/>
  <c r="G131" i="1"/>
  <c r="H131" i="1"/>
  <c r="E131" i="1"/>
  <c r="AD130" i="1"/>
  <c r="AB130" i="1"/>
  <c r="L130" i="1"/>
  <c r="G130" i="1"/>
  <c r="H130" i="1"/>
  <c r="E130" i="1"/>
  <c r="Z129" i="1"/>
  <c r="G129" i="1"/>
  <c r="H129" i="1"/>
  <c r="E129" i="1"/>
  <c r="AH128" i="1"/>
  <c r="AG128" i="1"/>
  <c r="L128" i="1"/>
  <c r="G128" i="1"/>
  <c r="H128" i="1"/>
  <c r="E128" i="1"/>
  <c r="L127" i="1"/>
  <c r="G127" i="1"/>
  <c r="H127" i="1"/>
  <c r="E127" i="1"/>
  <c r="AE126" i="1"/>
  <c r="W126" i="1"/>
  <c r="Q126" i="1"/>
  <c r="L126" i="1"/>
  <c r="G126" i="1"/>
  <c r="H126" i="1"/>
  <c r="E126" i="1"/>
  <c r="W125" i="1"/>
  <c r="L125" i="1"/>
  <c r="G125" i="1"/>
  <c r="H125" i="1"/>
  <c r="E125" i="1"/>
  <c r="AC124" i="1"/>
  <c r="AA124" i="1"/>
  <c r="V124" i="1"/>
  <c r="L124" i="1"/>
  <c r="G124" i="1"/>
  <c r="H124" i="1"/>
  <c r="E124" i="1"/>
  <c r="Z123" i="1"/>
  <c r="W123" i="1"/>
  <c r="R123" i="1"/>
  <c r="L123" i="1"/>
  <c r="G123" i="1"/>
  <c r="H123" i="1"/>
  <c r="E123" i="1"/>
  <c r="Z122" i="1"/>
  <c r="V122" i="1"/>
  <c r="L122" i="1"/>
  <c r="G122" i="1"/>
  <c r="H122" i="1"/>
  <c r="E122" i="1"/>
  <c r="Y121" i="1"/>
  <c r="T121" i="1"/>
  <c r="L121" i="1"/>
  <c r="G121" i="1"/>
  <c r="H121" i="1"/>
  <c r="E121" i="1"/>
  <c r="AI120" i="1"/>
  <c r="AG120" i="1"/>
  <c r="AF120" i="1"/>
  <c r="Z120" i="1"/>
  <c r="U120" i="1"/>
  <c r="N120" i="1"/>
  <c r="L120" i="1"/>
  <c r="G120" i="1"/>
  <c r="H120" i="1"/>
  <c r="E120" i="1"/>
  <c r="AE119" i="1"/>
  <c r="AC119" i="1"/>
  <c r="AA119" i="1"/>
  <c r="V119" i="1"/>
  <c r="Q119" i="1"/>
  <c r="L119" i="1"/>
  <c r="G119" i="1"/>
  <c r="H119" i="1"/>
  <c r="E119" i="1"/>
  <c r="W118" i="1"/>
  <c r="R118" i="1"/>
  <c r="L118" i="1"/>
  <c r="G118" i="1"/>
  <c r="H118" i="1"/>
  <c r="E118" i="1"/>
  <c r="U117" i="1"/>
  <c r="N117" i="1"/>
  <c r="L117" i="1"/>
  <c r="G117" i="1"/>
  <c r="H117" i="1"/>
  <c r="E117" i="1"/>
  <c r="Z116" i="1"/>
  <c r="V116" i="1"/>
  <c r="L116" i="1"/>
  <c r="G116" i="1"/>
  <c r="H116" i="1"/>
  <c r="E116" i="1"/>
  <c r="Q115" i="1"/>
  <c r="L115" i="1"/>
  <c r="G115" i="1"/>
  <c r="H115" i="1"/>
  <c r="E115" i="1"/>
  <c r="L114" i="1"/>
  <c r="G114" i="1"/>
  <c r="H114" i="1"/>
  <c r="E114" i="1"/>
  <c r="L113" i="1"/>
  <c r="G113" i="1"/>
  <c r="H113" i="1"/>
  <c r="E113" i="1"/>
  <c r="Z112" i="1"/>
  <c r="L112" i="1"/>
  <c r="G112" i="1"/>
  <c r="H112" i="1"/>
  <c r="E112" i="1"/>
  <c r="AD111" i="1"/>
  <c r="AB111" i="1"/>
  <c r="Q111" i="1"/>
  <c r="L111" i="1"/>
  <c r="G111" i="1"/>
  <c r="H111" i="1"/>
  <c r="E111" i="1"/>
  <c r="AC110" i="1"/>
  <c r="AA110" i="1"/>
  <c r="V110" i="1"/>
  <c r="Q110" i="1"/>
  <c r="L110" i="1"/>
  <c r="G110" i="1"/>
  <c r="H110" i="1"/>
  <c r="E110" i="1"/>
  <c r="AE109" i="1"/>
  <c r="AC109" i="1"/>
  <c r="AA109" i="1"/>
  <c r="Z109" i="1"/>
  <c r="L109" i="1"/>
  <c r="G109" i="1"/>
  <c r="H109" i="1"/>
  <c r="E109" i="1"/>
  <c r="W108" i="1"/>
  <c r="Q108" i="1"/>
  <c r="L108" i="1"/>
  <c r="G108" i="1"/>
  <c r="H108" i="1"/>
  <c r="E108" i="1"/>
  <c r="AE107" i="1"/>
  <c r="AC107" i="1"/>
  <c r="AA107" i="1"/>
  <c r="Z107" i="1"/>
  <c r="V107" i="1"/>
  <c r="L107" i="1"/>
  <c r="G107" i="1"/>
  <c r="H107" i="1"/>
  <c r="E107" i="1"/>
  <c r="V106" i="1"/>
  <c r="L106" i="1"/>
  <c r="G106" i="1"/>
  <c r="H106" i="1"/>
  <c r="E106" i="1"/>
  <c r="L105" i="1"/>
  <c r="G105" i="1"/>
  <c r="H105" i="1"/>
  <c r="E105" i="1"/>
  <c r="V104" i="1"/>
  <c r="L104" i="1"/>
  <c r="G104" i="1"/>
  <c r="H104" i="1"/>
  <c r="E104" i="1"/>
  <c r="L103" i="1"/>
  <c r="G103" i="1"/>
  <c r="H103" i="1"/>
  <c r="E103" i="1"/>
  <c r="V102" i="1"/>
  <c r="L102" i="1"/>
  <c r="G102" i="1"/>
  <c r="H102" i="1"/>
  <c r="E102" i="1"/>
  <c r="AE101" i="1"/>
  <c r="V101" i="1"/>
  <c r="Q101" i="1"/>
  <c r="L101" i="1"/>
  <c r="G101" i="1"/>
  <c r="H101" i="1"/>
  <c r="E101" i="1"/>
  <c r="AB100" i="1"/>
  <c r="W100" i="1"/>
  <c r="L100" i="1"/>
  <c r="G100" i="1"/>
  <c r="H100" i="1"/>
  <c r="E100" i="1"/>
  <c r="Z99" i="1"/>
  <c r="L99" i="1"/>
  <c r="G99" i="1"/>
  <c r="H99" i="1"/>
  <c r="E99" i="1"/>
  <c r="L98" i="1"/>
  <c r="H98" i="1"/>
  <c r="E98" i="1"/>
  <c r="AE97" i="1"/>
  <c r="Z97" i="1"/>
  <c r="V97" i="1"/>
  <c r="G97" i="1"/>
  <c r="H97" i="1"/>
  <c r="E97" i="1"/>
  <c r="AE96" i="1"/>
  <c r="AC96" i="1"/>
  <c r="Z96" i="1"/>
  <c r="T96" i="1"/>
  <c r="L96" i="1"/>
  <c r="G96" i="1"/>
  <c r="H96" i="1"/>
  <c r="E96" i="1"/>
  <c r="L95" i="1"/>
  <c r="G95" i="1"/>
  <c r="H95" i="1"/>
  <c r="E95" i="1"/>
  <c r="L94" i="1"/>
  <c r="G94" i="1"/>
  <c r="H94" i="1"/>
  <c r="E94" i="1"/>
  <c r="AC93" i="1"/>
  <c r="AA93" i="1"/>
  <c r="Z93" i="1"/>
  <c r="V93" i="1"/>
  <c r="Q93" i="1"/>
  <c r="L93" i="1"/>
  <c r="G93" i="1"/>
  <c r="H93" i="1"/>
  <c r="E93" i="1"/>
  <c r="AA92" i="1"/>
  <c r="Z92" i="1"/>
  <c r="V92" i="1"/>
  <c r="T92" i="1"/>
  <c r="L92" i="1"/>
  <c r="G92" i="1"/>
  <c r="H92" i="1"/>
  <c r="E92" i="1"/>
  <c r="AE91" i="1"/>
  <c r="Z91" i="1"/>
  <c r="Q91" i="1"/>
  <c r="G91" i="1"/>
  <c r="H91" i="1"/>
  <c r="E91" i="1"/>
  <c r="AI90" i="1"/>
  <c r="X90" i="1"/>
  <c r="T90" i="1"/>
  <c r="L90" i="1"/>
  <c r="G90" i="1"/>
  <c r="H90" i="1"/>
  <c r="E90" i="1"/>
  <c r="AB89" i="1"/>
  <c r="W89" i="1"/>
  <c r="L89" i="1"/>
  <c r="G89" i="1"/>
  <c r="H89" i="1"/>
  <c r="E89" i="1"/>
  <c r="L88" i="1"/>
  <c r="G88" i="1"/>
  <c r="H88" i="1"/>
  <c r="E88" i="1"/>
  <c r="Z87" i="1"/>
  <c r="Q87" i="1"/>
  <c r="L87" i="1"/>
  <c r="G87" i="1"/>
  <c r="H87" i="1"/>
  <c r="E87" i="1"/>
  <c r="AI86" i="1"/>
  <c r="AH86" i="1"/>
  <c r="AG86" i="1"/>
  <c r="G86" i="1"/>
  <c r="H86" i="1"/>
  <c r="E86" i="1"/>
  <c r="AC85" i="1"/>
  <c r="AA85" i="1"/>
  <c r="Z85" i="1"/>
  <c r="V85" i="1"/>
  <c r="Q85" i="1"/>
  <c r="L85" i="1"/>
  <c r="G85" i="1"/>
  <c r="H85" i="1"/>
  <c r="E85" i="1"/>
  <c r="W84" i="1"/>
  <c r="R84" i="1"/>
  <c r="L84" i="1"/>
  <c r="G84" i="1"/>
  <c r="H84" i="1"/>
  <c r="E84" i="1"/>
  <c r="AE83" i="1"/>
  <c r="AC83" i="1"/>
  <c r="Z83" i="1"/>
  <c r="V83" i="1"/>
  <c r="Q83" i="1"/>
  <c r="L83" i="1"/>
  <c r="G83" i="1"/>
  <c r="H83" i="1"/>
  <c r="E83" i="1"/>
  <c r="L82" i="1"/>
  <c r="G82" i="1"/>
  <c r="H82" i="1"/>
  <c r="E82" i="1"/>
  <c r="AC81" i="1"/>
  <c r="AA81" i="1"/>
  <c r="Z81" i="1"/>
  <c r="V81" i="1"/>
  <c r="L81" i="1"/>
  <c r="G81" i="1"/>
  <c r="H81" i="1"/>
  <c r="E81" i="1"/>
  <c r="L80" i="1"/>
  <c r="G80" i="1"/>
  <c r="H80" i="1"/>
  <c r="E80" i="1"/>
  <c r="AD79" i="1"/>
  <c r="Z79" i="1"/>
  <c r="L79" i="1"/>
  <c r="G79" i="1"/>
  <c r="H79" i="1"/>
  <c r="E79" i="1"/>
  <c r="Z78" i="1"/>
  <c r="L78" i="1"/>
  <c r="G78" i="1"/>
  <c r="H78" i="1"/>
  <c r="E78" i="1"/>
  <c r="AE77" i="1"/>
  <c r="Q77" i="1"/>
  <c r="L77" i="1"/>
  <c r="G77" i="1"/>
  <c r="H77" i="1"/>
  <c r="E77" i="1"/>
  <c r="L76" i="1"/>
  <c r="G76" i="1"/>
  <c r="H76" i="1"/>
  <c r="E76" i="1"/>
  <c r="AE75" i="1"/>
  <c r="AC75" i="1"/>
  <c r="AA75" i="1"/>
  <c r="V75" i="1"/>
  <c r="T75" i="1"/>
  <c r="L75" i="1"/>
  <c r="G75" i="1"/>
  <c r="H75" i="1"/>
  <c r="E75" i="1"/>
  <c r="AC74" i="1"/>
  <c r="L74" i="1"/>
  <c r="G74" i="1"/>
  <c r="H74" i="1"/>
  <c r="E74" i="1"/>
  <c r="Z73" i="1"/>
  <c r="V73" i="1"/>
  <c r="L73" i="1"/>
  <c r="G73" i="1"/>
  <c r="H73" i="1"/>
  <c r="E73" i="1"/>
  <c r="L72" i="1"/>
  <c r="G72" i="1"/>
  <c r="H72" i="1"/>
  <c r="E72" i="1"/>
  <c r="AE71" i="1"/>
  <c r="Q71" i="1"/>
  <c r="L71" i="1"/>
  <c r="G71" i="1"/>
  <c r="H71" i="1"/>
  <c r="E71" i="1"/>
  <c r="Z70" i="1"/>
  <c r="W70" i="1"/>
  <c r="Q70" i="1"/>
  <c r="L70" i="1"/>
  <c r="G70" i="1"/>
  <c r="H70" i="1"/>
  <c r="E70" i="1"/>
  <c r="V69" i="1"/>
  <c r="Q69" i="1"/>
  <c r="G69" i="1"/>
  <c r="H69" i="1"/>
  <c r="E69" i="1"/>
  <c r="AI68" i="1"/>
  <c r="AC68" i="1"/>
  <c r="Z68" i="1"/>
  <c r="T68" i="1"/>
  <c r="L68" i="1"/>
  <c r="G68" i="1"/>
  <c r="H68" i="1"/>
  <c r="E68" i="1"/>
  <c r="L67" i="1"/>
  <c r="G67" i="1"/>
  <c r="H67" i="1"/>
  <c r="E67" i="1"/>
  <c r="AC66" i="1"/>
  <c r="AA66" i="1"/>
  <c r="Z66" i="1"/>
  <c r="G66" i="1"/>
  <c r="H66" i="1"/>
  <c r="E66" i="1"/>
  <c r="AE65" i="1"/>
  <c r="L65" i="1"/>
  <c r="G65" i="1"/>
  <c r="H65" i="1"/>
  <c r="E65" i="1"/>
  <c r="AI64" i="1"/>
  <c r="AG64" i="1"/>
  <c r="AA64" i="1"/>
  <c r="Z64" i="1"/>
  <c r="Y64" i="1"/>
  <c r="V64" i="1"/>
  <c r="T64" i="1"/>
  <c r="L64" i="1"/>
  <c r="G64" i="1"/>
  <c r="H64" i="1"/>
  <c r="E64" i="1"/>
  <c r="L63" i="1"/>
  <c r="G63" i="1"/>
  <c r="H63" i="1"/>
  <c r="E63" i="1"/>
  <c r="AD62" i="1"/>
  <c r="AB62" i="1"/>
  <c r="L62" i="1"/>
  <c r="G62" i="1"/>
  <c r="H62" i="1"/>
  <c r="E62" i="1"/>
  <c r="AA61" i="1"/>
  <c r="L61" i="1"/>
  <c r="G61" i="1"/>
  <c r="H61" i="1"/>
  <c r="E61" i="1"/>
  <c r="Z60" i="1"/>
  <c r="W60" i="1"/>
  <c r="L60" i="1"/>
  <c r="G60" i="1"/>
  <c r="H60" i="1"/>
  <c r="E60" i="1"/>
  <c r="AI59" i="1"/>
  <c r="AG59" i="1"/>
  <c r="U59" i="1"/>
  <c r="P59" i="1"/>
  <c r="N59" i="1"/>
  <c r="L59" i="1"/>
  <c r="G59" i="1"/>
  <c r="H59" i="1"/>
  <c r="E59" i="1"/>
  <c r="U58" i="1"/>
  <c r="P58" i="1"/>
  <c r="N58" i="1"/>
  <c r="L58" i="1"/>
  <c r="G58" i="1"/>
  <c r="H58" i="1"/>
  <c r="E58" i="1"/>
  <c r="AE57" i="1"/>
  <c r="Z57" i="1"/>
  <c r="Q57" i="1"/>
  <c r="L57" i="1"/>
  <c r="G57" i="1"/>
  <c r="H57" i="1"/>
  <c r="E57" i="1"/>
  <c r="L56" i="1"/>
  <c r="G56" i="1"/>
  <c r="H56" i="1"/>
  <c r="E56" i="1"/>
  <c r="AE55" i="1"/>
  <c r="Q55" i="1"/>
  <c r="L55" i="1"/>
  <c r="G55" i="1"/>
  <c r="H55" i="1"/>
  <c r="E55" i="1"/>
  <c r="AE54" i="1"/>
  <c r="AC54" i="1"/>
  <c r="AA54" i="1"/>
  <c r="V54" i="1"/>
  <c r="Q54" i="1"/>
  <c r="L54" i="1"/>
  <c r="G54" i="1"/>
  <c r="H54" i="1"/>
  <c r="E54" i="1"/>
  <c r="AI53" i="1"/>
  <c r="AG53" i="1"/>
  <c r="Y53" i="1"/>
  <c r="X53" i="1"/>
  <c r="V53" i="1"/>
  <c r="T53" i="1"/>
  <c r="L53" i="1"/>
  <c r="G53" i="1"/>
  <c r="H53" i="1"/>
  <c r="E53" i="1"/>
  <c r="AG52" i="1"/>
  <c r="AE52" i="1"/>
  <c r="Z52" i="1"/>
  <c r="Y52" i="1"/>
  <c r="V52" i="1"/>
  <c r="T52" i="1"/>
  <c r="L52" i="1"/>
  <c r="G52" i="1"/>
  <c r="H52" i="1"/>
  <c r="E52" i="1"/>
  <c r="AC51" i="1"/>
  <c r="AA51" i="1"/>
  <c r="L51" i="1"/>
  <c r="G51" i="1"/>
  <c r="H51" i="1"/>
  <c r="E51" i="1"/>
  <c r="W50" i="1"/>
  <c r="R50" i="1"/>
  <c r="L50" i="1"/>
  <c r="G50" i="1"/>
  <c r="H50" i="1"/>
  <c r="E50" i="1"/>
  <c r="AE49" i="1"/>
  <c r="Z49" i="1"/>
  <c r="V49" i="1"/>
  <c r="L49" i="1"/>
  <c r="G49" i="1"/>
  <c r="H49" i="1"/>
  <c r="E49" i="1"/>
  <c r="V48" i="1"/>
  <c r="L48" i="1"/>
  <c r="G48" i="1"/>
  <c r="H48" i="1"/>
  <c r="E48" i="1"/>
  <c r="AE47" i="1"/>
  <c r="V47" i="1"/>
  <c r="L47" i="1"/>
  <c r="G47" i="1"/>
  <c r="H47" i="1"/>
  <c r="E47" i="1"/>
  <c r="U46" i="1"/>
  <c r="N46" i="1"/>
  <c r="L46" i="1"/>
  <c r="G46" i="1"/>
  <c r="H46" i="1"/>
  <c r="E46" i="1"/>
  <c r="AE45" i="1"/>
  <c r="V45" i="1"/>
  <c r="L45" i="1"/>
  <c r="G45" i="1"/>
  <c r="H45" i="1"/>
  <c r="E45" i="1"/>
  <c r="AC44" i="1"/>
  <c r="V44" i="1"/>
  <c r="L44" i="1"/>
  <c r="G44" i="1"/>
  <c r="H44" i="1"/>
  <c r="E44" i="1"/>
  <c r="L43" i="1"/>
  <c r="G43" i="1"/>
  <c r="H43" i="1"/>
  <c r="E43" i="1"/>
  <c r="L42" i="1"/>
  <c r="G42" i="1"/>
  <c r="H42" i="1"/>
  <c r="E42" i="1"/>
  <c r="Y41" i="1"/>
  <c r="T41" i="1"/>
  <c r="L41" i="1"/>
  <c r="G41" i="1"/>
  <c r="H41" i="1"/>
  <c r="E41" i="1"/>
  <c r="L40" i="1"/>
  <c r="G40" i="1"/>
  <c r="H40" i="1"/>
  <c r="E40" i="1"/>
  <c r="U39" i="1"/>
  <c r="P39" i="1"/>
  <c r="N39" i="1"/>
  <c r="L39" i="1"/>
  <c r="G39" i="1"/>
  <c r="H39" i="1"/>
  <c r="E39" i="1"/>
  <c r="AC38" i="1"/>
  <c r="V38" i="1"/>
  <c r="L38" i="1"/>
  <c r="G38" i="1"/>
  <c r="H38" i="1"/>
  <c r="E38" i="1"/>
  <c r="AI37" i="1"/>
  <c r="AH37" i="1"/>
  <c r="Z37" i="1"/>
  <c r="U37" i="1"/>
  <c r="N37" i="1"/>
  <c r="L37" i="1"/>
  <c r="G37" i="1"/>
  <c r="H37" i="1"/>
  <c r="E37" i="1"/>
  <c r="L36" i="1"/>
  <c r="G36" i="1"/>
  <c r="H36" i="1"/>
  <c r="E36" i="1"/>
  <c r="V35" i="1"/>
  <c r="G35" i="1"/>
  <c r="H35" i="1"/>
  <c r="E35" i="1"/>
  <c r="AE34" i="1"/>
  <c r="T34" i="1"/>
  <c r="L34" i="1"/>
  <c r="G34" i="1"/>
  <c r="H34" i="1"/>
  <c r="E34" i="1"/>
  <c r="V33" i="1"/>
  <c r="L33" i="1"/>
  <c r="G33" i="1"/>
  <c r="H33" i="1"/>
  <c r="E33" i="1"/>
  <c r="V32" i="1"/>
  <c r="U32" i="1"/>
  <c r="N32" i="1"/>
  <c r="L32" i="1"/>
  <c r="G32" i="1"/>
  <c r="H32" i="1"/>
  <c r="E32" i="1"/>
  <c r="AE31" i="1"/>
  <c r="L31" i="1"/>
  <c r="G31" i="1"/>
  <c r="H31" i="1"/>
  <c r="E31" i="1"/>
  <c r="L30" i="1"/>
  <c r="H30" i="1"/>
  <c r="E30" i="1"/>
  <c r="L29" i="1"/>
  <c r="H29" i="1"/>
  <c r="E29" i="1"/>
  <c r="AE28" i="1"/>
  <c r="Q28" i="1"/>
  <c r="L28" i="1"/>
  <c r="G28" i="1"/>
  <c r="H28" i="1"/>
  <c r="E28" i="1"/>
  <c r="Z27" i="1"/>
  <c r="V27" i="1"/>
  <c r="L27" i="1"/>
  <c r="G27" i="1"/>
  <c r="H27" i="1"/>
  <c r="E27" i="1"/>
  <c r="V26" i="1"/>
  <c r="L26" i="1"/>
  <c r="G26" i="1"/>
  <c r="H26" i="1"/>
  <c r="E26" i="1"/>
  <c r="AE25" i="1"/>
  <c r="AC25" i="1"/>
  <c r="V25" i="1"/>
  <c r="L25" i="1"/>
  <c r="G25" i="1"/>
  <c r="H25" i="1"/>
  <c r="E25" i="1"/>
  <c r="AI24" i="1"/>
  <c r="AH24" i="1"/>
  <c r="T24" i="1"/>
  <c r="L24" i="1"/>
  <c r="G24" i="1"/>
  <c r="H24" i="1"/>
  <c r="E24" i="1"/>
  <c r="Y23" i="1"/>
  <c r="X23" i="1"/>
  <c r="T23" i="1"/>
  <c r="L23" i="1"/>
  <c r="G23" i="1"/>
  <c r="H23" i="1"/>
  <c r="E23" i="1"/>
  <c r="V22" i="1"/>
  <c r="L22" i="1"/>
  <c r="G22" i="1"/>
  <c r="H22" i="1"/>
  <c r="E22" i="1"/>
  <c r="L21" i="1"/>
  <c r="G21" i="1"/>
  <c r="H21" i="1"/>
  <c r="E21" i="1"/>
  <c r="AC20" i="1"/>
  <c r="AA20" i="1"/>
  <c r="T20" i="1"/>
  <c r="S20" i="1"/>
  <c r="L20" i="1"/>
  <c r="H20" i="1"/>
  <c r="E20" i="1"/>
  <c r="AI19" i="1"/>
  <c r="AH19" i="1"/>
  <c r="AG19" i="1"/>
  <c r="AC19" i="1"/>
  <c r="AA19" i="1"/>
  <c r="T19" i="1"/>
  <c r="L19" i="1"/>
  <c r="G19" i="1"/>
  <c r="H19" i="1"/>
  <c r="E19" i="1"/>
  <c r="AI18" i="1"/>
  <c r="AH18" i="1"/>
  <c r="AG18" i="1"/>
  <c r="Y18" i="1"/>
  <c r="X18" i="1"/>
  <c r="T18" i="1"/>
  <c r="L18" i="1"/>
  <c r="G18" i="1"/>
  <c r="H18" i="1"/>
  <c r="E18" i="1"/>
  <c r="T17" i="1"/>
  <c r="L17" i="1"/>
  <c r="G17" i="1"/>
  <c r="H17" i="1"/>
  <c r="E17" i="1"/>
  <c r="AG16" i="1"/>
  <c r="X16" i="1"/>
  <c r="T16" i="1"/>
  <c r="N16" i="1"/>
  <c r="L16" i="1"/>
  <c r="G16" i="1"/>
  <c r="H16" i="1"/>
  <c r="E16" i="1"/>
  <c r="T15" i="1"/>
  <c r="L15" i="1"/>
  <c r="G15" i="1"/>
  <c r="H15" i="1"/>
  <c r="E15" i="1"/>
  <c r="AI14" i="1"/>
  <c r="AH14" i="1"/>
  <c r="T14" i="1"/>
  <c r="S14" i="1"/>
  <c r="L14" i="1"/>
  <c r="G14" i="1"/>
  <c r="H14" i="1"/>
  <c r="E14" i="1"/>
  <c r="AC13" i="1"/>
  <c r="AA13" i="1"/>
  <c r="U13" i="1"/>
  <c r="N13" i="1"/>
  <c r="L13" i="1"/>
  <c r="G13" i="1"/>
  <c r="H13" i="1"/>
  <c r="E13" i="1"/>
  <c r="T12" i="1"/>
  <c r="S12" i="1"/>
  <c r="L12" i="1"/>
  <c r="G12" i="1"/>
  <c r="H12" i="1"/>
  <c r="E12" i="1"/>
  <c r="AE11" i="1"/>
  <c r="Z11" i="1"/>
  <c r="V11" i="1"/>
  <c r="L11" i="1"/>
  <c r="G11" i="1"/>
  <c r="H11" i="1"/>
  <c r="E11" i="1"/>
  <c r="T10" i="1"/>
  <c r="S10" i="1"/>
  <c r="L10" i="1"/>
  <c r="G10" i="1"/>
  <c r="H10" i="1"/>
  <c r="E10" i="1"/>
  <c r="AE9" i="1"/>
  <c r="AC9" i="1"/>
  <c r="AA9" i="1"/>
  <c r="L9" i="1"/>
  <c r="G9" i="1"/>
  <c r="H9" i="1"/>
  <c r="E9" i="1"/>
  <c r="T8" i="1"/>
  <c r="S8" i="1"/>
  <c r="L8" i="1"/>
  <c r="G8" i="1"/>
  <c r="H8" i="1"/>
  <c r="E8" i="1"/>
  <c r="V7" i="1"/>
  <c r="L7" i="1"/>
  <c r="G7" i="1"/>
  <c r="H7" i="1"/>
  <c r="E7" i="1"/>
  <c r="L6" i="1"/>
  <c r="G6" i="1"/>
  <c r="H6" i="1"/>
  <c r="E6" i="1"/>
  <c r="L5" i="1"/>
  <c r="G5" i="1"/>
  <c r="H5" i="1"/>
  <c r="E5" i="1"/>
  <c r="V4" i="1"/>
  <c r="L4" i="1"/>
  <c r="G4" i="1"/>
  <c r="H4" i="1"/>
  <c r="E4" i="1"/>
  <c r="L3" i="1"/>
  <c r="G3" i="1"/>
  <c r="H3" i="1"/>
  <c r="E3" i="1"/>
</calcChain>
</file>

<file path=xl/sharedStrings.xml><?xml version="1.0" encoding="utf-8"?>
<sst xmlns="http://schemas.openxmlformats.org/spreadsheetml/2006/main" count="2814" uniqueCount="1265">
  <si>
    <t>男子(SL)</t>
  </si>
  <si>
    <t>2015-2016</t>
  </si>
  <si>
    <t>大会PP</t>
    <rPh sb="0" eb="2">
      <t>タイカイ</t>
    </rPh>
    <phoneticPr fontId="2"/>
  </si>
  <si>
    <t>順位</t>
  </si>
  <si>
    <t>SAT競技者番号</t>
  </si>
  <si>
    <t>選手氏名</t>
  </si>
  <si>
    <t>団体名</t>
  </si>
  <si>
    <t>期中ポイント</t>
  </si>
  <si>
    <t>期中Fig</t>
  </si>
  <si>
    <t>調整前</t>
    <rPh sb="0" eb="2">
      <t>チョウセイ</t>
    </rPh>
    <rPh sb="2" eb="3">
      <t>マエ</t>
    </rPh>
    <phoneticPr fontId="2"/>
  </si>
  <si>
    <t>期末ポイント</t>
  </si>
  <si>
    <t>期末Fig</t>
  </si>
  <si>
    <t>適用パターン</t>
  </si>
  <si>
    <t>最終登録年度</t>
  </si>
  <si>
    <t>前年度ポイント</t>
  </si>
  <si>
    <t>⑥関東チルドレン２（木島） 男子Ａ・Ｂ・Ｋ１</t>
    <phoneticPr fontId="2"/>
  </si>
  <si>
    <t>⑥関東チルドレン２（木島） 男子Ｋ２</t>
    <phoneticPr fontId="2"/>
  </si>
  <si>
    <t>⑦　関東チルドレン 男子Ｋ１</t>
  </si>
  <si>
    <t>⑦　関東チルドレン 男子Ｋ２</t>
  </si>
  <si>
    <t>⑧関東マスターズ（野沢） 男子Ａ</t>
    <phoneticPr fontId="2"/>
  </si>
  <si>
    <t>⑧関東マスターズ（野沢） 男子Ｂ</t>
    <phoneticPr fontId="2"/>
  </si>
  <si>
    <t>⑯　全国高校予選（選考会） 男子</t>
  </si>
  <si>
    <t>⑯　全国高校予選（本大会） 男子</t>
  </si>
  <si>
    <t>⑰　全中予選 男子</t>
  </si>
  <si>
    <t>⑱　ＷＳＣ選手権 男子</t>
  </si>
  <si>
    <t>⑱　ＷＳＣ選手権 男子Ｍ</t>
  </si>
  <si>
    <t>⑲　都高校（選考会） 男子</t>
  </si>
  <si>
    <t>⑲　都高校（本大会） 男子</t>
  </si>
  <si>
    <t>⑳　野辺山 男子</t>
  </si>
  <si>
    <t>㉑フソウＣｕｐ（第一戦） 男子</t>
    <phoneticPr fontId="2"/>
  </si>
  <si>
    <t>㉑フソウＣｕｐ（第一戦） 男子Ｍ</t>
    <phoneticPr fontId="2"/>
  </si>
  <si>
    <t>㉑フソウＣｕｐ（第ニ戦） 男子</t>
    <phoneticPr fontId="2"/>
  </si>
  <si>
    <t>㉑フソウＣｕｐ（第ニ戦） 男子Ｍ</t>
    <phoneticPr fontId="2"/>
  </si>
  <si>
    <t>㉒アルペン複合 男子</t>
    <phoneticPr fontId="2"/>
  </si>
  <si>
    <t>㉒アルペン複合 男子CL</t>
    <phoneticPr fontId="2"/>
  </si>
  <si>
    <t>㉓春季高校（競技会） 男子</t>
    <rPh sb="1" eb="3">
      <t>シュンキ</t>
    </rPh>
    <phoneticPr fontId="2"/>
  </si>
  <si>
    <t>㉓春季高校（選考会） 男子</t>
    <rPh sb="1" eb="3">
      <t>シュンキ</t>
    </rPh>
    <phoneticPr fontId="2"/>
  </si>
  <si>
    <t>㉓春季高校（本大会） 男子</t>
    <rPh sb="1" eb="3">
      <t>シュンキ</t>
    </rPh>
    <phoneticPr fontId="2"/>
  </si>
  <si>
    <t>高原 悠綺</t>
  </si>
  <si>
    <t>Ｚスキークラブ</t>
  </si>
  <si>
    <t>*</t>
  </si>
  <si>
    <t>大髙 裕生</t>
  </si>
  <si>
    <t>ラッチ（RACH)</t>
  </si>
  <si>
    <t>①</t>
  </si>
  <si>
    <t>萩生田 博之</t>
  </si>
  <si>
    <t>ＩＣＩ石井スポーツスキークラブ</t>
  </si>
  <si>
    <t>木村 翔馬</t>
  </si>
  <si>
    <t>東京スポーツマンクラブ</t>
  </si>
  <si>
    <t>伴 健太郎</t>
  </si>
  <si>
    <t>成城スキークラブ</t>
  </si>
  <si>
    <t>永田 嵐</t>
  </si>
  <si>
    <t>東京都高等学校体育連盟スキー部</t>
  </si>
  <si>
    <t>坂本 貴優</t>
  </si>
  <si>
    <t>福岡 利悦</t>
  </si>
  <si>
    <t>坂内 友岳</t>
  </si>
  <si>
    <t>ディップス スキークラブ</t>
  </si>
  <si>
    <t>鈴木 修太郎</t>
  </si>
  <si>
    <t>宮脇 駿</t>
  </si>
  <si>
    <t>東京都中学校体育連盟スキー部</t>
  </si>
  <si>
    <t>増田 蒼</t>
  </si>
  <si>
    <t>松田 笙太郎</t>
  </si>
  <si>
    <t>秋本 健太</t>
  </si>
  <si>
    <t>水木 汰世</t>
  </si>
  <si>
    <t>一ノ瀬 丞</t>
  </si>
  <si>
    <t>康野 皓嗣</t>
  </si>
  <si>
    <t>髙杉 豪</t>
  </si>
  <si>
    <t>スキーサークルスリム</t>
  </si>
  <si>
    <t>〇</t>
    <phoneticPr fontId="2"/>
  </si>
  <si>
    <t>境 悠太</t>
  </si>
  <si>
    <t>荒井 元気</t>
  </si>
  <si>
    <t>清瀬スキー倶楽部</t>
  </si>
  <si>
    <t>栗山 一輝</t>
  </si>
  <si>
    <t>萩生田 純宇</t>
  </si>
  <si>
    <t>湯口 暁</t>
  </si>
  <si>
    <t>ＧＯＤレーシング</t>
  </si>
  <si>
    <t>福田 智弘</t>
  </si>
  <si>
    <t>杉並区スキー連盟</t>
  </si>
  <si>
    <t>日留川 領介</t>
  </si>
  <si>
    <t>小林 弘典</t>
  </si>
  <si>
    <t>二十日石アルペンスキークラブ</t>
  </si>
  <si>
    <t>片野 景太</t>
  </si>
  <si>
    <t>篠原 広大</t>
  </si>
  <si>
    <t>峰咲 誠弥</t>
  </si>
  <si>
    <t>鈴木 一生</t>
  </si>
  <si>
    <t>吉川 剛志</t>
  </si>
  <si>
    <t>シール・クラブ</t>
  </si>
  <si>
    <t>木村 知仁</t>
  </si>
  <si>
    <t>齋木 秀哉</t>
  </si>
  <si>
    <t>若葉スキークラブ</t>
  </si>
  <si>
    <t>瓦井 海年</t>
  </si>
  <si>
    <t>西山 陸斗</t>
  </si>
  <si>
    <t>後藤 和海</t>
  </si>
  <si>
    <t>エスプーマスキーチーム</t>
  </si>
  <si>
    <t>森下 颯大</t>
  </si>
  <si>
    <t>手塚 雅貴</t>
  </si>
  <si>
    <t>日本アルペンスキークラブ</t>
  </si>
  <si>
    <t>西尾 一輝</t>
  </si>
  <si>
    <t>村山 高志</t>
  </si>
  <si>
    <t>三鷹市スキー連盟</t>
  </si>
  <si>
    <t>小松原 誠</t>
  </si>
  <si>
    <t>チーム　ラッシュ</t>
  </si>
  <si>
    <t>横山 省</t>
  </si>
  <si>
    <t>チーム フォン (TEAM VON)</t>
  </si>
  <si>
    <t>林 幸司</t>
  </si>
  <si>
    <t>岡本 龍</t>
  </si>
  <si>
    <t>武井 哲応</t>
  </si>
  <si>
    <t>港区スキー連盟</t>
  </si>
  <si>
    <t>市川 隼也</t>
  </si>
  <si>
    <t>ベラーク</t>
  </si>
  <si>
    <t>伊藤 裕行</t>
  </si>
  <si>
    <t>ＭＡＸＩＭＵＭスキーチーム</t>
  </si>
  <si>
    <t>山田 節夫</t>
  </si>
  <si>
    <t>世田谷区スキー協会</t>
  </si>
  <si>
    <t>片山 亮志</t>
  </si>
  <si>
    <t>青木 智洋</t>
  </si>
  <si>
    <t>吉武 竜輝</t>
  </si>
  <si>
    <t>吉澤 雅晴</t>
  </si>
  <si>
    <t>エーデル・スキー・クラブ</t>
  </si>
  <si>
    <t>清水 靖男</t>
  </si>
  <si>
    <t>カンダハートライブ レーシング</t>
  </si>
  <si>
    <t>西原 駿介</t>
  </si>
  <si>
    <t>市川 知宏</t>
  </si>
  <si>
    <t>平野 颯人</t>
  </si>
  <si>
    <t>市川 岳海</t>
  </si>
  <si>
    <t>佐藤 善紀</t>
  </si>
  <si>
    <t>町田市スキー連盟</t>
  </si>
  <si>
    <t>神山 大樹</t>
  </si>
  <si>
    <t>ユーエスエムアール</t>
  </si>
  <si>
    <t>堀尾 和正</t>
  </si>
  <si>
    <t>ヴェーデルンスキークラブ</t>
  </si>
  <si>
    <t>宇佐見 裕</t>
  </si>
  <si>
    <t>スラロームスキークラブ</t>
  </si>
  <si>
    <t>窪島 竜太</t>
  </si>
  <si>
    <t>須賀 亮太</t>
  </si>
  <si>
    <t>山中 駿</t>
  </si>
  <si>
    <t>小木曽 翔</t>
  </si>
  <si>
    <t>府中市スキー連盟</t>
  </si>
  <si>
    <t>早道 奏喜</t>
  </si>
  <si>
    <t>瀬田 昌彦</t>
  </si>
  <si>
    <t>グランバン・レーシング</t>
  </si>
  <si>
    <t>福岡 秀幸</t>
  </si>
  <si>
    <t>吉川 昌宏</t>
  </si>
  <si>
    <t>日下部 卓哉</t>
  </si>
  <si>
    <t>服部 正史</t>
  </si>
  <si>
    <t>ジーファクトリー</t>
  </si>
  <si>
    <t>荒井 祐治</t>
  </si>
  <si>
    <t>モンタナスキークラブ</t>
  </si>
  <si>
    <t>志村 康太</t>
  </si>
  <si>
    <t>相馬 悟</t>
  </si>
  <si>
    <t>江頭 至光</t>
  </si>
  <si>
    <t>バモススキークラブ</t>
  </si>
  <si>
    <t>渕脇 滉太</t>
  </si>
  <si>
    <t>野辺山スキークラブ</t>
  </si>
  <si>
    <t>吉田 裕</t>
  </si>
  <si>
    <t>梅沢 望</t>
  </si>
  <si>
    <t>アートスポーツスキークラブ</t>
  </si>
  <si>
    <t>岡田 勝義</t>
  </si>
  <si>
    <t>須藤 公貴</t>
  </si>
  <si>
    <t>バディスポーツクラブ</t>
  </si>
  <si>
    <t>佐藤 太朗</t>
  </si>
  <si>
    <t>藤枝 良男</t>
  </si>
  <si>
    <t>星野 英郎</t>
  </si>
  <si>
    <t>ゲインレーシングチーム</t>
  </si>
  <si>
    <t>山口 礼雅</t>
  </si>
  <si>
    <t>川口 一司</t>
  </si>
  <si>
    <t>スキー愛好会プルーク</t>
  </si>
  <si>
    <t>大西 拓磨</t>
  </si>
  <si>
    <t>八久保 幸夫</t>
  </si>
  <si>
    <t>新宿スキークラブ</t>
  </si>
  <si>
    <t>前田 湧作</t>
  </si>
  <si>
    <t>木島 秀夫</t>
  </si>
  <si>
    <t>JFEスチールスキー部</t>
  </si>
  <si>
    <t>上野 雄平</t>
  </si>
  <si>
    <t>篠塚 成輝</t>
  </si>
  <si>
    <t>スキーチームアスリート</t>
  </si>
  <si>
    <t>村上 雅也</t>
  </si>
  <si>
    <t>髙杉 怜央</t>
  </si>
  <si>
    <t>本山 貴大</t>
  </si>
  <si>
    <t>酒井 貴弘</t>
  </si>
  <si>
    <t>中野区スキー協会</t>
  </si>
  <si>
    <t>松宮 弘忠</t>
  </si>
  <si>
    <t>大野 兼司</t>
  </si>
  <si>
    <t>ステューピッドスキークラブ</t>
  </si>
  <si>
    <t>大江 健嗣</t>
  </si>
  <si>
    <t>多摩市スキー連盟</t>
  </si>
  <si>
    <t>石川 忠良</t>
  </si>
  <si>
    <t>福嶋 剛</t>
  </si>
  <si>
    <t>チーム・ビートゥー・ゼット</t>
  </si>
  <si>
    <t>野々山 淳</t>
  </si>
  <si>
    <t>武蔵野市スキー連盟</t>
  </si>
  <si>
    <t>小宮 章弘</t>
  </si>
  <si>
    <t>大内 武彦</t>
  </si>
  <si>
    <t>特別区職員文化体育会スキー部</t>
  </si>
  <si>
    <t>山田 裕之</t>
  </si>
  <si>
    <t>村本 成洋</t>
  </si>
  <si>
    <t>サウンズスキークラブ</t>
  </si>
  <si>
    <t>丸山 貴宏</t>
  </si>
  <si>
    <t>スノースケープ</t>
  </si>
  <si>
    <t>大平 誠</t>
  </si>
  <si>
    <t>澤田 健</t>
  </si>
  <si>
    <t>高柳 良大</t>
  </si>
  <si>
    <t>関谷 隼太郎</t>
  </si>
  <si>
    <t>山内 健輔</t>
  </si>
  <si>
    <t>紀 晃太</t>
  </si>
  <si>
    <t>アシックス・スキークラブ</t>
  </si>
  <si>
    <t>干場 英城</t>
  </si>
  <si>
    <t>秋元 嘉幸</t>
  </si>
  <si>
    <t>スノーウインドスキークラブ</t>
  </si>
  <si>
    <t>小池 泰介</t>
  </si>
  <si>
    <t>梅原 久</t>
  </si>
  <si>
    <t>野原 徹雄</t>
  </si>
  <si>
    <t>ウィッツ</t>
  </si>
  <si>
    <t>摠谷 怜隼</t>
  </si>
  <si>
    <t>石井 啓太</t>
  </si>
  <si>
    <t>浅輪 景一</t>
  </si>
  <si>
    <t>川上 光一</t>
  </si>
  <si>
    <t>秋山 航一</t>
  </si>
  <si>
    <t>山本 秀作</t>
  </si>
  <si>
    <t>宮崎 浩</t>
  </si>
  <si>
    <t>手塚 達也</t>
  </si>
  <si>
    <t>竹本 圭佑</t>
  </si>
  <si>
    <t>豊島 昂太</t>
  </si>
  <si>
    <t>東京デフスキークラブ</t>
  </si>
  <si>
    <t>齋藤 祐司</t>
  </si>
  <si>
    <t>中村 光宏</t>
  </si>
  <si>
    <t>竹内 明</t>
  </si>
  <si>
    <t>鈴木 鷹平</t>
  </si>
  <si>
    <t>ジャスク</t>
  </si>
  <si>
    <t>浅野 颯太</t>
  </si>
  <si>
    <t>横田 剛直</t>
  </si>
  <si>
    <t>ヌプリスキー同人</t>
  </si>
  <si>
    <t>山口 典宏</t>
  </si>
  <si>
    <t>丸沼高原レーシングクラブ</t>
  </si>
  <si>
    <t>吉澤 采佑</t>
  </si>
  <si>
    <t>高橋 智也</t>
  </si>
  <si>
    <t>ヴァイス・ホルン</t>
  </si>
  <si>
    <t>入江 哲郎</t>
  </si>
  <si>
    <t>髙井 勇翔</t>
  </si>
  <si>
    <t>鈴木 望</t>
  </si>
  <si>
    <t>武井 克己</t>
  </si>
  <si>
    <t>幸得 凌大</t>
  </si>
  <si>
    <t>戸祭 修平</t>
  </si>
  <si>
    <t>高橋 勇太郎</t>
  </si>
  <si>
    <t>宮脇 瞭</t>
  </si>
  <si>
    <t>星 勝実</t>
  </si>
  <si>
    <t>練馬区スキー協会</t>
  </si>
  <si>
    <t>鈴木 朋哉</t>
  </si>
  <si>
    <t>井上 雅博</t>
  </si>
  <si>
    <t>葛飾区スキー連盟</t>
  </si>
  <si>
    <t>上村 黎</t>
  </si>
  <si>
    <t>城田 伸也</t>
  </si>
  <si>
    <t>今野 太朗</t>
  </si>
  <si>
    <t>廣作 拓郎</t>
  </si>
  <si>
    <t>馬場 健哉</t>
  </si>
  <si>
    <t>小平市スキー連盟</t>
  </si>
  <si>
    <t>髙橋 雄司</t>
  </si>
  <si>
    <t>小沼 雄暉</t>
  </si>
  <si>
    <t>保江 佳克</t>
  </si>
  <si>
    <t>日立製作所本社スキー部</t>
  </si>
  <si>
    <t>西山 海斗</t>
  </si>
  <si>
    <t>松嶋 嶺</t>
  </si>
  <si>
    <t>阿部 謙一</t>
  </si>
  <si>
    <t>広瀬 逸郎</t>
  </si>
  <si>
    <t>川手 健太郎</t>
  </si>
  <si>
    <t>坂本 怜大</t>
  </si>
  <si>
    <t>チームディーエルベーハースキークラブ</t>
  </si>
  <si>
    <t>高杉 晋治</t>
  </si>
  <si>
    <t>康野 瑛嗣</t>
  </si>
  <si>
    <t>饗庭 佑亮</t>
  </si>
  <si>
    <t>小平 健太郎</t>
  </si>
  <si>
    <t>萩谷 芳朗</t>
  </si>
  <si>
    <t>天谷 祥吾</t>
  </si>
  <si>
    <t>頼光 竜二郎</t>
  </si>
  <si>
    <t>八王子スキー連盟</t>
  </si>
  <si>
    <t>井上 雅王</t>
  </si>
  <si>
    <t>中島 史晶</t>
  </si>
  <si>
    <t>河辺 敏郎</t>
  </si>
  <si>
    <t>前波 賢彦</t>
  </si>
  <si>
    <t>畑中 真一</t>
  </si>
  <si>
    <t>エコー・コムラード</t>
  </si>
  <si>
    <t>生形 嘉良</t>
  </si>
  <si>
    <t>ジューディッチ ロメオ</t>
  </si>
  <si>
    <t>工藤 亮太</t>
  </si>
  <si>
    <t>大塚 裕太</t>
  </si>
  <si>
    <t>小川 ルーク</t>
  </si>
  <si>
    <t>横山 真太郎</t>
  </si>
  <si>
    <t>アールビー　トウキョウ</t>
  </si>
  <si>
    <t>東谷 学由</t>
  </si>
  <si>
    <t>小林 秀太郎</t>
  </si>
  <si>
    <t>三田ディモンズクラブ</t>
  </si>
  <si>
    <t>中堀 孝宏</t>
  </si>
  <si>
    <t>板橋区スキー協会</t>
  </si>
  <si>
    <t>佐谷 青星</t>
  </si>
  <si>
    <t>大高 照平</t>
  </si>
  <si>
    <t>ミーナン シーフラ</t>
  </si>
  <si>
    <t>加藤 信一郎</t>
  </si>
  <si>
    <t>竹内 宇音</t>
  </si>
  <si>
    <t>東 雄二郎</t>
  </si>
  <si>
    <t>日紫喜 薫</t>
  </si>
  <si>
    <t>クオリティ・セブン</t>
  </si>
  <si>
    <t>近藤 英太</t>
  </si>
  <si>
    <t>吉野 尚恭</t>
  </si>
  <si>
    <t>大木 寛人</t>
  </si>
  <si>
    <t>岩谷 三兵</t>
  </si>
  <si>
    <t>小林 東次</t>
  </si>
  <si>
    <t>高橋 徹</t>
  </si>
  <si>
    <t>ヴィトラ・レーシングクラブ</t>
  </si>
  <si>
    <t>石井 哲也</t>
  </si>
  <si>
    <t>小池 和喜隆</t>
  </si>
  <si>
    <t>織部 翔</t>
  </si>
  <si>
    <t>馬場 雅哉</t>
  </si>
  <si>
    <t>神尾 昴雅</t>
  </si>
  <si>
    <t>河村 達哉</t>
  </si>
  <si>
    <t>新村 末雄</t>
  </si>
  <si>
    <t>斉藤 博幸</t>
  </si>
  <si>
    <t>田屋 裕範</t>
  </si>
  <si>
    <t>トルベ・コムラード</t>
  </si>
  <si>
    <t>ブルース クロフォード</t>
  </si>
  <si>
    <t>福田 凌介</t>
  </si>
  <si>
    <t>斎藤 充</t>
  </si>
  <si>
    <t>平松 直季</t>
  </si>
  <si>
    <t>亀山 詔一</t>
  </si>
  <si>
    <t>吉池 晋一</t>
  </si>
  <si>
    <t>香取 優斗</t>
  </si>
  <si>
    <t>今野 敬行</t>
  </si>
  <si>
    <t>村岡 幹</t>
  </si>
  <si>
    <t>木内 俊直</t>
  </si>
  <si>
    <t>栗原 渉</t>
  </si>
  <si>
    <t>中野 義達</t>
  </si>
  <si>
    <t>佐々木 健一</t>
  </si>
  <si>
    <t>奥村 英樹</t>
  </si>
  <si>
    <t>菅家 稔</t>
  </si>
  <si>
    <t>豊島区スキー協会</t>
  </si>
  <si>
    <t>野口 慧悟</t>
  </si>
  <si>
    <t>上村 爽</t>
  </si>
  <si>
    <t>山田 竜万</t>
  </si>
  <si>
    <t>田沢 慎吾</t>
  </si>
  <si>
    <t>鈴木 真</t>
  </si>
  <si>
    <t>田中 基</t>
  </si>
  <si>
    <t>金子 雅弘</t>
  </si>
  <si>
    <t>田中 亜留羽</t>
  </si>
  <si>
    <t>板羽 佑樹</t>
  </si>
  <si>
    <t>木村 久一</t>
  </si>
  <si>
    <t>東京消防庁スキー部</t>
  </si>
  <si>
    <t>松野 賢一</t>
  </si>
  <si>
    <t>竹山 晃司</t>
  </si>
  <si>
    <t>黒澤 俊平</t>
  </si>
  <si>
    <t>熊沢 明</t>
  </si>
  <si>
    <t>荒井 大地</t>
  </si>
  <si>
    <t>横内 善雄</t>
  </si>
  <si>
    <t>川口 幸太郎</t>
  </si>
  <si>
    <t>福原 力</t>
  </si>
  <si>
    <t>前田 将宏</t>
  </si>
  <si>
    <t>アスペンスキークラブ</t>
  </si>
  <si>
    <t>阿部 祐三</t>
  </si>
  <si>
    <t>加藤 禎博</t>
  </si>
  <si>
    <t>島田 喜久則</t>
  </si>
  <si>
    <t>粕谷 岳洋</t>
  </si>
  <si>
    <t>熊谷 和則</t>
  </si>
  <si>
    <t>山口 孝</t>
  </si>
  <si>
    <t>中村 剛之進</t>
  </si>
  <si>
    <t>小野 雄一</t>
  </si>
  <si>
    <t>谷 善樹</t>
  </si>
  <si>
    <t>福田 博文</t>
  </si>
  <si>
    <t>石渡 亮</t>
  </si>
  <si>
    <t>柴崎 功士</t>
  </si>
  <si>
    <t>工藤 直樹</t>
  </si>
  <si>
    <t>白崎 弘隆</t>
  </si>
  <si>
    <t>坂崎 一郎</t>
  </si>
  <si>
    <t>深澤 六男</t>
  </si>
  <si>
    <t>石川 利博</t>
  </si>
  <si>
    <t>ＮＴＴ東京スキー部</t>
  </si>
  <si>
    <t>臼田 大樹</t>
  </si>
  <si>
    <t>内山 祐一</t>
  </si>
  <si>
    <t>北原 貴太</t>
  </si>
  <si>
    <t>大武 正幸</t>
  </si>
  <si>
    <t>沼田 雅人</t>
  </si>
  <si>
    <t>福島 光伸</t>
  </si>
  <si>
    <t>鎮目 隆夫</t>
  </si>
  <si>
    <t>東久留米市スキー連盟</t>
  </si>
  <si>
    <t>重光 玄</t>
  </si>
  <si>
    <t>岡田 凌人</t>
  </si>
  <si>
    <t>河野 太郎</t>
  </si>
  <si>
    <t>中田 祐希</t>
  </si>
  <si>
    <t>古川 浩次</t>
  </si>
  <si>
    <t>山田 智明</t>
  </si>
  <si>
    <t>富久尾 真輝</t>
  </si>
  <si>
    <t>関 義男</t>
  </si>
  <si>
    <t>古川 信行</t>
  </si>
  <si>
    <t>中村 英樹</t>
  </si>
  <si>
    <t>ＮＥＣ府中スキー部</t>
  </si>
  <si>
    <t>川又 眞綱</t>
  </si>
  <si>
    <t>日本ユニシススキークラブ</t>
  </si>
  <si>
    <t>十河 義勝</t>
  </si>
  <si>
    <t>伊藤 拓美</t>
  </si>
  <si>
    <t>今野 太生</t>
  </si>
  <si>
    <t>山田 勝巳</t>
  </si>
  <si>
    <t>ホワイト・ベア・クラブ</t>
  </si>
  <si>
    <t>形屋 亮一</t>
  </si>
  <si>
    <t>有馬 卓郎</t>
  </si>
  <si>
    <t>ふくろうスキークラブ</t>
  </si>
  <si>
    <t>三原 蔵</t>
  </si>
  <si>
    <t>澤田 祐二</t>
  </si>
  <si>
    <t>ブランシェリースキー クローブ</t>
  </si>
  <si>
    <t>見波 弘</t>
  </si>
  <si>
    <t>栗林 一成</t>
  </si>
  <si>
    <t>笠間 桂次</t>
  </si>
  <si>
    <t>篠﨑 敏男</t>
  </si>
  <si>
    <t>星合 亮尚</t>
  </si>
  <si>
    <t>秦 憲伸</t>
  </si>
  <si>
    <t>水川 太貴</t>
  </si>
  <si>
    <t>星野 哲雄</t>
  </si>
  <si>
    <t>千代田区スキー協会</t>
  </si>
  <si>
    <t>小笠原 世亜</t>
  </si>
  <si>
    <t>滝沢 正</t>
  </si>
  <si>
    <t>佐竹 伸之</t>
  </si>
  <si>
    <t>高橋 廣</t>
  </si>
  <si>
    <t>林 良平</t>
  </si>
  <si>
    <t>森田 哲男</t>
  </si>
  <si>
    <t>北区スキー連盟</t>
  </si>
  <si>
    <t>片桐 哲夫</t>
  </si>
  <si>
    <t>スポーツファンクション</t>
  </si>
  <si>
    <t>高山 元成</t>
  </si>
  <si>
    <t>海山 智九</t>
  </si>
  <si>
    <t>神田 友義</t>
  </si>
  <si>
    <t>ＵＮＯスキークラブ</t>
  </si>
  <si>
    <t>松本 奏流</t>
  </si>
  <si>
    <t>東出 憲一</t>
  </si>
  <si>
    <t>江東区スキー連盟</t>
  </si>
  <si>
    <t>金田 和也</t>
  </si>
  <si>
    <t>清野 雅彦</t>
  </si>
  <si>
    <t>大沼 修</t>
  </si>
  <si>
    <t>城田 克也</t>
  </si>
  <si>
    <t>染谷 昌彦</t>
  </si>
  <si>
    <t>エスプリレーシング</t>
  </si>
  <si>
    <t>堂内 憲治</t>
  </si>
  <si>
    <t>柳川 誠一郎</t>
  </si>
  <si>
    <t>難波 昭信</t>
  </si>
  <si>
    <t>西川 建</t>
  </si>
  <si>
    <t>藤森 幸三</t>
  </si>
  <si>
    <t>山本 章太</t>
  </si>
  <si>
    <t>保坂 宙</t>
  </si>
  <si>
    <t>酒井 優希</t>
  </si>
  <si>
    <t>天野 学</t>
  </si>
  <si>
    <t>山本 悠人</t>
  </si>
  <si>
    <t>本間 敏夫</t>
  </si>
  <si>
    <t>小永井 徹</t>
  </si>
  <si>
    <t>山崎 菊治</t>
  </si>
  <si>
    <t>清水 悟</t>
  </si>
  <si>
    <t>粟津 健太</t>
  </si>
  <si>
    <t>伴 啓明</t>
  </si>
  <si>
    <t>佐藤 健児</t>
  </si>
  <si>
    <t>浅見 裕</t>
  </si>
  <si>
    <t>杉浦 仁</t>
  </si>
  <si>
    <t>三浦 雄輝</t>
  </si>
  <si>
    <t>伊藤 欣一</t>
  </si>
  <si>
    <t>永吉 冴綺</t>
  </si>
  <si>
    <t>谷延 愼司</t>
  </si>
  <si>
    <t>山田 範秀</t>
  </si>
  <si>
    <t>チロルスキークラブ</t>
  </si>
  <si>
    <t>塩沢 重利</t>
  </si>
  <si>
    <t>仲山スキークラブ</t>
  </si>
  <si>
    <t>八嶋 洋一</t>
  </si>
  <si>
    <t>降旗 周二</t>
  </si>
  <si>
    <t>大田区役所スキー部</t>
  </si>
  <si>
    <t>眞鍋 一樹</t>
  </si>
  <si>
    <t>増田 卓郎</t>
  </si>
  <si>
    <t>奥村 俊文</t>
  </si>
  <si>
    <t>嶋川 憲治</t>
  </si>
  <si>
    <t>渡辺 光</t>
  </si>
  <si>
    <t>若山 俊郎</t>
  </si>
  <si>
    <t>青梅市スキー連盟</t>
  </si>
  <si>
    <t>宮内 隆</t>
  </si>
  <si>
    <t>新名 将也</t>
  </si>
  <si>
    <t>梶原 龍之佑</t>
  </si>
  <si>
    <t>久和野 純也</t>
  </si>
  <si>
    <t>浅貝スキークラブ</t>
  </si>
  <si>
    <t>兎澤 孝義</t>
  </si>
  <si>
    <t>篠原 幾也</t>
  </si>
  <si>
    <t>アカデミースキークラブ</t>
  </si>
  <si>
    <t>前田 海</t>
  </si>
  <si>
    <t>長井 明</t>
  </si>
  <si>
    <t>ラブル・スキークラブ同人</t>
  </si>
  <si>
    <t>新川 健之</t>
  </si>
  <si>
    <t>池野 大介</t>
  </si>
  <si>
    <t>小川 竜司</t>
  </si>
  <si>
    <t>片山 恒次</t>
  </si>
  <si>
    <t>梅沢 進</t>
  </si>
  <si>
    <t>吉田 祥貴</t>
  </si>
  <si>
    <t>坂本 暁祐</t>
  </si>
  <si>
    <t>阿部 光一郎</t>
  </si>
  <si>
    <t>吉原 稔幸</t>
  </si>
  <si>
    <t>佐藤 大悟</t>
  </si>
  <si>
    <t>牧野 達朗</t>
  </si>
  <si>
    <t>渋谷区スキー連盟</t>
  </si>
  <si>
    <t>阿部 宗司</t>
  </si>
  <si>
    <t>久末 信行</t>
  </si>
  <si>
    <t>日本レーシングスキークラブ</t>
  </si>
  <si>
    <t>谷口 達彦</t>
  </si>
  <si>
    <t>紺谷 克昌</t>
  </si>
  <si>
    <t>寺島 伸一</t>
  </si>
  <si>
    <t>市村 隼人</t>
  </si>
  <si>
    <t>名取 秀悟</t>
  </si>
  <si>
    <t>吉川 秀文</t>
  </si>
  <si>
    <t>高橋 尚暉</t>
  </si>
  <si>
    <t>福岡 大知</t>
  </si>
  <si>
    <t>高田 昭</t>
  </si>
  <si>
    <t>尼崎 義郎</t>
  </si>
  <si>
    <t>遊佐 詔一</t>
  </si>
  <si>
    <t>控井 悠太</t>
  </si>
  <si>
    <t>新出 翔太</t>
  </si>
  <si>
    <t>星野 倭山</t>
  </si>
  <si>
    <t>三浦 一秋</t>
  </si>
  <si>
    <t>坂井 智和</t>
  </si>
  <si>
    <t>スノータンネットクラブ</t>
  </si>
  <si>
    <t>酒井 直希</t>
  </si>
  <si>
    <t>鈴木 麻生</t>
  </si>
  <si>
    <t>大久保 雅司</t>
  </si>
  <si>
    <t>大高 昇</t>
  </si>
  <si>
    <t>杉山 幹直</t>
  </si>
  <si>
    <t>白馬スキークラブ</t>
  </si>
  <si>
    <t>原 旭飛</t>
  </si>
  <si>
    <t>秦 義史</t>
  </si>
  <si>
    <t>鈴木 脩斗</t>
  </si>
  <si>
    <t>船田 博</t>
  </si>
  <si>
    <t>山内 直己</t>
  </si>
  <si>
    <t>角谷 航樹</t>
  </si>
  <si>
    <t>鈴木 岳人</t>
  </si>
  <si>
    <t>岡島 茂</t>
  </si>
  <si>
    <t>ノースウィンド  スキークラブ</t>
  </si>
  <si>
    <t>殿塚 崇央</t>
  </si>
  <si>
    <t>杉田 雅宏</t>
  </si>
  <si>
    <t>ラッセルスキークラブ</t>
  </si>
  <si>
    <t>平岡 一志</t>
  </si>
  <si>
    <t>松田 祐兒</t>
  </si>
  <si>
    <t>国府方 昭二</t>
  </si>
  <si>
    <t>松村 昌幸</t>
  </si>
  <si>
    <t>ペガーズスキークラブ</t>
  </si>
  <si>
    <t>島田 雄気</t>
  </si>
  <si>
    <t>青木 麗雅</t>
  </si>
  <si>
    <t>森川 勉</t>
  </si>
  <si>
    <t>石井 裕太</t>
  </si>
  <si>
    <t>深沢 伸朗</t>
  </si>
  <si>
    <t>ホリディスキークラブ</t>
  </si>
  <si>
    <t>芝 諒真</t>
  </si>
  <si>
    <t>沢井 伸</t>
  </si>
  <si>
    <t>斉藤 幸一</t>
  </si>
  <si>
    <t>濱野 真之</t>
  </si>
  <si>
    <t>相部 宇宙</t>
  </si>
  <si>
    <t>高橋 俊晴</t>
  </si>
  <si>
    <t>山田 修</t>
  </si>
  <si>
    <t>宇田 孝史</t>
  </si>
  <si>
    <t>松村 周平</t>
  </si>
  <si>
    <t>市村 昇</t>
  </si>
  <si>
    <t>大山 穂高</t>
  </si>
  <si>
    <t>佐藤 康紀</t>
  </si>
  <si>
    <t>平山 和成</t>
  </si>
  <si>
    <t>黒崎 信之</t>
  </si>
  <si>
    <t>東京アマチュア・スキー・クラブ</t>
  </si>
  <si>
    <t>増本 嵩</t>
  </si>
  <si>
    <t>野村 一貴</t>
  </si>
  <si>
    <t>横山 哲也</t>
  </si>
  <si>
    <t>東京アルム・スキークラブ</t>
  </si>
  <si>
    <t>佐々木 勇一</t>
  </si>
  <si>
    <t>佐藤 譲</t>
  </si>
  <si>
    <t>石野 雄一</t>
  </si>
  <si>
    <t>増田 隆男</t>
  </si>
  <si>
    <t>髙橋 幸男</t>
  </si>
  <si>
    <t>中村 将大</t>
  </si>
  <si>
    <t>堀江 玄一郎</t>
  </si>
  <si>
    <t>ツィールトウキョウ（Ｚieｌ Tokyo)</t>
  </si>
  <si>
    <t>清水 則雪</t>
  </si>
  <si>
    <t>宇田川 海輝</t>
  </si>
  <si>
    <t>中野 圭ニ</t>
  </si>
  <si>
    <t>中山 隼佑</t>
  </si>
  <si>
    <t>馬越 太朗</t>
  </si>
  <si>
    <t>高橋 誠</t>
  </si>
  <si>
    <t>サンダーグスキークラブ</t>
  </si>
  <si>
    <t>遠藤 辰朗</t>
  </si>
  <si>
    <t>門上 浩慈</t>
  </si>
  <si>
    <t>柏木 秀仁</t>
  </si>
  <si>
    <t>篠木 知</t>
  </si>
  <si>
    <t>吉田 裕治</t>
  </si>
  <si>
    <t>松山 光男</t>
  </si>
  <si>
    <t>太田 悠斗</t>
  </si>
  <si>
    <t>田中 賢一郎</t>
  </si>
  <si>
    <t>嵯峨野 太一</t>
  </si>
  <si>
    <t>田中 実希</t>
  </si>
  <si>
    <t>伊藤 正道</t>
  </si>
  <si>
    <t>清水 千悠人</t>
  </si>
  <si>
    <t>菊池 立身</t>
  </si>
  <si>
    <t>小林 廣行</t>
  </si>
  <si>
    <t>野中 走馬</t>
  </si>
  <si>
    <t>井上 裕大</t>
  </si>
  <si>
    <t>八重樫 一仁</t>
  </si>
  <si>
    <t>横山 周人</t>
  </si>
  <si>
    <t>瀬戸 信治</t>
  </si>
  <si>
    <t>兼松 聖</t>
  </si>
  <si>
    <t>東京ベーレンスキークラブ</t>
  </si>
  <si>
    <t>宮地 好彦</t>
  </si>
  <si>
    <t>深見 国興</t>
  </si>
  <si>
    <t>クラシックスキークラブ</t>
  </si>
  <si>
    <t>湯浅 統大</t>
  </si>
  <si>
    <t>アルピナグループ</t>
  </si>
  <si>
    <t>宇田 悠真</t>
  </si>
  <si>
    <t>山内 大一</t>
  </si>
  <si>
    <t>小瀬 嵩登</t>
  </si>
  <si>
    <t>佐藤 和彦</t>
  </si>
  <si>
    <t>青井 康徳</t>
  </si>
  <si>
    <t>望月 史</t>
  </si>
  <si>
    <t>雪桜会</t>
  </si>
  <si>
    <t>吉井 誠</t>
  </si>
  <si>
    <t>春日 悠杜</t>
  </si>
  <si>
    <t>飯塚 弥月</t>
  </si>
  <si>
    <t>是枝 祐太</t>
  </si>
  <si>
    <t>秋元 俊祐</t>
  </si>
  <si>
    <t>宮坂 優希</t>
  </si>
  <si>
    <t>山後 優治</t>
  </si>
  <si>
    <t>石井 晃</t>
  </si>
  <si>
    <t>久宗 克也</t>
  </si>
  <si>
    <t>橋本 寛</t>
  </si>
  <si>
    <t>孫 兆軒</t>
  </si>
  <si>
    <t>中村 重継</t>
  </si>
  <si>
    <t>緒方 健太郎</t>
  </si>
  <si>
    <t>瀬戸崎 健</t>
  </si>
  <si>
    <t>石井 久雄</t>
  </si>
  <si>
    <t>フロイデ・シー・グルッペ</t>
  </si>
  <si>
    <t>依田 真治</t>
  </si>
  <si>
    <t>石井 健嗣</t>
  </si>
  <si>
    <t>脇谷 柊司</t>
  </si>
  <si>
    <t>海部 圭史</t>
  </si>
  <si>
    <t>長谷川 春彦</t>
  </si>
  <si>
    <t>ＫＤＤＩスキークラブ</t>
  </si>
  <si>
    <t>伊藤 信幸</t>
  </si>
  <si>
    <t>中村 涼</t>
  </si>
  <si>
    <t>下坂 泰地</t>
  </si>
  <si>
    <t>長谷川 一弘</t>
  </si>
  <si>
    <t>立野 博之</t>
  </si>
  <si>
    <t>戸田 直人</t>
  </si>
  <si>
    <t>吉田 治彦</t>
  </si>
  <si>
    <t>田中 慈音</t>
  </si>
  <si>
    <t>浦井 芳洋</t>
  </si>
  <si>
    <t>大橋 拓真</t>
  </si>
  <si>
    <t>濱武 旺史</t>
  </si>
  <si>
    <t>田中 智樹</t>
  </si>
  <si>
    <t>山﨑 静雄</t>
  </si>
  <si>
    <t>髙橋 大喜</t>
  </si>
  <si>
    <t>柿内 隆</t>
  </si>
  <si>
    <t>井上 太雅</t>
  </si>
  <si>
    <t>山田 浩</t>
  </si>
  <si>
    <t>渡嘉敷 健</t>
  </si>
  <si>
    <t>鍋山 颯斗</t>
  </si>
  <si>
    <t>今村 郁男</t>
  </si>
  <si>
    <t>林 昭三</t>
  </si>
  <si>
    <t>トラームスキークラブ</t>
  </si>
  <si>
    <t>高津 義喜</t>
  </si>
  <si>
    <t>谷口 寿保　</t>
  </si>
  <si>
    <t>榎本 来飛</t>
  </si>
  <si>
    <t>池内 伸行</t>
  </si>
  <si>
    <t>潮 真也</t>
  </si>
  <si>
    <t>岡田 哲人</t>
  </si>
  <si>
    <t>島田 眞人</t>
  </si>
  <si>
    <t>菊地 敦</t>
  </si>
  <si>
    <t>木村 颯汰</t>
  </si>
  <si>
    <t>神野 登美夫</t>
  </si>
  <si>
    <t>柏木 直人</t>
  </si>
  <si>
    <t>佐川 真啓</t>
  </si>
  <si>
    <t>築地 貴之</t>
  </si>
  <si>
    <t>鈴木 啓太</t>
  </si>
  <si>
    <t>三原 颯</t>
  </si>
  <si>
    <t>正能 憲一</t>
  </si>
  <si>
    <t>東京スキー研究会</t>
  </si>
  <si>
    <t>岡本 宏和</t>
  </si>
  <si>
    <t>武蔵村山スキー協会</t>
  </si>
  <si>
    <t>関 晃</t>
  </si>
  <si>
    <t>金井 均</t>
  </si>
  <si>
    <t>小林 優斗</t>
  </si>
  <si>
    <t>松本 周大</t>
  </si>
  <si>
    <t>佐倉 昌弘</t>
  </si>
  <si>
    <t>島本 拓海</t>
  </si>
  <si>
    <t>中島 世生</t>
  </si>
  <si>
    <t>佐藤 久人</t>
  </si>
  <si>
    <t>廣田 香有</t>
  </si>
  <si>
    <t>堀川 廣</t>
  </si>
  <si>
    <t>飯山 堅介</t>
  </si>
  <si>
    <t>矢嶋 優樹</t>
  </si>
  <si>
    <t>鈴木 日出男</t>
  </si>
  <si>
    <t>黒田 伊久雄</t>
  </si>
  <si>
    <t>和田 蔵人</t>
  </si>
  <si>
    <t>秋庭 克行</t>
  </si>
  <si>
    <t>宮崎 真志</t>
  </si>
  <si>
    <t>今村 悠生</t>
  </si>
  <si>
    <t>小野澤 泰智</t>
  </si>
  <si>
    <t>新井 大介</t>
  </si>
  <si>
    <t>海部 圭伸</t>
  </si>
  <si>
    <t>田中 敏明</t>
  </si>
  <si>
    <t>安藤 太郎</t>
  </si>
  <si>
    <t>加藤 裕</t>
  </si>
  <si>
    <t>酒井 孝一</t>
  </si>
  <si>
    <t>西脇 義弘</t>
  </si>
  <si>
    <t>菅原 史考</t>
  </si>
  <si>
    <t>市河 宏章</t>
  </si>
  <si>
    <t>小野木 直人</t>
  </si>
  <si>
    <t>福室 心</t>
  </si>
  <si>
    <t>齋藤 裕樹</t>
  </si>
  <si>
    <t>渡部 柚友</t>
  </si>
  <si>
    <t>松本 和也</t>
  </si>
  <si>
    <t>副島 優太</t>
  </si>
  <si>
    <t>清水 遊</t>
  </si>
  <si>
    <t>植草 悠介</t>
  </si>
  <si>
    <t>三明 拓也</t>
  </si>
  <si>
    <t>兼子 祐弥</t>
  </si>
  <si>
    <t>押山 宏晃</t>
  </si>
  <si>
    <t>東京都庁体育会スキー部</t>
  </si>
  <si>
    <t>中川 圭介</t>
  </si>
  <si>
    <t>有嶋 慧一朗</t>
  </si>
  <si>
    <t>高橋 貞史</t>
  </si>
  <si>
    <t>吉野 康博</t>
  </si>
  <si>
    <t>倉田 龍介</t>
  </si>
  <si>
    <t>吉橋 裕貴</t>
  </si>
  <si>
    <t>立原 博</t>
  </si>
  <si>
    <t>Ｓ．Ｃ．コロポックル</t>
  </si>
  <si>
    <t>坂本 博史</t>
  </si>
  <si>
    <t>沢 正樹</t>
  </si>
  <si>
    <t>伊藤 肇</t>
  </si>
  <si>
    <t>大久保 聡</t>
  </si>
  <si>
    <t>髙橋 啓</t>
  </si>
  <si>
    <t>高見 淳</t>
  </si>
  <si>
    <t>皆川 真潤</t>
  </si>
  <si>
    <t>佐地 慶祐</t>
  </si>
  <si>
    <t>荻生 崚太郎</t>
  </si>
  <si>
    <t>亀井 勇希</t>
  </si>
  <si>
    <t>若木 陸真</t>
  </si>
  <si>
    <t>石崎 英文</t>
  </si>
  <si>
    <t>小林 忠裕</t>
  </si>
  <si>
    <t>渡辺 広信</t>
  </si>
  <si>
    <t>遅澤 瞭</t>
  </si>
  <si>
    <t>高橋 昌也</t>
  </si>
  <si>
    <t>ポールスタースキークラブ</t>
  </si>
  <si>
    <t>本広 春</t>
  </si>
  <si>
    <t>朝比奈 秀樹</t>
  </si>
  <si>
    <t>吉崎 陽介</t>
  </si>
  <si>
    <t>林 大耀</t>
  </si>
  <si>
    <t>梶野 真太郎</t>
  </si>
  <si>
    <t>小山 優生</t>
  </si>
  <si>
    <t>伊藤 吉彦</t>
  </si>
  <si>
    <t>柳澤 陽</t>
  </si>
  <si>
    <t>政木 隆史</t>
  </si>
  <si>
    <t>渡邊 嗣公</t>
  </si>
  <si>
    <t>控井 健太</t>
  </si>
  <si>
    <t>白嶺スキーチーム</t>
  </si>
  <si>
    <t>原田 翔馬</t>
  </si>
  <si>
    <t>福田 俊介</t>
  </si>
  <si>
    <t>甲田 聖志郎</t>
  </si>
  <si>
    <t>長瀬 好幸</t>
  </si>
  <si>
    <t>吉川 慶治郎</t>
  </si>
  <si>
    <t>吉田 尭</t>
  </si>
  <si>
    <t>一ノ瀬 迅</t>
  </si>
  <si>
    <t>スノーマン</t>
  </si>
  <si>
    <t>福室 直志</t>
  </si>
  <si>
    <t>松本 昭夫</t>
  </si>
  <si>
    <t>スカオイスキークラブ</t>
  </si>
  <si>
    <t>小泉 和秀</t>
  </si>
  <si>
    <t>大澤 伶威</t>
  </si>
  <si>
    <t>石川 賢一</t>
  </si>
  <si>
    <t>喜連 祐一</t>
  </si>
  <si>
    <t>吉田 正宏</t>
  </si>
  <si>
    <t>冨井 平</t>
  </si>
  <si>
    <t>西原 孝俊</t>
  </si>
  <si>
    <t>大中 友志</t>
  </si>
  <si>
    <t>寺田 正史</t>
  </si>
  <si>
    <t>吉成 雄輝</t>
  </si>
  <si>
    <t>小野寺 徹</t>
  </si>
  <si>
    <t>山田 紘淳</t>
  </si>
  <si>
    <t>清水 颯太</t>
  </si>
  <si>
    <t>齋藤 憲司</t>
  </si>
  <si>
    <t>田中 勇太朗</t>
  </si>
  <si>
    <t>川上 惇</t>
  </si>
  <si>
    <t>松澤 宏一</t>
  </si>
  <si>
    <t>能登 正之</t>
  </si>
  <si>
    <t>房野 泰人</t>
  </si>
  <si>
    <t>嶋村 翼</t>
  </si>
  <si>
    <t>藤 皓貴</t>
  </si>
  <si>
    <t>荒田 渓登</t>
  </si>
  <si>
    <t>安川 嘉敬</t>
  </si>
  <si>
    <t>飯岡 方春</t>
  </si>
  <si>
    <t>溝口 祥之介</t>
  </si>
  <si>
    <t>鈴木 崇理</t>
  </si>
  <si>
    <t>西川 将太郎</t>
  </si>
  <si>
    <t>武江 知寛</t>
  </si>
  <si>
    <t>逢坂 寛光</t>
  </si>
  <si>
    <t>辰巳 晶信</t>
  </si>
  <si>
    <t>近藤 哲</t>
  </si>
  <si>
    <t>重光 匡</t>
  </si>
  <si>
    <t>トムテ スキークラブ</t>
  </si>
  <si>
    <t>寺田 正弥</t>
  </si>
  <si>
    <t>村田 誠</t>
  </si>
  <si>
    <t>黒越 亮史</t>
  </si>
  <si>
    <t>藤郷 剣太郎</t>
  </si>
  <si>
    <t>池田 英昭</t>
  </si>
  <si>
    <t>千石 文夫</t>
  </si>
  <si>
    <t>遠藤 太郎</t>
  </si>
  <si>
    <t>花岡 正智</t>
  </si>
  <si>
    <t>永吉 洸綺</t>
  </si>
  <si>
    <t>蛭川 恒</t>
  </si>
  <si>
    <t>伊藤 庄一</t>
  </si>
  <si>
    <t>デモネージュスキークラブ</t>
  </si>
  <si>
    <t>大田 想楽</t>
  </si>
  <si>
    <t>花田 美生</t>
  </si>
  <si>
    <t>古賀 久國</t>
  </si>
  <si>
    <t>福田 創紀</t>
  </si>
  <si>
    <t>松原 健</t>
  </si>
  <si>
    <t>鳥海 悟</t>
  </si>
  <si>
    <t>安井 大毅</t>
  </si>
  <si>
    <t>宮地 建次</t>
  </si>
  <si>
    <t>吉田 哲平</t>
  </si>
  <si>
    <t>谷 啓</t>
  </si>
  <si>
    <t>福島 牧人</t>
  </si>
  <si>
    <t>半田 楓</t>
  </si>
  <si>
    <t>古市 隆一</t>
  </si>
  <si>
    <t>家村 凌平</t>
  </si>
  <si>
    <t>山本 泰士</t>
  </si>
  <si>
    <t>羽部 晃広</t>
  </si>
  <si>
    <t>髙橋 駿太</t>
  </si>
  <si>
    <t>阿部 裕崇</t>
  </si>
  <si>
    <t>内藤 寛貴</t>
  </si>
  <si>
    <t>島田 達之心</t>
  </si>
  <si>
    <t>八島 優太</t>
  </si>
  <si>
    <t>北村 優弥</t>
  </si>
  <si>
    <t>北村 明</t>
  </si>
  <si>
    <t>榎本 雄高</t>
  </si>
  <si>
    <t>杉崎 壽三男</t>
  </si>
  <si>
    <t>島田 勝男</t>
  </si>
  <si>
    <t>茨木 富貴</t>
  </si>
  <si>
    <t>仲山 俊夫</t>
  </si>
  <si>
    <t>野上 信悟</t>
  </si>
  <si>
    <t>星 貞清</t>
  </si>
  <si>
    <t>ウィンズスキークラブ</t>
  </si>
  <si>
    <t>後藤 寛</t>
  </si>
  <si>
    <t>シュアスキークラブ</t>
  </si>
  <si>
    <t>笹本 裕貴</t>
  </si>
  <si>
    <t>小内 翔太</t>
  </si>
  <si>
    <t>赤尾 豪宜</t>
  </si>
  <si>
    <t>佐藤 励</t>
  </si>
  <si>
    <t>無量小路 俊輔</t>
  </si>
  <si>
    <t>伊藤 信貴</t>
  </si>
  <si>
    <t>鈴木 尚人</t>
  </si>
  <si>
    <t>平田 昌範</t>
  </si>
  <si>
    <t>西塚 順</t>
  </si>
  <si>
    <t>鈴木 海渡</t>
  </si>
  <si>
    <t>加地 貴勝</t>
  </si>
  <si>
    <t>國井 高志</t>
  </si>
  <si>
    <t>外山 智士</t>
  </si>
  <si>
    <t>目黒 博雄</t>
  </si>
  <si>
    <t>杉本 明俊</t>
  </si>
  <si>
    <t>東京ミタカファーストスキークラブ</t>
  </si>
  <si>
    <t>蔵前 優生</t>
  </si>
  <si>
    <t>河端 邦洸</t>
  </si>
  <si>
    <t>野村 優太</t>
  </si>
  <si>
    <t>藤川 晏規</t>
  </si>
  <si>
    <t>河合 信太朗</t>
  </si>
  <si>
    <t>酒井 宙</t>
  </si>
  <si>
    <t>五月女 博英</t>
  </si>
  <si>
    <t>真次 晃央</t>
  </si>
  <si>
    <t>大森 春英</t>
  </si>
  <si>
    <t>大木 秀介</t>
  </si>
  <si>
    <t>高橋 大夢</t>
  </si>
  <si>
    <t>和田 純一</t>
  </si>
  <si>
    <t>根津 佑介</t>
  </si>
  <si>
    <t>新井 蔵人</t>
  </si>
  <si>
    <t>遠間 瑠吾</t>
  </si>
  <si>
    <t>小林 快翔</t>
  </si>
  <si>
    <t>角田 拓未</t>
  </si>
  <si>
    <t>渡邉 理久</t>
  </si>
  <si>
    <t>板倉 治男</t>
  </si>
  <si>
    <t>高橋 浩一</t>
  </si>
  <si>
    <t>三井 伸一</t>
  </si>
  <si>
    <t>相坂 祐樹</t>
  </si>
  <si>
    <t>高木 暦</t>
  </si>
  <si>
    <t>高橋 遼太</t>
  </si>
  <si>
    <t>柴田 大斗</t>
  </si>
  <si>
    <t>髙山 智弘</t>
  </si>
  <si>
    <t>里村 弘志</t>
  </si>
  <si>
    <t>ファイヤーレーシングチーム</t>
  </si>
  <si>
    <t>白木 伸行</t>
  </si>
  <si>
    <t>川崎 俊輔</t>
  </si>
  <si>
    <t>柳田 秀樹</t>
  </si>
  <si>
    <t>田村 孝嗣</t>
  </si>
  <si>
    <t>小山 昭司</t>
  </si>
  <si>
    <t>渡部 輝</t>
  </si>
  <si>
    <t>藤本 智仁</t>
  </si>
  <si>
    <t>萩原 隆之介</t>
  </si>
  <si>
    <t>大塚 公太</t>
  </si>
  <si>
    <t>佐藤 忠雄</t>
  </si>
  <si>
    <t>中林 憲吾</t>
  </si>
  <si>
    <t>三本 純也</t>
  </si>
  <si>
    <t>上野 歩夢</t>
  </si>
  <si>
    <t>滝沢 悠介</t>
  </si>
  <si>
    <t>河田 有生</t>
  </si>
  <si>
    <t>伊藤 匠人</t>
  </si>
  <si>
    <t>松村 優輝</t>
  </si>
  <si>
    <t>坂口 直弥</t>
  </si>
  <si>
    <t>市川 拓巳</t>
  </si>
  <si>
    <t>山口 直正</t>
  </si>
  <si>
    <t>針谷 清之</t>
  </si>
  <si>
    <t>網干 雄己</t>
  </si>
  <si>
    <t>石川 賢</t>
  </si>
  <si>
    <t>武下 真志</t>
  </si>
  <si>
    <t>島村 蒼天</t>
  </si>
  <si>
    <t>太田 和敏</t>
  </si>
  <si>
    <t>東京燕スキー倶楽部</t>
  </si>
  <si>
    <t>坂 和真</t>
  </si>
  <si>
    <t>鈴木 進一</t>
  </si>
  <si>
    <t>篠 誠</t>
  </si>
  <si>
    <t>加藤 弘大</t>
  </si>
  <si>
    <t>宮澤 慶</t>
  </si>
  <si>
    <t>峯山 陸</t>
  </si>
  <si>
    <t>木村 太星</t>
  </si>
  <si>
    <t>岡田 達弥</t>
  </si>
  <si>
    <t>豊野 悠次</t>
  </si>
  <si>
    <t>五味 信治</t>
  </si>
  <si>
    <t>藤田 英雄</t>
  </si>
  <si>
    <t>江川 周</t>
  </si>
  <si>
    <t>小和田 雄太</t>
  </si>
  <si>
    <t>新 芳嗣</t>
  </si>
  <si>
    <t>田中 成幸</t>
  </si>
  <si>
    <t>岡本 悟</t>
  </si>
  <si>
    <t>西崎 大悟</t>
  </si>
  <si>
    <t>田中 大成</t>
  </si>
  <si>
    <t>樋口 遼大</t>
  </si>
  <si>
    <t>藤田 冬馬</t>
  </si>
  <si>
    <t>土屋 昇大</t>
  </si>
  <si>
    <t>清水 泰成</t>
  </si>
  <si>
    <t>土居 昭</t>
  </si>
  <si>
    <t>大平 絢哉</t>
  </si>
  <si>
    <t>細川 祥</t>
  </si>
  <si>
    <t>高 祥一郎</t>
  </si>
  <si>
    <t>岩崎 隼也</t>
  </si>
  <si>
    <t>山田 孝夫</t>
  </si>
  <si>
    <t>星田 昌好</t>
  </si>
  <si>
    <t>山田 芽來</t>
  </si>
  <si>
    <t>三浦 篤</t>
  </si>
  <si>
    <t>濱野 弘大</t>
  </si>
  <si>
    <t>築地 照吉</t>
  </si>
  <si>
    <t>松田 浩太朗</t>
  </si>
  <si>
    <t>小島 陽介</t>
  </si>
  <si>
    <t>佐藤 稜</t>
  </si>
  <si>
    <t>小塩 慶人</t>
  </si>
  <si>
    <t>小林 大悟</t>
  </si>
  <si>
    <t>志摩 泰成</t>
  </si>
  <si>
    <t>櫻井 翔大</t>
  </si>
  <si>
    <t>大西 望</t>
  </si>
  <si>
    <t>原 有佑</t>
  </si>
  <si>
    <t>袴田 遼典</t>
  </si>
  <si>
    <t>川島 敏男</t>
  </si>
  <si>
    <t>福岡 賢人</t>
  </si>
  <si>
    <t>田村 優有</t>
  </si>
  <si>
    <t>濱元 拓実</t>
  </si>
  <si>
    <t>本多 祐介</t>
  </si>
  <si>
    <t>鈴木 蒼大</t>
  </si>
  <si>
    <t>畠山 茂信</t>
  </si>
  <si>
    <t>小野寺 真也</t>
  </si>
  <si>
    <t>山田 泰之進</t>
  </si>
  <si>
    <t>原田 健太朗</t>
  </si>
  <si>
    <t>荻生 紳太郎</t>
  </si>
  <si>
    <t>福岡 素志</t>
  </si>
  <si>
    <t>加藤 圭基</t>
  </si>
  <si>
    <t>小口 慶樹</t>
  </si>
  <si>
    <t>平山 陽之</t>
  </si>
  <si>
    <t>廣田 丈瑠</t>
  </si>
  <si>
    <t>土志田 進太郎</t>
  </si>
  <si>
    <t>殿村 幹也</t>
  </si>
  <si>
    <t>中村 泰寅</t>
  </si>
  <si>
    <t>畑 克哉</t>
  </si>
  <si>
    <t>足立 皓</t>
  </si>
  <si>
    <t>石井 勇太</t>
  </si>
  <si>
    <t>宮城 良佑</t>
  </si>
  <si>
    <t>重田 雅文</t>
  </si>
  <si>
    <t>須藤 琉心</t>
  </si>
  <si>
    <t>髙橋 孫一郎</t>
  </si>
  <si>
    <t>恩田 玲央</t>
  </si>
  <si>
    <t>家田 智也</t>
  </si>
  <si>
    <t>藤本 勇</t>
  </si>
  <si>
    <t>鷺 佳生人</t>
  </si>
  <si>
    <t>前田 泰佑</t>
  </si>
  <si>
    <t>堀 佑成</t>
  </si>
  <si>
    <t>佐藤 義隆</t>
  </si>
  <si>
    <t>日本エイトマンスキークラブ</t>
  </si>
  <si>
    <t>松矢 英晶</t>
  </si>
  <si>
    <t>佐藤 建太郎</t>
  </si>
  <si>
    <t>栗原 玲音</t>
  </si>
  <si>
    <t>鈴木 和惟</t>
  </si>
  <si>
    <t>槇 孝雄</t>
  </si>
  <si>
    <t>井下 聖葵</t>
  </si>
  <si>
    <t>森田 響</t>
  </si>
  <si>
    <t>森 智啓</t>
  </si>
  <si>
    <t>橋本 優吾</t>
  </si>
  <si>
    <t>松本 陽一</t>
  </si>
  <si>
    <t>佐藤 泰山</t>
  </si>
  <si>
    <t>根岸 拓生</t>
  </si>
  <si>
    <t>小瀧 康敏</t>
  </si>
  <si>
    <t>河西 悠登</t>
  </si>
  <si>
    <t>中村 孝</t>
  </si>
  <si>
    <t>伊藤 シン</t>
  </si>
  <si>
    <t>窪田 哲也</t>
  </si>
  <si>
    <t>赤川 琢人</t>
  </si>
  <si>
    <t>東垣内 牧男</t>
  </si>
  <si>
    <t>宮木 泰造</t>
  </si>
  <si>
    <t>伊藤 尚泰</t>
  </si>
  <si>
    <t>滝越 楓</t>
  </si>
  <si>
    <t>樋脇 雄飛</t>
  </si>
  <si>
    <t>飛山 龍ノ介</t>
  </si>
  <si>
    <t>山内 誠也</t>
  </si>
  <si>
    <t>安藤 来波</t>
  </si>
  <si>
    <t>寺瀬 克美</t>
  </si>
  <si>
    <t>志賀高原スキークラブ</t>
  </si>
  <si>
    <t>玉生 智久</t>
  </si>
  <si>
    <t>栗橋 優輔</t>
  </si>
  <si>
    <t>三浦 弘充</t>
  </si>
  <si>
    <t>武田 基秀</t>
  </si>
  <si>
    <t>大西 秀人</t>
  </si>
  <si>
    <t>柳澤 浩太</t>
  </si>
  <si>
    <t>佐高 健太</t>
  </si>
  <si>
    <t>金子 大翔</t>
  </si>
  <si>
    <t>根岸 大己</t>
  </si>
  <si>
    <t>黒田 義稀</t>
  </si>
  <si>
    <t>佐久間 大輔</t>
  </si>
  <si>
    <t>松平 親保</t>
  </si>
  <si>
    <t>桜木 礼人</t>
  </si>
  <si>
    <t>立川 健介</t>
  </si>
  <si>
    <t>山本 義之</t>
  </si>
  <si>
    <t>上原 大樹</t>
  </si>
  <si>
    <t>野邊 倭</t>
  </si>
  <si>
    <t>羽村 悠樹</t>
  </si>
  <si>
    <t>富岡 宏太朗</t>
  </si>
  <si>
    <t>岩本 茂</t>
  </si>
  <si>
    <t>小田島 孝</t>
  </si>
  <si>
    <t>山田 琥太郎</t>
  </si>
  <si>
    <t>天野 旭雅</t>
  </si>
  <si>
    <t>三賀山 嗣穏</t>
  </si>
  <si>
    <t>曽我 颯</t>
  </si>
  <si>
    <t>飯塚 修平</t>
  </si>
  <si>
    <t>中島 啓裕</t>
  </si>
  <si>
    <t>渡邊 瑠佳</t>
  </si>
  <si>
    <t>岩丸 大介</t>
  </si>
  <si>
    <t>佐藤 光輝</t>
  </si>
  <si>
    <t>長谷川 武</t>
  </si>
  <si>
    <t>調布市スキー連盟</t>
  </si>
  <si>
    <t>友部 尚輝</t>
  </si>
  <si>
    <t>佐藤 公紀</t>
  </si>
  <si>
    <t>菊池 大基</t>
  </si>
  <si>
    <t>星 達也</t>
  </si>
  <si>
    <t>西沢 ゆうき</t>
  </si>
  <si>
    <t>富田 貴仁</t>
  </si>
  <si>
    <t>保坂 勇太</t>
  </si>
  <si>
    <t>森田 雄人</t>
  </si>
  <si>
    <t>内田 政男</t>
  </si>
  <si>
    <t>上山 遼</t>
  </si>
  <si>
    <t>熊谷 大仁</t>
  </si>
  <si>
    <t>遠藤 海洸</t>
  </si>
  <si>
    <t>川合 佑太</t>
  </si>
  <si>
    <t>白石 裕貴</t>
  </si>
  <si>
    <t>岩本 恵祐</t>
  </si>
  <si>
    <t>阿部 遼太郎</t>
  </si>
  <si>
    <t>津田 祐輔</t>
  </si>
  <si>
    <t>直井 俊樹</t>
  </si>
  <si>
    <t>佐藤 光</t>
  </si>
  <si>
    <t>藤崎 裕人</t>
  </si>
  <si>
    <t>店網 宏樹</t>
  </si>
  <si>
    <t>吉川 慎太郎</t>
  </si>
  <si>
    <t>尾形 俊輔</t>
  </si>
  <si>
    <t>阿部 央季</t>
  </si>
  <si>
    <t>須藤 圭一</t>
  </si>
  <si>
    <t>江村 航大</t>
  </si>
  <si>
    <t>小林 翼</t>
  </si>
  <si>
    <t>下田 智也</t>
  </si>
  <si>
    <t>中村 祐介</t>
  </si>
  <si>
    <t>遠藤 正紀</t>
  </si>
  <si>
    <t>山本 皓乃</t>
  </si>
  <si>
    <t>磯 雄一</t>
  </si>
  <si>
    <t>武井 流星</t>
  </si>
  <si>
    <t>安國 貴彦</t>
  </si>
  <si>
    <t>中司 海渡</t>
  </si>
  <si>
    <t>大串 英志</t>
  </si>
  <si>
    <t>清水 俊英</t>
  </si>
  <si>
    <t>三角 隼斗</t>
  </si>
  <si>
    <t>磯崎 俊輔</t>
  </si>
  <si>
    <t>早野 将貴</t>
  </si>
  <si>
    <t>大谷 泰斗</t>
  </si>
  <si>
    <t>今岡 湧人</t>
  </si>
  <si>
    <t>長尾 正二</t>
  </si>
  <si>
    <t>草山 駿太郎</t>
  </si>
  <si>
    <t>小池 樹</t>
  </si>
  <si>
    <t>大竹 夏生</t>
  </si>
  <si>
    <t>河野 夏海</t>
  </si>
  <si>
    <t>城石 陽</t>
  </si>
  <si>
    <t>新井 匠</t>
  </si>
  <si>
    <t>細野 里音</t>
  </si>
  <si>
    <t>渡会 一成</t>
  </si>
  <si>
    <t>島田 樹空</t>
  </si>
  <si>
    <t>神谷 直樹</t>
  </si>
  <si>
    <t>加来 彩人</t>
  </si>
  <si>
    <t>髙橋 龍一郎</t>
  </si>
  <si>
    <t>谷川 慎哉</t>
  </si>
  <si>
    <t>木越 健輔</t>
  </si>
  <si>
    <t>佐藤 英司</t>
  </si>
  <si>
    <t>桑原 悠樹</t>
  </si>
  <si>
    <t>河野 順平</t>
  </si>
  <si>
    <t>小川 卓真</t>
  </si>
  <si>
    <t>森北 和志</t>
  </si>
  <si>
    <t>星 佑樹</t>
  </si>
  <si>
    <t>工藤 陽生</t>
  </si>
  <si>
    <t>栗原 楓</t>
  </si>
  <si>
    <t>宮﨑 涼輔</t>
  </si>
  <si>
    <t>星野 峻一</t>
  </si>
  <si>
    <t>草野 龍輝</t>
  </si>
  <si>
    <t>長久 幸之介</t>
  </si>
  <si>
    <t>小澤 豊</t>
  </si>
  <si>
    <t>中山 健史</t>
  </si>
  <si>
    <t>井田 光祝</t>
  </si>
  <si>
    <t>岸 優佑</t>
  </si>
  <si>
    <t>山内 辰馬</t>
  </si>
  <si>
    <t>渡邉 海斗</t>
  </si>
  <si>
    <t>湯浅 主基</t>
  </si>
  <si>
    <t>髙木 翔弥</t>
  </si>
  <si>
    <t>辻 悠希</t>
  </si>
  <si>
    <t>金澤 幸太</t>
  </si>
  <si>
    <t>山喜多 俊宏</t>
  </si>
  <si>
    <t>森 就</t>
  </si>
  <si>
    <t>武田 光一郎</t>
  </si>
  <si>
    <t>近藤 涼輔</t>
  </si>
  <si>
    <t>渡辺 周</t>
  </si>
  <si>
    <t>佐藤 拓実</t>
  </si>
  <si>
    <t>黒畑 寿来</t>
  </si>
  <si>
    <t>西垣 光平</t>
  </si>
  <si>
    <t>佐藤 良</t>
  </si>
  <si>
    <t>長谷川 雄大</t>
  </si>
  <si>
    <t>渡邊 和樹</t>
  </si>
  <si>
    <t>小沼 佳史</t>
  </si>
  <si>
    <t>木口 朋哉</t>
  </si>
  <si>
    <t>櫻井 智偲</t>
  </si>
  <si>
    <t>内田 光一</t>
  </si>
  <si>
    <t>本田 渉</t>
  </si>
  <si>
    <t>伊藤 ケン</t>
  </si>
  <si>
    <t>松岡 輝</t>
  </si>
  <si>
    <t>松村 真</t>
  </si>
  <si>
    <t>奥山 侑祐</t>
  </si>
  <si>
    <t>野崎 久仁男</t>
  </si>
  <si>
    <t>鶴味 裕太</t>
  </si>
  <si>
    <t>政田 大陽</t>
  </si>
  <si>
    <t>椿 秀啓</t>
  </si>
  <si>
    <t>布施 玲於奈</t>
  </si>
  <si>
    <t>竹本 航</t>
  </si>
  <si>
    <t>南山 仁</t>
  </si>
  <si>
    <t>橋本 篤弥</t>
  </si>
  <si>
    <t>阿部 頌平</t>
  </si>
  <si>
    <t>松浦 天我</t>
  </si>
  <si>
    <t>武井 雅大</t>
  </si>
  <si>
    <t>大石 宗左</t>
  </si>
  <si>
    <t>石毛 翔馬</t>
  </si>
  <si>
    <t>佐藤 茂</t>
  </si>
  <si>
    <t>内田 光太郎</t>
  </si>
  <si>
    <t>唐木 大貴</t>
  </si>
  <si>
    <t>山崎 湧太</t>
  </si>
  <si>
    <t>山藤 耀士</t>
  </si>
  <si>
    <t>頓宮 寛正</t>
  </si>
  <si>
    <t>鈴木 秀駿</t>
  </si>
  <si>
    <t>渥見 悠太</t>
  </si>
  <si>
    <t>小菅 耕大</t>
  </si>
  <si>
    <t>本村 雅哉</t>
  </si>
  <si>
    <t>小林 寛武</t>
  </si>
  <si>
    <t>吉田 舜</t>
  </si>
  <si>
    <t>渡辺 大悟</t>
  </si>
  <si>
    <t>宗川 大洋</t>
  </si>
  <si>
    <t>畠山 智生</t>
  </si>
  <si>
    <t>大河原 健太</t>
  </si>
  <si>
    <t>金子 晟三</t>
  </si>
  <si>
    <t>菅野 翔生</t>
  </si>
  <si>
    <t>光芳 陸</t>
  </si>
  <si>
    <t>前川 来亜</t>
  </si>
  <si>
    <t>武藤 正晃</t>
  </si>
  <si>
    <t>二見 裕樹</t>
  </si>
  <si>
    <t>木田 悠斗</t>
  </si>
  <si>
    <t>小宮山 直人</t>
  </si>
  <si>
    <t>前田 凛之介</t>
  </si>
  <si>
    <t>國部 望</t>
  </si>
  <si>
    <t>阿野 苑弥</t>
  </si>
  <si>
    <t>大倉 滉太</t>
  </si>
  <si>
    <t>北本 滉太郎</t>
  </si>
  <si>
    <t>盛 拓貴</t>
  </si>
  <si>
    <t>谷口 颯</t>
  </si>
  <si>
    <t>青木 悠</t>
  </si>
  <si>
    <t>髙安 邑太郎</t>
  </si>
  <si>
    <t>細田 輝大</t>
  </si>
  <si>
    <t>川田 裕貴</t>
  </si>
  <si>
    <t>木所 雅征</t>
  </si>
  <si>
    <t>上妻 隆斗</t>
  </si>
  <si>
    <t>高橋 長三郎</t>
  </si>
  <si>
    <t>東京石楠花会</t>
  </si>
  <si>
    <t>島田 健吾</t>
  </si>
  <si>
    <t>沢田 周吾</t>
  </si>
  <si>
    <t>林 泰地</t>
  </si>
  <si>
    <t>上田 祐輝</t>
  </si>
  <si>
    <t>折橋 旺</t>
  </si>
  <si>
    <t>藤巻 拓也</t>
  </si>
  <si>
    <t>江連 鳳矢</t>
  </si>
  <si>
    <t>渡邉 龍之信</t>
  </si>
  <si>
    <t>西城 法遵</t>
  </si>
  <si>
    <t>三島 麟太郎</t>
  </si>
  <si>
    <t>三瓶 大河</t>
  </si>
  <si>
    <t>小林 亮太</t>
  </si>
  <si>
    <t>桒田 栞典</t>
  </si>
  <si>
    <t>佐藤 有馬</t>
  </si>
  <si>
    <t>小野寺 進太朗</t>
  </si>
  <si>
    <t>齊藤 真希生</t>
  </si>
  <si>
    <t>北内 大嵩</t>
  </si>
  <si>
    <t>熊本 清太</t>
  </si>
  <si>
    <t>土肥 尚也</t>
  </si>
  <si>
    <t>香取 大輝</t>
  </si>
  <si>
    <t>細山田 智仁</t>
  </si>
  <si>
    <t>江藤 和希</t>
  </si>
  <si>
    <t>杉本 怜哉</t>
  </si>
  <si>
    <t>中村 駿大</t>
  </si>
  <si>
    <t>花園 智行</t>
  </si>
  <si>
    <t>北垣 秀人</t>
  </si>
  <si>
    <t>高橋 哲哉</t>
  </si>
  <si>
    <t>飯嶌 笙</t>
  </si>
  <si>
    <t>金子 佑介</t>
  </si>
  <si>
    <t>熊崎 亮太</t>
  </si>
  <si>
    <t>須藤 亀蔵</t>
  </si>
  <si>
    <t>鈴木 隆太</t>
  </si>
  <si>
    <t>渡部 良樹</t>
  </si>
  <si>
    <t>黒川 良</t>
  </si>
  <si>
    <t>安藤 謙真</t>
  </si>
  <si>
    <t>吉田 太耀</t>
  </si>
  <si>
    <t>柿沼 黎生</t>
  </si>
  <si>
    <t>大塚 恒洸</t>
  </si>
  <si>
    <t>河西 優</t>
  </si>
  <si>
    <t>舛巴 紳二</t>
  </si>
  <si>
    <t>中川 晴登</t>
  </si>
  <si>
    <t>中村 文則</t>
  </si>
  <si>
    <t>長濱 宇宙</t>
  </si>
  <si>
    <t>窪田 遼輔</t>
  </si>
  <si>
    <t>金子 優輝</t>
  </si>
  <si>
    <t>大久保 慶人</t>
  </si>
  <si>
    <t>積山 浩大</t>
  </si>
  <si>
    <t>植田 晃生</t>
  </si>
  <si>
    <t>山根 鷹之臣</t>
  </si>
  <si>
    <t>田中 秀利</t>
  </si>
  <si>
    <t>上原 颯馬</t>
  </si>
  <si>
    <t>小野 拓巳</t>
  </si>
  <si>
    <t>高木 洋羽</t>
  </si>
  <si>
    <t>田島 凜斗</t>
  </si>
  <si>
    <t>牧野 晃大</t>
  </si>
  <si>
    <t>白木 智也</t>
  </si>
  <si>
    <t>緒方 希</t>
  </si>
  <si>
    <t>坂東 遼翼</t>
  </si>
  <si>
    <t>荻原 遼</t>
  </si>
  <si>
    <t>村上 博史</t>
  </si>
  <si>
    <t>折茂 海</t>
  </si>
  <si>
    <t>馳 悠</t>
  </si>
  <si>
    <t>新井 公大</t>
  </si>
  <si>
    <t>富田 暁</t>
  </si>
  <si>
    <t>細川 凱央</t>
  </si>
  <si>
    <t>胡 以心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</si>
</sst>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176" fontId="0" fillId="0" borderId="0" xfId="0" applyNumberFormat="1" applyFill="1" applyAlignment="1">
      <alignment vertical="center" shrinkToFit="1"/>
    </xf>
    <xf numFmtId="176" fontId="0" fillId="0" borderId="0" xfId="0" applyNumberFormat="1" applyFill="1" applyAlignment="1">
      <alignment horizontal="right" vertical="center"/>
    </xf>
    <xf numFmtId="176" fontId="1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176" fontId="0" fillId="0" borderId="0" xfId="0" applyNumberFormat="1" applyFill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0" xfId="0" applyNumberFormat="1" applyFill="1">
      <alignment vertical="center"/>
    </xf>
    <xf numFmtId="0" fontId="0" fillId="0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0" fillId="0" borderId="1" xfId="0" applyFill="1" applyBorder="1" applyAlignment="1">
      <alignment vertical="center" shrinkToFit="1"/>
    </xf>
    <xf numFmtId="0" fontId="0" fillId="0" borderId="1" xfId="0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I1094"/>
  <sheetViews>
    <sheetView tabSelected="1" workbookViewId="0">
      <selection activeCell="M8" sqref="M8"/>
    </sheetView>
  </sheetViews>
  <sheetFormatPr baseColWidth="12" defaultColWidth="11.5" defaultRowHeight="17" x14ac:dyDescent="0"/>
  <cols>
    <col min="1" max="2" width="12.83203125" style="20" customWidth="1"/>
    <col min="3" max="3" width="24" style="20" customWidth="1"/>
    <col min="4" max="4" width="40.6640625" style="20" customWidth="1"/>
    <col min="5" max="6" width="14.83203125" style="21" hidden="1" customWidth="1"/>
    <col min="7" max="7" width="17.1640625" style="22" hidden="1" customWidth="1"/>
    <col min="8" max="8" width="12.83203125" style="4" customWidth="1"/>
    <col min="9" max="9" width="10.6640625" style="23" customWidth="1"/>
    <col min="10" max="11" width="10.83203125" style="21" hidden="1" customWidth="1"/>
    <col min="12" max="35" width="12.83203125" style="21" customWidth="1"/>
    <col min="36" max="50" width="12.83203125" style="19" customWidth="1"/>
    <col min="51" max="16384" width="11.5" style="19"/>
  </cols>
  <sheetData>
    <row r="1" spans="1:35" s="7" customFormat="1">
      <c r="A1" s="1" t="s">
        <v>0</v>
      </c>
      <c r="B1" s="1"/>
      <c r="C1" s="1" t="s">
        <v>1</v>
      </c>
      <c r="D1" s="1"/>
      <c r="E1" s="2"/>
      <c r="F1" s="2"/>
      <c r="G1" s="3"/>
      <c r="H1" s="4"/>
      <c r="I1" s="5"/>
      <c r="J1" s="2"/>
      <c r="K1" s="2"/>
      <c r="L1" s="6" t="s">
        <v>2</v>
      </c>
      <c r="M1" s="6">
        <v>133.91</v>
      </c>
      <c r="N1" s="6">
        <v>60.8</v>
      </c>
      <c r="O1" s="6">
        <v>118.92</v>
      </c>
      <c r="P1" s="6">
        <v>52.01</v>
      </c>
      <c r="Q1" s="6">
        <v>54</v>
      </c>
      <c r="R1" s="6">
        <v>76.150000000000006</v>
      </c>
      <c r="S1" s="6">
        <v>20.68</v>
      </c>
      <c r="T1" s="6">
        <v>24.4</v>
      </c>
      <c r="U1" s="6">
        <v>69.28</v>
      </c>
      <c r="V1" s="6">
        <v>0</v>
      </c>
      <c r="W1" s="6">
        <v>49.23</v>
      </c>
      <c r="X1" s="6">
        <v>56.1</v>
      </c>
      <c r="Y1" s="6">
        <v>54.84</v>
      </c>
      <c r="Z1" s="6">
        <v>40.729999999999997</v>
      </c>
      <c r="AA1" s="6">
        <v>25.97</v>
      </c>
      <c r="AB1" s="6">
        <v>67.819999999999993</v>
      </c>
      <c r="AC1" s="6">
        <v>26.87</v>
      </c>
      <c r="AD1" s="6">
        <v>80.38</v>
      </c>
      <c r="AE1" s="6">
        <v>25.25</v>
      </c>
      <c r="AF1" s="6">
        <v>123.58</v>
      </c>
      <c r="AG1" s="6">
        <v>61</v>
      </c>
      <c r="AH1" s="6">
        <v>61</v>
      </c>
      <c r="AI1" s="6">
        <v>61</v>
      </c>
    </row>
    <row r="2" spans="1:35" s="13" customFormat="1" ht="40">
      <c r="A2" s="8" t="s">
        <v>3</v>
      </c>
      <c r="B2" s="9" t="s">
        <v>4</v>
      </c>
      <c r="C2" s="9" t="s">
        <v>5</v>
      </c>
      <c r="D2" s="9" t="s">
        <v>6</v>
      </c>
      <c r="E2" s="10" t="s">
        <v>7</v>
      </c>
      <c r="F2" s="10" t="s">
        <v>8</v>
      </c>
      <c r="G2" s="10" t="s">
        <v>9</v>
      </c>
      <c r="H2" s="11" t="s">
        <v>10</v>
      </c>
      <c r="I2" s="10" t="s">
        <v>11</v>
      </c>
      <c r="J2" s="10" t="s">
        <v>12</v>
      </c>
      <c r="K2" s="10" t="s">
        <v>13</v>
      </c>
      <c r="L2" s="10" t="s">
        <v>14</v>
      </c>
      <c r="M2" s="12" t="s">
        <v>15</v>
      </c>
      <c r="N2" s="12" t="s">
        <v>16</v>
      </c>
      <c r="O2" s="12" t="s">
        <v>17</v>
      </c>
      <c r="P2" s="12" t="s">
        <v>18</v>
      </c>
      <c r="Q2" s="12" t="s">
        <v>19</v>
      </c>
      <c r="R2" s="12" t="s">
        <v>20</v>
      </c>
      <c r="S2" s="12" t="s">
        <v>21</v>
      </c>
      <c r="T2" s="12" t="s">
        <v>22</v>
      </c>
      <c r="U2" s="12" t="s">
        <v>23</v>
      </c>
      <c r="V2" s="12" t="s">
        <v>24</v>
      </c>
      <c r="W2" s="12" t="s">
        <v>25</v>
      </c>
      <c r="X2" s="12" t="s">
        <v>26</v>
      </c>
      <c r="Y2" s="12" t="s">
        <v>27</v>
      </c>
      <c r="Z2" s="12" t="s">
        <v>28</v>
      </c>
      <c r="AA2" s="12" t="s">
        <v>29</v>
      </c>
      <c r="AB2" s="12" t="s">
        <v>30</v>
      </c>
      <c r="AC2" s="12" t="s">
        <v>31</v>
      </c>
      <c r="AD2" s="12" t="s">
        <v>32</v>
      </c>
      <c r="AE2" s="12" t="s">
        <v>33</v>
      </c>
      <c r="AF2" s="12" t="s">
        <v>34</v>
      </c>
      <c r="AG2" s="12" t="s">
        <v>35</v>
      </c>
      <c r="AH2" s="12" t="s">
        <v>36</v>
      </c>
      <c r="AI2" s="12" t="s">
        <v>37</v>
      </c>
    </row>
    <row r="3" spans="1:35">
      <c r="A3" s="14">
        <v>1</v>
      </c>
      <c r="B3" s="14">
        <v>3292</v>
      </c>
      <c r="C3" s="14" t="s">
        <v>38</v>
      </c>
      <c r="D3" s="14" t="s">
        <v>39</v>
      </c>
      <c r="E3" s="15" t="str">
        <f>"0.00"</f>
        <v>0.00</v>
      </c>
      <c r="F3" s="15"/>
      <c r="G3" s="16" t="str">
        <f>"8.00"</f>
        <v>8.00</v>
      </c>
      <c r="H3" s="17">
        <f t="shared" ref="H3:H66" si="0">G3-8</f>
        <v>0</v>
      </c>
      <c r="I3" s="18" t="s">
        <v>40</v>
      </c>
      <c r="J3" s="15">
        <v>1</v>
      </c>
      <c r="K3" s="15">
        <v>2016</v>
      </c>
      <c r="L3" s="15" t="str">
        <f>"0.00"</f>
        <v>0.00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</row>
    <row r="4" spans="1:35">
      <c r="A4" s="14">
        <v>1</v>
      </c>
      <c r="B4" s="14">
        <v>3120</v>
      </c>
      <c r="C4" s="14" t="s">
        <v>41</v>
      </c>
      <c r="D4" s="14" t="s">
        <v>42</v>
      </c>
      <c r="E4" s="15" t="str">
        <f>"6.50"</f>
        <v>6.50</v>
      </c>
      <c r="F4" s="15"/>
      <c r="G4" s="16" t="str">
        <f>"8.00"</f>
        <v>8.00</v>
      </c>
      <c r="H4" s="17">
        <f t="shared" si="0"/>
        <v>0</v>
      </c>
      <c r="I4" s="18" t="s">
        <v>43</v>
      </c>
      <c r="J4" s="15">
        <v>2</v>
      </c>
      <c r="K4" s="15">
        <v>2016</v>
      </c>
      <c r="L4" s="15" t="str">
        <f>"13.00"</f>
        <v>13.00</v>
      </c>
      <c r="M4" s="15"/>
      <c r="N4" s="15"/>
      <c r="O4" s="15"/>
      <c r="P4" s="15"/>
      <c r="Q4" s="15"/>
      <c r="R4" s="15"/>
      <c r="S4" s="15"/>
      <c r="T4" s="15"/>
      <c r="U4" s="15"/>
      <c r="V4" s="15" t="str">
        <f>"0.00"</f>
        <v>0.00</v>
      </c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>
      <c r="A5" s="14">
        <v>3</v>
      </c>
      <c r="B5" s="14">
        <v>4021</v>
      </c>
      <c r="C5" s="14" t="s">
        <v>44</v>
      </c>
      <c r="D5" s="14" t="s">
        <v>45</v>
      </c>
      <c r="E5" s="15" t="str">
        <f>"9.01"</f>
        <v>9.01</v>
      </c>
      <c r="F5" s="15"/>
      <c r="G5" s="16" t="str">
        <f>"12.97"</f>
        <v>12.97</v>
      </c>
      <c r="H5" s="17">
        <f t="shared" si="0"/>
        <v>4.9700000000000006</v>
      </c>
      <c r="I5" s="18" t="s">
        <v>40</v>
      </c>
      <c r="J5" s="15">
        <v>1</v>
      </c>
      <c r="K5" s="15">
        <v>2016</v>
      </c>
      <c r="L5" s="15" t="str">
        <f>"9.01"</f>
        <v>9.01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1:35">
      <c r="A6" s="14">
        <v>4</v>
      </c>
      <c r="B6" s="14">
        <v>10683</v>
      </c>
      <c r="C6" s="14" t="s">
        <v>46</v>
      </c>
      <c r="D6" s="14" t="s">
        <v>47</v>
      </c>
      <c r="E6" s="15" t="str">
        <f>"10.33"</f>
        <v>10.33</v>
      </c>
      <c r="F6" s="15"/>
      <c r="G6" s="16" t="str">
        <f>"14.88"</f>
        <v>14.88</v>
      </c>
      <c r="H6" s="17">
        <f t="shared" si="0"/>
        <v>6.8800000000000008</v>
      </c>
      <c r="I6" s="18" t="s">
        <v>40</v>
      </c>
      <c r="J6" s="15">
        <v>1</v>
      </c>
      <c r="K6" s="15">
        <v>2016</v>
      </c>
      <c r="L6" s="15" t="str">
        <f>"10.33"</f>
        <v>10.33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>
      <c r="A7" s="14">
        <v>5</v>
      </c>
      <c r="B7" s="14">
        <v>3076</v>
      </c>
      <c r="C7" s="14" t="s">
        <v>48</v>
      </c>
      <c r="D7" s="14" t="s">
        <v>49</v>
      </c>
      <c r="E7" s="15" t="str">
        <f>"47.97"</f>
        <v>47.97</v>
      </c>
      <c r="F7" s="15"/>
      <c r="G7" s="16" t="str">
        <f>"17.41"</f>
        <v>17.41</v>
      </c>
      <c r="H7" s="17">
        <f t="shared" si="0"/>
        <v>9.41</v>
      </c>
      <c r="I7" s="18" t="s">
        <v>43</v>
      </c>
      <c r="J7" s="15">
        <v>2</v>
      </c>
      <c r="K7" s="15">
        <v>2016</v>
      </c>
      <c r="L7" s="15" t="str">
        <f>"83.84"</f>
        <v>83.84</v>
      </c>
      <c r="M7" s="15"/>
      <c r="N7" s="15"/>
      <c r="O7" s="15"/>
      <c r="P7" s="15"/>
      <c r="Q7" s="15"/>
      <c r="R7" s="15"/>
      <c r="S7" s="15"/>
      <c r="T7" s="15"/>
      <c r="U7" s="15"/>
      <c r="V7" s="15" t="str">
        <f>"12.09"</f>
        <v>12.09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</row>
    <row r="8" spans="1:35">
      <c r="A8" s="14">
        <v>6</v>
      </c>
      <c r="B8" s="14">
        <v>1827</v>
      </c>
      <c r="C8" s="14" t="s">
        <v>50</v>
      </c>
      <c r="D8" s="14" t="s">
        <v>51</v>
      </c>
      <c r="E8" s="15" t="str">
        <f>"19.42"</f>
        <v>19.42</v>
      </c>
      <c r="F8" s="15"/>
      <c r="G8" s="16" t="str">
        <f>"23.78"</f>
        <v>23.78</v>
      </c>
      <c r="H8" s="17">
        <f t="shared" si="0"/>
        <v>15.780000000000001</v>
      </c>
      <c r="I8" s="18"/>
      <c r="J8" s="15">
        <v>3</v>
      </c>
      <c r="K8" s="15">
        <v>2016</v>
      </c>
      <c r="L8" s="15" t="str">
        <f>"19.42"</f>
        <v>19.42</v>
      </c>
      <c r="M8" s="15"/>
      <c r="N8" s="15"/>
      <c r="O8" s="15"/>
      <c r="P8" s="15"/>
      <c r="Q8" s="15"/>
      <c r="R8" s="15"/>
      <c r="S8" s="15" t="str">
        <f>"20.68"</f>
        <v>20.68</v>
      </c>
      <c r="T8" s="15" t="str">
        <f>"26.88"</f>
        <v>26.88</v>
      </c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</row>
    <row r="9" spans="1:35">
      <c r="A9" s="14">
        <v>7</v>
      </c>
      <c r="B9" s="14">
        <v>6528</v>
      </c>
      <c r="C9" s="14" t="s">
        <v>52</v>
      </c>
      <c r="D9" s="14" t="s">
        <v>45</v>
      </c>
      <c r="E9" s="15" t="str">
        <f>"11.91"</f>
        <v>11.91</v>
      </c>
      <c r="F9" s="15"/>
      <c r="G9" s="16" t="str">
        <f>"25.61"</f>
        <v>25.61</v>
      </c>
      <c r="H9" s="17">
        <f t="shared" si="0"/>
        <v>17.61</v>
      </c>
      <c r="I9" s="18"/>
      <c r="J9" s="15">
        <v>3</v>
      </c>
      <c r="K9" s="15">
        <v>2016</v>
      </c>
      <c r="L9" s="15" t="str">
        <f>"11.91"</f>
        <v>11.91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 t="str">
        <f>"25.97"</f>
        <v>25.97</v>
      </c>
      <c r="AB9" s="15"/>
      <c r="AC9" s="15" t="str">
        <f>"26.87"</f>
        <v>26.87</v>
      </c>
      <c r="AD9" s="15"/>
      <c r="AE9" s="15" t="str">
        <f>"25.25"</f>
        <v>25.25</v>
      </c>
      <c r="AF9" s="15"/>
      <c r="AG9" s="15"/>
      <c r="AH9" s="15"/>
      <c r="AI9" s="15"/>
    </row>
    <row r="10" spans="1:35">
      <c r="A10" s="14">
        <v>8</v>
      </c>
      <c r="B10" s="14">
        <v>3961</v>
      </c>
      <c r="C10" s="14" t="s">
        <v>53</v>
      </c>
      <c r="D10" s="14" t="s">
        <v>51</v>
      </c>
      <c r="E10" s="15" t="str">
        <f>"28.48"</f>
        <v>28.48</v>
      </c>
      <c r="F10" s="15"/>
      <c r="G10" s="16" t="str">
        <f>"28.92"</f>
        <v>28.92</v>
      </c>
      <c r="H10" s="17">
        <f t="shared" si="0"/>
        <v>20.92</v>
      </c>
      <c r="I10" s="18"/>
      <c r="J10" s="15">
        <v>3</v>
      </c>
      <c r="K10" s="15">
        <v>2016</v>
      </c>
      <c r="L10" s="15" t="str">
        <f>"32.56"</f>
        <v>32.56</v>
      </c>
      <c r="M10" s="15"/>
      <c r="N10" s="15"/>
      <c r="O10" s="15"/>
      <c r="P10" s="15"/>
      <c r="Q10" s="15"/>
      <c r="R10" s="15"/>
      <c r="S10" s="15" t="str">
        <f>"33.44"</f>
        <v>33.44</v>
      </c>
      <c r="T10" s="15" t="str">
        <f>"24.40"</f>
        <v>24.40</v>
      </c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</row>
    <row r="11" spans="1:35">
      <c r="A11" s="14">
        <v>9</v>
      </c>
      <c r="B11" s="14">
        <v>5262</v>
      </c>
      <c r="C11" s="14" t="s">
        <v>54</v>
      </c>
      <c r="D11" s="14" t="s">
        <v>55</v>
      </c>
      <c r="E11" s="15" t="str">
        <f>"26.10"</f>
        <v>26.10</v>
      </c>
      <c r="F11" s="15"/>
      <c r="G11" s="16" t="str">
        <f>"32.98"</f>
        <v>32.98</v>
      </c>
      <c r="H11" s="17">
        <f t="shared" si="0"/>
        <v>24.979999999999997</v>
      </c>
      <c r="I11" s="18"/>
      <c r="J11" s="15">
        <v>3</v>
      </c>
      <c r="K11" s="15">
        <v>2016</v>
      </c>
      <c r="L11" s="15" t="str">
        <f>"26.10"</f>
        <v>26.10</v>
      </c>
      <c r="M11" s="15"/>
      <c r="N11" s="15"/>
      <c r="O11" s="15"/>
      <c r="P11" s="15"/>
      <c r="Q11" s="15"/>
      <c r="R11" s="15"/>
      <c r="S11" s="15"/>
      <c r="T11" s="15"/>
      <c r="U11" s="15"/>
      <c r="V11" s="15" t="str">
        <f>"39.85"</f>
        <v>39.85</v>
      </c>
      <c r="W11" s="15"/>
      <c r="X11" s="15"/>
      <c r="Y11" s="15"/>
      <c r="Z11" s="15" t="str">
        <f>"61.38"</f>
        <v>61.38</v>
      </c>
      <c r="AA11" s="15"/>
      <c r="AB11" s="15"/>
      <c r="AC11" s="15"/>
      <c r="AD11" s="15"/>
      <c r="AE11" s="15" t="str">
        <f>"26.11"</f>
        <v>26.11</v>
      </c>
      <c r="AF11" s="15"/>
      <c r="AG11" s="15"/>
      <c r="AH11" s="15"/>
      <c r="AI11" s="15"/>
    </row>
    <row r="12" spans="1:35">
      <c r="A12" s="14">
        <v>10</v>
      </c>
      <c r="B12" s="14">
        <v>2568</v>
      </c>
      <c r="C12" s="14" t="s">
        <v>56</v>
      </c>
      <c r="D12" s="14" t="s">
        <v>51</v>
      </c>
      <c r="E12" s="15" t="str">
        <f>"32.81"</f>
        <v>32.81</v>
      </c>
      <c r="F12" s="15"/>
      <c r="G12" s="16" t="str">
        <f>"38.58"</f>
        <v>38.58</v>
      </c>
      <c r="H12" s="17">
        <f t="shared" si="0"/>
        <v>30.58</v>
      </c>
      <c r="I12" s="18"/>
      <c r="J12" s="15">
        <v>3</v>
      </c>
      <c r="K12" s="15">
        <v>2016</v>
      </c>
      <c r="L12" s="15" t="str">
        <f>"35.47"</f>
        <v>35.47</v>
      </c>
      <c r="M12" s="15"/>
      <c r="N12" s="15"/>
      <c r="O12" s="15"/>
      <c r="P12" s="15"/>
      <c r="Q12" s="15"/>
      <c r="R12" s="15"/>
      <c r="S12" s="15" t="str">
        <f>"30.14"</f>
        <v>30.14</v>
      </c>
      <c r="T12" s="15" t="str">
        <f>"47.01"</f>
        <v>47.01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</row>
    <row r="13" spans="1:35">
      <c r="A13" s="14">
        <v>11</v>
      </c>
      <c r="B13" s="14">
        <v>5739</v>
      </c>
      <c r="C13" s="14" t="s">
        <v>57</v>
      </c>
      <c r="D13" s="14" t="s">
        <v>58</v>
      </c>
      <c r="E13" s="15" t="str">
        <f>"40.42"</f>
        <v>40.42</v>
      </c>
      <c r="F13" s="15"/>
      <c r="G13" s="16" t="str">
        <f>"40.42"</f>
        <v>40.42</v>
      </c>
      <c r="H13" s="17">
        <f t="shared" si="0"/>
        <v>32.42</v>
      </c>
      <c r="I13" s="18"/>
      <c r="J13" s="15">
        <v>3</v>
      </c>
      <c r="K13" s="15">
        <v>2016</v>
      </c>
      <c r="L13" s="15" t="str">
        <f>"93.24"</f>
        <v>93.24</v>
      </c>
      <c r="M13" s="15"/>
      <c r="N13" s="15" t="str">
        <f>"87.33"</f>
        <v>87.33</v>
      </c>
      <c r="O13" s="15"/>
      <c r="P13" s="15"/>
      <c r="Q13" s="15"/>
      <c r="R13" s="15"/>
      <c r="S13" s="15"/>
      <c r="T13" s="15"/>
      <c r="U13" s="15" t="str">
        <f>"173.90"</f>
        <v>173.90</v>
      </c>
      <c r="V13" s="15"/>
      <c r="W13" s="15"/>
      <c r="X13" s="15"/>
      <c r="Y13" s="15"/>
      <c r="Z13" s="15"/>
      <c r="AA13" s="15" t="str">
        <f>"44.83"</f>
        <v>44.83</v>
      </c>
      <c r="AB13" s="15"/>
      <c r="AC13" s="15" t="str">
        <f>"36.00"</f>
        <v>36.00</v>
      </c>
      <c r="AD13" s="15"/>
      <c r="AE13" s="15"/>
      <c r="AF13" s="15"/>
      <c r="AG13" s="15"/>
      <c r="AH13" s="15"/>
      <c r="AI13" s="15"/>
    </row>
    <row r="14" spans="1:35">
      <c r="A14" s="14">
        <v>12</v>
      </c>
      <c r="B14" s="14">
        <v>4168</v>
      </c>
      <c r="C14" s="14" t="s">
        <v>59</v>
      </c>
      <c r="D14" s="14" t="s">
        <v>51</v>
      </c>
      <c r="E14" s="15" t="str">
        <f>"20.40"</f>
        <v>20.40</v>
      </c>
      <c r="F14" s="15"/>
      <c r="G14" s="16" t="str">
        <f>"40.68"</f>
        <v>40.68</v>
      </c>
      <c r="H14" s="17">
        <f t="shared" si="0"/>
        <v>32.68</v>
      </c>
      <c r="I14" s="18"/>
      <c r="J14" s="15">
        <v>3</v>
      </c>
      <c r="K14" s="15">
        <v>2016</v>
      </c>
      <c r="L14" s="15" t="str">
        <f>"20.40"</f>
        <v>20.40</v>
      </c>
      <c r="M14" s="15"/>
      <c r="N14" s="15"/>
      <c r="O14" s="15"/>
      <c r="P14" s="15"/>
      <c r="Q14" s="15"/>
      <c r="R14" s="15"/>
      <c r="S14" s="15" t="str">
        <f>"36.41"</f>
        <v>36.41</v>
      </c>
      <c r="T14" s="15" t="str">
        <f>"44.95"</f>
        <v>44.95</v>
      </c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 t="str">
        <f>"75.19"</f>
        <v>75.19</v>
      </c>
      <c r="AI14" s="15" t="str">
        <f>"61.00"</f>
        <v>61.00</v>
      </c>
    </row>
    <row r="15" spans="1:35">
      <c r="A15" s="14">
        <v>13</v>
      </c>
      <c r="B15" s="14">
        <v>8478</v>
      </c>
      <c r="C15" s="14" t="s">
        <v>60</v>
      </c>
      <c r="D15" s="14" t="s">
        <v>51</v>
      </c>
      <c r="E15" s="15" t="str">
        <f>"37.55"</f>
        <v>37.55</v>
      </c>
      <c r="F15" s="15"/>
      <c r="G15" s="16" t="str">
        <f>"41.05"</f>
        <v>41.05</v>
      </c>
      <c r="H15" s="17">
        <f t="shared" si="0"/>
        <v>33.049999999999997</v>
      </c>
      <c r="I15" s="18" t="s">
        <v>43</v>
      </c>
      <c r="J15" s="15">
        <v>2</v>
      </c>
      <c r="K15" s="15">
        <v>2016</v>
      </c>
      <c r="L15" s="15" t="str">
        <f>"46.58"</f>
        <v>46.58</v>
      </c>
      <c r="M15" s="15"/>
      <c r="N15" s="15"/>
      <c r="O15" s="15"/>
      <c r="P15" s="15"/>
      <c r="Q15" s="15"/>
      <c r="R15" s="15"/>
      <c r="S15" s="15"/>
      <c r="T15" s="15" t="str">
        <f>"28.51"</f>
        <v>28.51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</row>
    <row r="16" spans="1:35">
      <c r="A16" s="14">
        <v>14</v>
      </c>
      <c r="B16" s="14">
        <v>7696</v>
      </c>
      <c r="C16" s="14" t="s">
        <v>61</v>
      </c>
      <c r="D16" s="14" t="s">
        <v>51</v>
      </c>
      <c r="E16" s="15" t="str">
        <f>"42.52"</f>
        <v>42.52</v>
      </c>
      <c r="F16" s="15"/>
      <c r="G16" s="16" t="str">
        <f>"42.52"</f>
        <v>42.52</v>
      </c>
      <c r="H16" s="17">
        <f t="shared" si="0"/>
        <v>34.520000000000003</v>
      </c>
      <c r="I16" s="18"/>
      <c r="J16" s="15">
        <v>3</v>
      </c>
      <c r="K16" s="15">
        <v>2016</v>
      </c>
      <c r="L16" s="15" t="str">
        <f>"78.26"</f>
        <v>78.26</v>
      </c>
      <c r="M16" s="15"/>
      <c r="N16" s="15" t="str">
        <f>"60.80"</f>
        <v>60.80</v>
      </c>
      <c r="O16" s="15"/>
      <c r="P16" s="15"/>
      <c r="Q16" s="15"/>
      <c r="R16" s="15"/>
      <c r="S16" s="15"/>
      <c r="T16" s="15" t="str">
        <f>"28.94"</f>
        <v>28.94</v>
      </c>
      <c r="U16" s="15"/>
      <c r="V16" s="15"/>
      <c r="W16" s="15"/>
      <c r="X16" s="15" t="str">
        <f>"56.10"</f>
        <v>56.10</v>
      </c>
      <c r="Y16" s="15"/>
      <c r="Z16" s="15"/>
      <c r="AA16" s="15"/>
      <c r="AB16" s="15"/>
      <c r="AC16" s="15"/>
      <c r="AD16" s="15"/>
      <c r="AE16" s="15"/>
      <c r="AF16" s="15"/>
      <c r="AG16" s="15" t="str">
        <f>"61.00"</f>
        <v>61.00</v>
      </c>
      <c r="AH16" s="15"/>
      <c r="AI16" s="15"/>
    </row>
    <row r="17" spans="1:35">
      <c r="A17" s="14">
        <v>15</v>
      </c>
      <c r="B17" s="14">
        <v>1786</v>
      </c>
      <c r="C17" s="14" t="s">
        <v>62</v>
      </c>
      <c r="D17" s="14" t="s">
        <v>51</v>
      </c>
      <c r="E17" s="15" t="str">
        <f>"48.85"</f>
        <v>48.85</v>
      </c>
      <c r="F17" s="15"/>
      <c r="G17" s="16" t="str">
        <f>"43.20"</f>
        <v>43.20</v>
      </c>
      <c r="H17" s="17">
        <f t="shared" si="0"/>
        <v>35.200000000000003</v>
      </c>
      <c r="I17" s="18" t="s">
        <v>43</v>
      </c>
      <c r="J17" s="15">
        <v>2</v>
      </c>
      <c r="K17" s="15">
        <v>2016</v>
      </c>
      <c r="L17" s="15" t="str">
        <f>"67.70"</f>
        <v>67.70</v>
      </c>
      <c r="M17" s="15"/>
      <c r="N17" s="15"/>
      <c r="O17" s="15"/>
      <c r="P17" s="15"/>
      <c r="Q17" s="15"/>
      <c r="R17" s="15"/>
      <c r="S17" s="15"/>
      <c r="T17" s="15" t="str">
        <f>"30.00"</f>
        <v>30.00</v>
      </c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</row>
    <row r="18" spans="1:35">
      <c r="A18" s="14">
        <v>16</v>
      </c>
      <c r="B18" s="14">
        <v>5105</v>
      </c>
      <c r="C18" s="14" t="s">
        <v>63</v>
      </c>
      <c r="D18" s="14" t="s">
        <v>51</v>
      </c>
      <c r="E18" s="15" t="str">
        <f>"42.76"</f>
        <v>42.76</v>
      </c>
      <c r="F18" s="15"/>
      <c r="G18" s="16" t="str">
        <f>"43.52"</f>
        <v>43.52</v>
      </c>
      <c r="H18" s="17">
        <f t="shared" si="0"/>
        <v>35.520000000000003</v>
      </c>
      <c r="I18" s="18"/>
      <c r="J18" s="15">
        <v>3</v>
      </c>
      <c r="K18" s="15">
        <v>2016</v>
      </c>
      <c r="L18" s="15" t="str">
        <f>"53.31"</f>
        <v>53.31</v>
      </c>
      <c r="M18" s="15"/>
      <c r="N18" s="15"/>
      <c r="O18" s="15"/>
      <c r="P18" s="15"/>
      <c r="Q18" s="15"/>
      <c r="R18" s="15"/>
      <c r="S18" s="15"/>
      <c r="T18" s="15" t="str">
        <f>"32.20"</f>
        <v>32.20</v>
      </c>
      <c r="U18" s="15"/>
      <c r="V18" s="15"/>
      <c r="W18" s="15"/>
      <c r="X18" s="15" t="str">
        <f>"59.81"</f>
        <v>59.81</v>
      </c>
      <c r="Y18" s="15" t="str">
        <f>"54.84"</f>
        <v>54.84</v>
      </c>
      <c r="Z18" s="15"/>
      <c r="AA18" s="15"/>
      <c r="AB18" s="15"/>
      <c r="AC18" s="15"/>
      <c r="AD18" s="15"/>
      <c r="AE18" s="15"/>
      <c r="AF18" s="15"/>
      <c r="AG18" s="15" t="str">
        <f>"84.54"</f>
        <v>84.54</v>
      </c>
      <c r="AH18" s="15" t="str">
        <f>"61.00"</f>
        <v>61.00</v>
      </c>
      <c r="AI18" s="15" t="str">
        <f>"62.85"</f>
        <v>62.85</v>
      </c>
    </row>
    <row r="19" spans="1:35">
      <c r="A19" s="14">
        <v>17</v>
      </c>
      <c r="B19" s="14">
        <v>2154</v>
      </c>
      <c r="C19" s="14" t="s">
        <v>64</v>
      </c>
      <c r="D19" s="14" t="s">
        <v>51</v>
      </c>
      <c r="E19" s="15" t="str">
        <f>"45.98"</f>
        <v>45.98</v>
      </c>
      <c r="F19" s="15"/>
      <c r="G19" s="16" t="str">
        <f>"45.98"</f>
        <v>45.98</v>
      </c>
      <c r="H19" s="17">
        <f t="shared" si="0"/>
        <v>37.979999999999997</v>
      </c>
      <c r="I19" s="18"/>
      <c r="J19" s="15">
        <v>3</v>
      </c>
      <c r="K19" s="15">
        <v>2016</v>
      </c>
      <c r="L19" s="15" t="str">
        <f>"71.42"</f>
        <v>71.42</v>
      </c>
      <c r="M19" s="15"/>
      <c r="N19" s="15"/>
      <c r="O19" s="15"/>
      <c r="P19" s="15"/>
      <c r="Q19" s="15"/>
      <c r="R19" s="15"/>
      <c r="S19" s="15"/>
      <c r="T19" s="15" t="str">
        <f>"53.60"</f>
        <v>53.60</v>
      </c>
      <c r="U19" s="15"/>
      <c r="V19" s="15"/>
      <c r="W19" s="15"/>
      <c r="X19" s="15"/>
      <c r="Y19" s="15"/>
      <c r="Z19" s="15"/>
      <c r="AA19" s="15" t="str">
        <f>"62.54"</f>
        <v>62.54</v>
      </c>
      <c r="AB19" s="15"/>
      <c r="AC19" s="15" t="str">
        <f>"38.36"</f>
        <v>38.36</v>
      </c>
      <c r="AD19" s="15"/>
      <c r="AE19" s="15"/>
      <c r="AF19" s="15"/>
      <c r="AG19" s="15" t="str">
        <f>"73.25"</f>
        <v>73.25</v>
      </c>
      <c r="AH19" s="15" t="str">
        <f>"167.46"</f>
        <v>167.46</v>
      </c>
      <c r="AI19" s="15" t="str">
        <f>"70.10"</f>
        <v>70.10</v>
      </c>
    </row>
    <row r="20" spans="1:35">
      <c r="A20" s="14">
        <v>18</v>
      </c>
      <c r="B20" s="14">
        <v>5388</v>
      </c>
      <c r="C20" s="14" t="s">
        <v>65</v>
      </c>
      <c r="D20" s="14" t="s">
        <v>66</v>
      </c>
      <c r="E20" s="15" t="str">
        <f>"36.82"</f>
        <v>36.82</v>
      </c>
      <c r="F20" s="15"/>
      <c r="G20" s="16">
        <v>47.36</v>
      </c>
      <c r="H20" s="17">
        <f t="shared" si="0"/>
        <v>39.36</v>
      </c>
      <c r="I20" s="18" t="s">
        <v>67</v>
      </c>
      <c r="J20" s="15">
        <v>3</v>
      </c>
      <c r="K20" s="15">
        <v>2016</v>
      </c>
      <c r="L20" s="15" t="str">
        <f>"38.82"</f>
        <v>38.82</v>
      </c>
      <c r="M20" s="15"/>
      <c r="N20" s="15"/>
      <c r="O20" s="15"/>
      <c r="P20" s="15"/>
      <c r="Q20" s="15"/>
      <c r="R20" s="15"/>
      <c r="S20" s="15" t="str">
        <f>"69.23"</f>
        <v>69.23</v>
      </c>
      <c r="T20" s="15" t="str">
        <f>"72.38"</f>
        <v>72.38</v>
      </c>
      <c r="U20" s="15"/>
      <c r="V20" s="15"/>
      <c r="W20" s="15"/>
      <c r="X20" s="15"/>
      <c r="Y20" s="15"/>
      <c r="Z20" s="15"/>
      <c r="AA20" s="15" t="str">
        <f>"81.40"</f>
        <v>81.40</v>
      </c>
      <c r="AB20" s="15"/>
      <c r="AC20" s="15" t="str">
        <f>"34.82"</f>
        <v>34.82</v>
      </c>
      <c r="AD20" s="15"/>
      <c r="AE20" s="15"/>
      <c r="AF20" s="15"/>
      <c r="AG20" s="15"/>
      <c r="AH20" s="15"/>
      <c r="AI20" s="15"/>
    </row>
    <row r="21" spans="1:35">
      <c r="A21" s="14">
        <v>19</v>
      </c>
      <c r="B21" s="14">
        <v>5096</v>
      </c>
      <c r="C21" s="14" t="s">
        <v>68</v>
      </c>
      <c r="D21" s="14" t="s">
        <v>58</v>
      </c>
      <c r="E21" s="15" t="str">
        <f>"33.69"</f>
        <v>33.69</v>
      </c>
      <c r="F21" s="15"/>
      <c r="G21" s="16" t="str">
        <f>"48.51"</f>
        <v>48.51</v>
      </c>
      <c r="H21" s="17">
        <f t="shared" si="0"/>
        <v>40.51</v>
      </c>
      <c r="I21" s="18" t="s">
        <v>40</v>
      </c>
      <c r="J21" s="15">
        <v>1</v>
      </c>
      <c r="K21" s="15">
        <v>2016</v>
      </c>
      <c r="L21" s="15" t="str">
        <f>"33.69"</f>
        <v>33.69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>
      <c r="A22" s="14">
        <v>20</v>
      </c>
      <c r="B22" s="14">
        <v>5199</v>
      </c>
      <c r="C22" s="14" t="s">
        <v>69</v>
      </c>
      <c r="D22" s="14" t="s">
        <v>70</v>
      </c>
      <c r="E22" s="15" t="str">
        <f>"60.63"</f>
        <v>60.63</v>
      </c>
      <c r="F22" s="15"/>
      <c r="G22" s="16" t="str">
        <f>"52.32"</f>
        <v>52.32</v>
      </c>
      <c r="H22" s="17">
        <f t="shared" si="0"/>
        <v>44.32</v>
      </c>
      <c r="I22" s="18" t="s">
        <v>43</v>
      </c>
      <c r="J22" s="15">
        <v>2</v>
      </c>
      <c r="K22" s="15">
        <v>2016</v>
      </c>
      <c r="L22" s="15" t="str">
        <f>"84.92"</f>
        <v>84.92</v>
      </c>
      <c r="M22" s="15"/>
      <c r="N22" s="15"/>
      <c r="O22" s="15"/>
      <c r="P22" s="15"/>
      <c r="Q22" s="15"/>
      <c r="R22" s="15"/>
      <c r="S22" s="15"/>
      <c r="T22" s="15"/>
      <c r="U22" s="15"/>
      <c r="V22" s="15" t="str">
        <f>"36.33"</f>
        <v>36.33</v>
      </c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</row>
    <row r="23" spans="1:35">
      <c r="A23" s="14">
        <v>21</v>
      </c>
      <c r="B23" s="14">
        <v>2635</v>
      </c>
      <c r="C23" s="14" t="s">
        <v>71</v>
      </c>
      <c r="D23" s="14" t="s">
        <v>51</v>
      </c>
      <c r="E23" s="15" t="str">
        <f>"36.37"</f>
        <v>36.37</v>
      </c>
      <c r="F23" s="15"/>
      <c r="G23" s="16" t="str">
        <f>"52.60"</f>
        <v>52.60</v>
      </c>
      <c r="H23" s="17">
        <f t="shared" si="0"/>
        <v>44.6</v>
      </c>
      <c r="I23" s="18"/>
      <c r="J23" s="15">
        <v>3</v>
      </c>
      <c r="K23" s="15">
        <v>2016</v>
      </c>
      <c r="L23" s="15" t="str">
        <f>"41.75"</f>
        <v>41.75</v>
      </c>
      <c r="M23" s="15"/>
      <c r="N23" s="15"/>
      <c r="O23" s="15"/>
      <c r="P23" s="15"/>
      <c r="Q23" s="15"/>
      <c r="R23" s="15"/>
      <c r="S23" s="15"/>
      <c r="T23" s="15" t="str">
        <f>"30.99"</f>
        <v>30.99</v>
      </c>
      <c r="U23" s="15"/>
      <c r="V23" s="15"/>
      <c r="W23" s="15"/>
      <c r="X23" s="15" t="str">
        <f>"74.74"</f>
        <v>74.74</v>
      </c>
      <c r="Y23" s="15" t="str">
        <f>"74.20"</f>
        <v>74.20</v>
      </c>
      <c r="Z23" s="15"/>
      <c r="AA23" s="15"/>
      <c r="AB23" s="15"/>
      <c r="AC23" s="15"/>
      <c r="AD23" s="15"/>
      <c r="AE23" s="15"/>
      <c r="AF23" s="15"/>
      <c r="AG23" s="15"/>
      <c r="AH23" s="15"/>
      <c r="AI23" s="15"/>
    </row>
    <row r="24" spans="1:35">
      <c r="A24" s="14">
        <v>22</v>
      </c>
      <c r="B24" s="14">
        <v>4023</v>
      </c>
      <c r="C24" s="14" t="s">
        <v>72</v>
      </c>
      <c r="D24" s="14" t="s">
        <v>51</v>
      </c>
      <c r="E24" s="15" t="str">
        <f>"53.00"</f>
        <v>53.00</v>
      </c>
      <c r="F24" s="15"/>
      <c r="G24" s="16" t="str">
        <f>"53.00"</f>
        <v>53.00</v>
      </c>
      <c r="H24" s="17">
        <f t="shared" si="0"/>
        <v>45</v>
      </c>
      <c r="I24" s="18"/>
      <c r="J24" s="15">
        <v>3</v>
      </c>
      <c r="K24" s="15">
        <v>2016</v>
      </c>
      <c r="L24" s="15" t="str">
        <f>"67.72"</f>
        <v>67.72</v>
      </c>
      <c r="M24" s="15"/>
      <c r="N24" s="15"/>
      <c r="O24" s="15"/>
      <c r="P24" s="15"/>
      <c r="Q24" s="15"/>
      <c r="R24" s="15"/>
      <c r="S24" s="15"/>
      <c r="T24" s="15" t="str">
        <f>"41.91"</f>
        <v>41.91</v>
      </c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 t="str">
        <f>"75.51"</f>
        <v>75.51</v>
      </c>
      <c r="AI24" s="15" t="str">
        <f>"64.08"</f>
        <v>64.08</v>
      </c>
    </row>
    <row r="25" spans="1:35">
      <c r="A25" s="14">
        <v>23</v>
      </c>
      <c r="B25" s="14">
        <v>7626</v>
      </c>
      <c r="C25" s="14" t="s">
        <v>73</v>
      </c>
      <c r="D25" s="14" t="s">
        <v>74</v>
      </c>
      <c r="E25" s="15" t="str">
        <f>"44.26"</f>
        <v>44.26</v>
      </c>
      <c r="F25" s="15"/>
      <c r="G25" s="16" t="str">
        <f>"53.51"</f>
        <v>53.51</v>
      </c>
      <c r="H25" s="17">
        <f t="shared" si="0"/>
        <v>45.51</v>
      </c>
      <c r="I25" s="18"/>
      <c r="J25" s="15">
        <v>3</v>
      </c>
      <c r="K25" s="15">
        <v>2016</v>
      </c>
      <c r="L25" s="15" t="str">
        <f>"44.26"</f>
        <v>44.26</v>
      </c>
      <c r="M25" s="15"/>
      <c r="N25" s="15"/>
      <c r="O25" s="15"/>
      <c r="P25" s="15"/>
      <c r="Q25" s="15"/>
      <c r="R25" s="15"/>
      <c r="S25" s="15"/>
      <c r="T25" s="15"/>
      <c r="U25" s="15"/>
      <c r="V25" s="15" t="str">
        <f>"54.43"</f>
        <v>54.43</v>
      </c>
      <c r="W25" s="15"/>
      <c r="X25" s="15"/>
      <c r="Y25" s="15"/>
      <c r="Z25" s="15"/>
      <c r="AA25" s="15"/>
      <c r="AB25" s="15"/>
      <c r="AC25" s="15" t="str">
        <f>"59.28"</f>
        <v>59.28</v>
      </c>
      <c r="AD25" s="15"/>
      <c r="AE25" s="15" t="str">
        <f>"52.59"</f>
        <v>52.59</v>
      </c>
      <c r="AF25" s="15"/>
      <c r="AG25" s="15"/>
      <c r="AH25" s="15"/>
      <c r="AI25" s="15"/>
    </row>
    <row r="26" spans="1:35">
      <c r="A26" s="14">
        <v>24</v>
      </c>
      <c r="B26" s="14">
        <v>10695</v>
      </c>
      <c r="C26" s="14" t="s">
        <v>75</v>
      </c>
      <c r="D26" s="14" t="s">
        <v>76</v>
      </c>
      <c r="E26" s="15" t="str">
        <f>"26.51"</f>
        <v>26.51</v>
      </c>
      <c r="F26" s="15"/>
      <c r="G26" s="16" t="str">
        <f>"53.70"</f>
        <v>53.70</v>
      </c>
      <c r="H26" s="17">
        <f t="shared" si="0"/>
        <v>45.7</v>
      </c>
      <c r="I26" s="18" t="s">
        <v>43</v>
      </c>
      <c r="J26" s="15">
        <v>2</v>
      </c>
      <c r="K26" s="15">
        <v>2016</v>
      </c>
      <c r="L26" s="15" t="str">
        <f>"26.51"</f>
        <v>26.51</v>
      </c>
      <c r="M26" s="15"/>
      <c r="N26" s="15"/>
      <c r="O26" s="15"/>
      <c r="P26" s="15"/>
      <c r="Q26" s="15"/>
      <c r="R26" s="15"/>
      <c r="S26" s="15"/>
      <c r="T26" s="15"/>
      <c r="U26" s="15"/>
      <c r="V26" s="15" t="str">
        <f>"37.29"</f>
        <v>37.29</v>
      </c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</row>
    <row r="27" spans="1:35">
      <c r="A27" s="14">
        <v>25</v>
      </c>
      <c r="B27" s="14">
        <v>10284</v>
      </c>
      <c r="C27" s="14" t="s">
        <v>77</v>
      </c>
      <c r="D27" s="14" t="s">
        <v>45</v>
      </c>
      <c r="E27" s="15" t="str">
        <f>"53.72"</f>
        <v>53.72</v>
      </c>
      <c r="F27" s="15"/>
      <c r="G27" s="16" t="str">
        <f>"55.28"</f>
        <v>55.28</v>
      </c>
      <c r="H27" s="17">
        <f t="shared" si="0"/>
        <v>47.28</v>
      </c>
      <c r="I27" s="18"/>
      <c r="J27" s="15">
        <v>3</v>
      </c>
      <c r="K27" s="15">
        <v>2016</v>
      </c>
      <c r="L27" s="15" t="str">
        <f>"62.15"</f>
        <v>62.15</v>
      </c>
      <c r="M27" s="15"/>
      <c r="N27" s="15"/>
      <c r="O27" s="15"/>
      <c r="P27" s="15"/>
      <c r="Q27" s="15"/>
      <c r="R27" s="15"/>
      <c r="S27" s="15"/>
      <c r="T27" s="15"/>
      <c r="U27" s="15"/>
      <c r="V27" s="15" t="str">
        <f>"65.27"</f>
        <v>65.27</v>
      </c>
      <c r="W27" s="15"/>
      <c r="X27" s="15"/>
      <c r="Y27" s="15"/>
      <c r="Z27" s="15" t="str">
        <f>"45.29"</f>
        <v>45.29</v>
      </c>
      <c r="AA27" s="15"/>
      <c r="AB27" s="15"/>
      <c r="AC27" s="15"/>
      <c r="AD27" s="15"/>
      <c r="AE27" s="15"/>
      <c r="AF27" s="15"/>
      <c r="AG27" s="15"/>
      <c r="AH27" s="15"/>
      <c r="AI27" s="15"/>
    </row>
    <row r="28" spans="1:35">
      <c r="A28" s="14">
        <v>26</v>
      </c>
      <c r="B28" s="14">
        <v>3368</v>
      </c>
      <c r="C28" s="14" t="s">
        <v>78</v>
      </c>
      <c r="D28" s="14" t="s">
        <v>79</v>
      </c>
      <c r="E28" s="15" t="str">
        <f>"55.62"</f>
        <v>55.62</v>
      </c>
      <c r="F28" s="15"/>
      <c r="G28" s="16" t="str">
        <f>"55.62"</f>
        <v>55.62</v>
      </c>
      <c r="H28" s="17">
        <f t="shared" si="0"/>
        <v>47.62</v>
      </c>
      <c r="I28" s="18"/>
      <c r="J28" s="15">
        <v>3</v>
      </c>
      <c r="K28" s="15">
        <v>2016</v>
      </c>
      <c r="L28" s="15" t="str">
        <f>"62.33"</f>
        <v>62.33</v>
      </c>
      <c r="M28" s="15"/>
      <c r="N28" s="15"/>
      <c r="O28" s="15"/>
      <c r="P28" s="15"/>
      <c r="Q28" s="15" t="str">
        <f>"54.00"</f>
        <v>54.00</v>
      </c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 t="str">
        <f>"57.23"</f>
        <v>57.23</v>
      </c>
      <c r="AF28" s="15"/>
      <c r="AG28" s="15"/>
      <c r="AH28" s="15"/>
      <c r="AI28" s="15"/>
    </row>
    <row r="29" spans="1:35">
      <c r="A29" s="14">
        <v>27</v>
      </c>
      <c r="B29" s="14">
        <v>10669</v>
      </c>
      <c r="C29" s="14" t="s">
        <v>80</v>
      </c>
      <c r="D29" s="14" t="s">
        <v>45</v>
      </c>
      <c r="E29" s="15" t="str">
        <f>"45.78"</f>
        <v>45.78</v>
      </c>
      <c r="F29" s="15"/>
      <c r="G29" s="16">
        <v>55.85</v>
      </c>
      <c r="H29" s="17">
        <f t="shared" si="0"/>
        <v>47.85</v>
      </c>
      <c r="I29" s="18" t="s">
        <v>67</v>
      </c>
      <c r="J29" s="15">
        <v>1</v>
      </c>
      <c r="K29" s="15">
        <v>2016</v>
      </c>
      <c r="L29" s="15" t="str">
        <f>"45.78"</f>
        <v>45.78</v>
      </c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</row>
    <row r="30" spans="1:35">
      <c r="A30" s="14">
        <v>28</v>
      </c>
      <c r="B30" s="14">
        <v>7820</v>
      </c>
      <c r="C30" s="14" t="s">
        <v>81</v>
      </c>
      <c r="D30" s="14" t="s">
        <v>51</v>
      </c>
      <c r="E30" s="15" t="str">
        <f>"45.89"</f>
        <v>45.89</v>
      </c>
      <c r="F30" s="15"/>
      <c r="G30" s="16">
        <v>55.99</v>
      </c>
      <c r="H30" s="17">
        <f t="shared" si="0"/>
        <v>47.99</v>
      </c>
      <c r="I30" s="18" t="s">
        <v>67</v>
      </c>
      <c r="J30" s="15">
        <v>1</v>
      </c>
      <c r="K30" s="15">
        <v>2016</v>
      </c>
      <c r="L30" s="15" t="str">
        <f>"45.89"</f>
        <v>45.89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</row>
    <row r="31" spans="1:35">
      <c r="A31" s="14">
        <v>29</v>
      </c>
      <c r="B31" s="14">
        <v>2541</v>
      </c>
      <c r="C31" s="14" t="s">
        <v>82</v>
      </c>
      <c r="D31" s="14" t="s">
        <v>45</v>
      </c>
      <c r="E31" s="15" t="str">
        <f>"39.80"</f>
        <v>39.80</v>
      </c>
      <c r="F31" s="15"/>
      <c r="G31" s="16" t="str">
        <f>"56.84"</f>
        <v>56.84</v>
      </c>
      <c r="H31" s="17">
        <f t="shared" si="0"/>
        <v>48.84</v>
      </c>
      <c r="I31" s="18" t="s">
        <v>43</v>
      </c>
      <c r="J31" s="15">
        <v>2</v>
      </c>
      <c r="K31" s="15">
        <v>2016</v>
      </c>
      <c r="L31" s="15" t="str">
        <f>"40.13"</f>
        <v>40.13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 t="str">
        <f>"39.47"</f>
        <v>39.47</v>
      </c>
      <c r="AF31" s="15"/>
      <c r="AG31" s="15"/>
      <c r="AH31" s="15"/>
      <c r="AI31" s="15"/>
    </row>
    <row r="32" spans="1:35">
      <c r="A32" s="14">
        <v>30</v>
      </c>
      <c r="B32" s="14">
        <v>7844</v>
      </c>
      <c r="C32" s="14" t="s">
        <v>83</v>
      </c>
      <c r="D32" s="14" t="s">
        <v>58</v>
      </c>
      <c r="E32" s="15" t="str">
        <f>"57.41"</f>
        <v>57.41</v>
      </c>
      <c r="F32" s="15"/>
      <c r="G32" s="16" t="str">
        <f>"57.41"</f>
        <v>57.41</v>
      </c>
      <c r="H32" s="17">
        <f t="shared" si="0"/>
        <v>49.41</v>
      </c>
      <c r="I32" s="18" t="s">
        <v>67</v>
      </c>
      <c r="J32" s="15">
        <v>3</v>
      </c>
      <c r="K32" s="15">
        <v>2016</v>
      </c>
      <c r="L32" s="15" t="str">
        <f>"91.48"</f>
        <v>91.48</v>
      </c>
      <c r="M32" s="15"/>
      <c r="N32" s="15" t="str">
        <f>"78.84"</f>
        <v>78.84</v>
      </c>
      <c r="O32" s="15"/>
      <c r="P32" s="15"/>
      <c r="Q32" s="15"/>
      <c r="R32" s="15"/>
      <c r="S32" s="15"/>
      <c r="T32" s="15"/>
      <c r="U32" s="15" t="str">
        <f>"134.26"</f>
        <v>134.26</v>
      </c>
      <c r="V32" s="15" t="str">
        <f>"35.97"</f>
        <v>35.97</v>
      </c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</row>
    <row r="33" spans="1:35">
      <c r="A33" s="14">
        <v>31</v>
      </c>
      <c r="B33" s="14">
        <v>8372</v>
      </c>
      <c r="C33" s="14" t="s">
        <v>84</v>
      </c>
      <c r="D33" s="14" t="s">
        <v>85</v>
      </c>
      <c r="E33" s="15" t="str">
        <f>"33.91"</f>
        <v>33.91</v>
      </c>
      <c r="F33" s="15"/>
      <c r="G33" s="16" t="str">
        <f>"57.60"</f>
        <v>57.60</v>
      </c>
      <c r="H33" s="17">
        <f t="shared" si="0"/>
        <v>49.6</v>
      </c>
      <c r="I33" s="18" t="s">
        <v>43</v>
      </c>
      <c r="J33" s="15">
        <v>2</v>
      </c>
      <c r="K33" s="15">
        <v>2016</v>
      </c>
      <c r="L33" s="15" t="str">
        <f>"33.91"</f>
        <v>33.91</v>
      </c>
      <c r="M33" s="15"/>
      <c r="N33" s="15"/>
      <c r="O33" s="15"/>
      <c r="P33" s="15"/>
      <c r="Q33" s="15"/>
      <c r="R33" s="15"/>
      <c r="S33" s="15"/>
      <c r="T33" s="15"/>
      <c r="U33" s="15"/>
      <c r="V33" s="15" t="str">
        <f>"40.00"</f>
        <v>40.00</v>
      </c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</row>
    <row r="34" spans="1:35">
      <c r="A34" s="14">
        <v>32</v>
      </c>
      <c r="B34" s="14">
        <v>5180</v>
      </c>
      <c r="C34" s="14" t="s">
        <v>86</v>
      </c>
      <c r="D34" s="14" t="s">
        <v>51</v>
      </c>
      <c r="E34" s="15" t="str">
        <f>"46.96"</f>
        <v>46.96</v>
      </c>
      <c r="F34" s="15"/>
      <c r="G34" s="16" t="str">
        <f>"59.77"</f>
        <v>59.77</v>
      </c>
      <c r="H34" s="17">
        <f t="shared" si="0"/>
        <v>51.77</v>
      </c>
      <c r="I34" s="18"/>
      <c r="J34" s="15">
        <v>3</v>
      </c>
      <c r="K34" s="15">
        <v>2016</v>
      </c>
      <c r="L34" s="15" t="str">
        <f>"46.96"</f>
        <v>46.96</v>
      </c>
      <c r="M34" s="15"/>
      <c r="N34" s="15"/>
      <c r="O34" s="15"/>
      <c r="P34" s="15"/>
      <c r="Q34" s="15"/>
      <c r="R34" s="15"/>
      <c r="S34" s="15"/>
      <c r="T34" s="15" t="str">
        <f>"57.21"</f>
        <v>57.21</v>
      </c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 t="str">
        <f>"62.33"</f>
        <v>62.33</v>
      </c>
      <c r="AF34" s="15"/>
      <c r="AG34" s="15"/>
      <c r="AH34" s="15"/>
      <c r="AI34" s="15"/>
    </row>
    <row r="35" spans="1:35">
      <c r="A35" s="14">
        <v>33</v>
      </c>
      <c r="B35" s="14">
        <v>10682</v>
      </c>
      <c r="C35" s="14" t="s">
        <v>87</v>
      </c>
      <c r="D35" s="14" t="s">
        <v>88</v>
      </c>
      <c r="E35" s="15" t="str">
        <f>"60.24"</f>
        <v>60.24</v>
      </c>
      <c r="F35" s="15"/>
      <c r="G35" s="16" t="str">
        <f>"60.24"</f>
        <v>60.24</v>
      </c>
      <c r="H35" s="17">
        <f t="shared" si="0"/>
        <v>52.24</v>
      </c>
      <c r="I35" s="18" t="s">
        <v>43</v>
      </c>
      <c r="J35" s="15">
        <v>4</v>
      </c>
      <c r="K35" s="15">
        <v>2016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 t="str">
        <f>"41.83"</f>
        <v>41.83</v>
      </c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</row>
    <row r="36" spans="1:35">
      <c r="A36" s="14">
        <v>34</v>
      </c>
      <c r="B36" s="14">
        <v>3162</v>
      </c>
      <c r="C36" s="14" t="s">
        <v>89</v>
      </c>
      <c r="D36" s="14" t="s">
        <v>45</v>
      </c>
      <c r="E36" s="15" t="str">
        <f>"41.95"</f>
        <v>41.95</v>
      </c>
      <c r="F36" s="15"/>
      <c r="G36" s="16" t="str">
        <f>"60.41"</f>
        <v>60.41</v>
      </c>
      <c r="H36" s="17">
        <f t="shared" si="0"/>
        <v>52.41</v>
      </c>
      <c r="I36" s="18" t="s">
        <v>40</v>
      </c>
      <c r="J36" s="15">
        <v>1</v>
      </c>
      <c r="K36" s="15">
        <v>2016</v>
      </c>
      <c r="L36" s="15" t="str">
        <f>"41.95"</f>
        <v>41.95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</row>
    <row r="37" spans="1:35">
      <c r="A37" s="14">
        <v>35</v>
      </c>
      <c r="B37" s="14">
        <v>8308</v>
      </c>
      <c r="C37" s="14" t="s">
        <v>90</v>
      </c>
      <c r="D37" s="14" t="s">
        <v>58</v>
      </c>
      <c r="E37" s="15" t="str">
        <f>"51.51"</f>
        <v>51.51</v>
      </c>
      <c r="F37" s="15"/>
      <c r="G37" s="16" t="str">
        <f>"60.43"</f>
        <v>60.43</v>
      </c>
      <c r="H37" s="17">
        <f t="shared" si="0"/>
        <v>52.43</v>
      </c>
      <c r="I37" s="18"/>
      <c r="J37" s="15">
        <v>3</v>
      </c>
      <c r="K37" s="15">
        <v>2016</v>
      </c>
      <c r="L37" s="15" t="str">
        <f>"62.29"</f>
        <v>62.29</v>
      </c>
      <c r="M37" s="15"/>
      <c r="N37" s="15" t="str">
        <f>"100.77"</f>
        <v>100.77</v>
      </c>
      <c r="O37" s="15"/>
      <c r="P37" s="15"/>
      <c r="Q37" s="15"/>
      <c r="R37" s="15"/>
      <c r="S37" s="15"/>
      <c r="T37" s="15"/>
      <c r="U37" s="15" t="str">
        <f>"99.56"</f>
        <v>99.56</v>
      </c>
      <c r="V37" s="15"/>
      <c r="W37" s="15"/>
      <c r="X37" s="15"/>
      <c r="Y37" s="15"/>
      <c r="Z37" s="15" t="str">
        <f>"40.73"</f>
        <v>40.73</v>
      </c>
      <c r="AA37" s="15"/>
      <c r="AB37" s="15"/>
      <c r="AC37" s="15"/>
      <c r="AD37" s="15"/>
      <c r="AE37" s="15"/>
      <c r="AF37" s="15"/>
      <c r="AG37" s="15"/>
      <c r="AH37" s="15" t="str">
        <f>"93.49"</f>
        <v>93.49</v>
      </c>
      <c r="AI37" s="15" t="str">
        <f>"80.12"</f>
        <v>80.12</v>
      </c>
    </row>
    <row r="38" spans="1:35">
      <c r="A38" s="14">
        <v>36</v>
      </c>
      <c r="B38" s="14">
        <v>10313</v>
      </c>
      <c r="C38" s="14" t="s">
        <v>91</v>
      </c>
      <c r="D38" s="14" t="s">
        <v>92</v>
      </c>
      <c r="E38" s="15" t="str">
        <f>"44.59"</f>
        <v>44.59</v>
      </c>
      <c r="F38" s="15"/>
      <c r="G38" s="16" t="str">
        <f>"61.32"</f>
        <v>61.32</v>
      </c>
      <c r="H38" s="17">
        <f t="shared" si="0"/>
        <v>53.32</v>
      </c>
      <c r="I38" s="18"/>
      <c r="J38" s="15">
        <v>3</v>
      </c>
      <c r="K38" s="15">
        <v>2016</v>
      </c>
      <c r="L38" s="15" t="str">
        <f>"44.59"</f>
        <v>44.59</v>
      </c>
      <c r="M38" s="15"/>
      <c r="N38" s="15"/>
      <c r="O38" s="15"/>
      <c r="P38" s="15"/>
      <c r="Q38" s="15"/>
      <c r="R38" s="15"/>
      <c r="S38" s="15"/>
      <c r="T38" s="15"/>
      <c r="U38" s="15"/>
      <c r="V38" s="15" t="str">
        <f>"63.22"</f>
        <v>63.22</v>
      </c>
      <c r="W38" s="15"/>
      <c r="X38" s="15"/>
      <c r="Y38" s="15"/>
      <c r="Z38" s="15"/>
      <c r="AA38" s="15"/>
      <c r="AB38" s="15"/>
      <c r="AC38" s="15" t="str">
        <f>"59.42"</f>
        <v>59.42</v>
      </c>
      <c r="AD38" s="15"/>
      <c r="AE38" s="15"/>
      <c r="AF38" s="15"/>
      <c r="AG38" s="15"/>
      <c r="AH38" s="15"/>
      <c r="AI38" s="15"/>
    </row>
    <row r="39" spans="1:35">
      <c r="A39" s="14">
        <v>37</v>
      </c>
      <c r="B39" s="14">
        <v>6587</v>
      </c>
      <c r="C39" s="14" t="s">
        <v>93</v>
      </c>
      <c r="D39" s="14" t="s">
        <v>58</v>
      </c>
      <c r="E39" s="15" t="str">
        <f>"59.52"</f>
        <v>59.52</v>
      </c>
      <c r="F39" s="15"/>
      <c r="G39" s="16" t="str">
        <f>"62.55"</f>
        <v>62.55</v>
      </c>
      <c r="H39" s="17">
        <f t="shared" si="0"/>
        <v>54.55</v>
      </c>
      <c r="I39" s="18"/>
      <c r="J39" s="15">
        <v>3</v>
      </c>
      <c r="K39" s="15">
        <v>2016</v>
      </c>
      <c r="L39" s="15" t="str">
        <f>"67.03"</f>
        <v>67.03</v>
      </c>
      <c r="M39" s="15"/>
      <c r="N39" s="15" t="str">
        <f>"73.09"</f>
        <v>73.09</v>
      </c>
      <c r="O39" s="15"/>
      <c r="P39" s="15" t="str">
        <f>"52.01"</f>
        <v>52.01</v>
      </c>
      <c r="Q39" s="15"/>
      <c r="R39" s="15"/>
      <c r="S39" s="15"/>
      <c r="T39" s="15"/>
      <c r="U39" s="15" t="str">
        <f>"92.96"</f>
        <v>92.96</v>
      </c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</row>
    <row r="40" spans="1:35">
      <c r="A40" s="14">
        <v>38</v>
      </c>
      <c r="B40" s="14">
        <v>3900</v>
      </c>
      <c r="C40" s="14" t="s">
        <v>94</v>
      </c>
      <c r="D40" s="14" t="s">
        <v>95</v>
      </c>
      <c r="E40" s="15" t="str">
        <f>"43.88"</f>
        <v>43.88</v>
      </c>
      <c r="F40" s="15"/>
      <c r="G40" s="16" t="str">
        <f>"63.19"</f>
        <v>63.19</v>
      </c>
      <c r="H40" s="17">
        <f t="shared" si="0"/>
        <v>55.19</v>
      </c>
      <c r="I40" s="18" t="s">
        <v>40</v>
      </c>
      <c r="J40" s="15">
        <v>1</v>
      </c>
      <c r="K40" s="15">
        <v>2016</v>
      </c>
      <c r="L40" s="15" t="str">
        <f>"43.88"</f>
        <v>43.88</v>
      </c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</row>
    <row r="41" spans="1:35">
      <c r="A41" s="14">
        <v>39</v>
      </c>
      <c r="B41" s="14">
        <v>7835</v>
      </c>
      <c r="C41" s="14" t="s">
        <v>96</v>
      </c>
      <c r="D41" s="14" t="s">
        <v>51</v>
      </c>
      <c r="E41" s="15" t="str">
        <f>"63.72"</f>
        <v>63.72</v>
      </c>
      <c r="F41" s="15"/>
      <c r="G41" s="16" t="str">
        <f>"63.72"</f>
        <v>63.72</v>
      </c>
      <c r="H41" s="17">
        <f t="shared" si="0"/>
        <v>55.72</v>
      </c>
      <c r="I41" s="18"/>
      <c r="J41" s="15">
        <v>3</v>
      </c>
      <c r="K41" s="15">
        <v>2016</v>
      </c>
      <c r="L41" s="15" t="str">
        <f>"87.34"</f>
        <v>87.34</v>
      </c>
      <c r="M41" s="15"/>
      <c r="N41" s="15"/>
      <c r="O41" s="15"/>
      <c r="P41" s="15"/>
      <c r="Q41" s="15"/>
      <c r="R41" s="15"/>
      <c r="S41" s="15"/>
      <c r="T41" s="15" t="str">
        <f>"60.12"</f>
        <v>60.12</v>
      </c>
      <c r="U41" s="15"/>
      <c r="V41" s="15"/>
      <c r="W41" s="15"/>
      <c r="X41" s="15"/>
      <c r="Y41" s="15" t="str">
        <f>"67.32"</f>
        <v>67.32</v>
      </c>
      <c r="Z41" s="15"/>
      <c r="AA41" s="15"/>
      <c r="AB41" s="15"/>
      <c r="AC41" s="15"/>
      <c r="AD41" s="15"/>
      <c r="AE41" s="15"/>
      <c r="AF41" s="15"/>
      <c r="AG41" s="15"/>
      <c r="AH41" s="15"/>
      <c r="AI41" s="15"/>
    </row>
    <row r="42" spans="1:35">
      <c r="A42" s="14">
        <v>40</v>
      </c>
      <c r="B42" s="14">
        <v>9392</v>
      </c>
      <c r="C42" s="14" t="s">
        <v>97</v>
      </c>
      <c r="D42" s="14" t="s">
        <v>98</v>
      </c>
      <c r="E42" s="15" t="str">
        <f>"45.09"</f>
        <v>45.09</v>
      </c>
      <c r="F42" s="15"/>
      <c r="G42" s="16" t="str">
        <f>"64.93"</f>
        <v>64.93</v>
      </c>
      <c r="H42" s="17">
        <f t="shared" si="0"/>
        <v>56.930000000000007</v>
      </c>
      <c r="I42" s="18" t="s">
        <v>40</v>
      </c>
      <c r="J42" s="15">
        <v>1</v>
      </c>
      <c r="K42" s="15">
        <v>2016</v>
      </c>
      <c r="L42" s="15" t="str">
        <f>"45.09"</f>
        <v>45.09</v>
      </c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</row>
    <row r="43" spans="1:35">
      <c r="A43" s="14">
        <v>41</v>
      </c>
      <c r="B43" s="14">
        <v>9384</v>
      </c>
      <c r="C43" s="14" t="s">
        <v>99</v>
      </c>
      <c r="D43" s="14" t="s">
        <v>100</v>
      </c>
      <c r="E43" s="15" t="str">
        <f>"46.03"</f>
        <v>46.03</v>
      </c>
      <c r="F43" s="15"/>
      <c r="G43" s="16" t="str">
        <f>"66.28"</f>
        <v>66.28</v>
      </c>
      <c r="H43" s="17">
        <f t="shared" si="0"/>
        <v>58.28</v>
      </c>
      <c r="I43" s="18" t="s">
        <v>40</v>
      </c>
      <c r="J43" s="15">
        <v>1</v>
      </c>
      <c r="K43" s="15">
        <v>2016</v>
      </c>
      <c r="L43" s="15" t="str">
        <f>"46.03"</f>
        <v>46.03</v>
      </c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</row>
    <row r="44" spans="1:35">
      <c r="A44" s="14">
        <v>42</v>
      </c>
      <c r="B44" s="14">
        <v>2557</v>
      </c>
      <c r="C44" s="14" t="s">
        <v>101</v>
      </c>
      <c r="D44" s="14" t="s">
        <v>102</v>
      </c>
      <c r="E44" s="15" t="str">
        <f>"66.25"</f>
        <v>66.25</v>
      </c>
      <c r="F44" s="15"/>
      <c r="G44" s="16" t="str">
        <f>"68.63"</f>
        <v>68.63</v>
      </c>
      <c r="H44" s="17">
        <f t="shared" si="0"/>
        <v>60.629999999999995</v>
      </c>
      <c r="I44" s="18"/>
      <c r="J44" s="15">
        <v>3</v>
      </c>
      <c r="K44" s="15">
        <v>2016</v>
      </c>
      <c r="L44" s="15" t="str">
        <f>"73.09"</f>
        <v>73.09</v>
      </c>
      <c r="M44" s="15"/>
      <c r="N44" s="15"/>
      <c r="O44" s="15"/>
      <c r="P44" s="15"/>
      <c r="Q44" s="15"/>
      <c r="R44" s="15"/>
      <c r="S44" s="15"/>
      <c r="T44" s="15"/>
      <c r="U44" s="15"/>
      <c r="V44" s="15" t="str">
        <f>"59.41"</f>
        <v>59.41</v>
      </c>
      <c r="W44" s="15"/>
      <c r="X44" s="15"/>
      <c r="Y44" s="15"/>
      <c r="Z44" s="15"/>
      <c r="AA44" s="15"/>
      <c r="AB44" s="15"/>
      <c r="AC44" s="15" t="str">
        <f>"77.84"</f>
        <v>77.84</v>
      </c>
      <c r="AD44" s="15"/>
      <c r="AE44" s="15"/>
      <c r="AF44" s="15"/>
      <c r="AG44" s="15"/>
      <c r="AH44" s="15"/>
      <c r="AI44" s="15"/>
    </row>
    <row r="45" spans="1:35">
      <c r="A45" s="14">
        <v>43</v>
      </c>
      <c r="B45" s="14">
        <v>1226</v>
      </c>
      <c r="C45" s="14" t="s">
        <v>103</v>
      </c>
      <c r="D45" s="14" t="s">
        <v>100</v>
      </c>
      <c r="E45" s="15" t="str">
        <f>"67.99"</f>
        <v>67.99</v>
      </c>
      <c r="F45" s="15"/>
      <c r="G45" s="16" t="str">
        <f>"68.67"</f>
        <v>68.67</v>
      </c>
      <c r="H45" s="17">
        <f t="shared" si="0"/>
        <v>60.67</v>
      </c>
      <c r="I45" s="18"/>
      <c r="J45" s="15">
        <v>3</v>
      </c>
      <c r="K45" s="15">
        <v>2016</v>
      </c>
      <c r="L45" s="15" t="str">
        <f>"76.00"</f>
        <v>76.00</v>
      </c>
      <c r="M45" s="15"/>
      <c r="N45" s="15"/>
      <c r="O45" s="15"/>
      <c r="P45" s="15"/>
      <c r="Q45" s="15"/>
      <c r="R45" s="15"/>
      <c r="S45" s="15"/>
      <c r="T45" s="15"/>
      <c r="U45" s="15"/>
      <c r="V45" s="15" t="str">
        <f>"77.35"</f>
        <v>77.35</v>
      </c>
      <c r="W45" s="15"/>
      <c r="X45" s="15"/>
      <c r="Y45" s="15"/>
      <c r="Z45" s="15"/>
      <c r="AA45" s="15"/>
      <c r="AB45" s="15"/>
      <c r="AC45" s="15"/>
      <c r="AD45" s="15"/>
      <c r="AE45" s="15" t="str">
        <f>"59.98"</f>
        <v>59.98</v>
      </c>
      <c r="AF45" s="15"/>
      <c r="AG45" s="15"/>
      <c r="AH45" s="15"/>
      <c r="AI45" s="15"/>
    </row>
    <row r="46" spans="1:35">
      <c r="A46" s="14">
        <v>44</v>
      </c>
      <c r="B46" s="14">
        <v>5498</v>
      </c>
      <c r="C46" s="14" t="s">
        <v>104</v>
      </c>
      <c r="D46" s="14" t="s">
        <v>58</v>
      </c>
      <c r="E46" s="15" t="str">
        <f>"69.07"</f>
        <v>69.07</v>
      </c>
      <c r="F46" s="15"/>
      <c r="G46" s="16" t="str">
        <f>"69.07"</f>
        <v>69.07</v>
      </c>
      <c r="H46" s="17">
        <f t="shared" si="0"/>
        <v>61.069999999999993</v>
      </c>
      <c r="I46" s="18"/>
      <c r="J46" s="15">
        <v>3</v>
      </c>
      <c r="K46" s="15">
        <v>2016</v>
      </c>
      <c r="L46" s="15" t="str">
        <f>"73.03"</f>
        <v>73.03</v>
      </c>
      <c r="M46" s="15"/>
      <c r="N46" s="15" t="str">
        <f>"68.85"</f>
        <v>68.85</v>
      </c>
      <c r="O46" s="15"/>
      <c r="P46" s="15"/>
      <c r="Q46" s="15"/>
      <c r="R46" s="15"/>
      <c r="S46" s="15"/>
      <c r="T46" s="15"/>
      <c r="U46" s="15" t="str">
        <f>"69.28"</f>
        <v>69.28</v>
      </c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</row>
    <row r="47" spans="1:35">
      <c r="A47" s="14">
        <v>45</v>
      </c>
      <c r="B47" s="14">
        <v>3479</v>
      </c>
      <c r="C47" s="14" t="s">
        <v>105</v>
      </c>
      <c r="D47" s="14" t="s">
        <v>106</v>
      </c>
      <c r="E47" s="15" t="str">
        <f>"64.08"</f>
        <v>64.08</v>
      </c>
      <c r="F47" s="15"/>
      <c r="G47" s="16" t="str">
        <f>"69.99"</f>
        <v>69.99</v>
      </c>
      <c r="H47" s="17">
        <f t="shared" si="0"/>
        <v>61.989999999999995</v>
      </c>
      <c r="I47" s="18"/>
      <c r="J47" s="15">
        <v>3</v>
      </c>
      <c r="K47" s="15">
        <v>2016</v>
      </c>
      <c r="L47" s="15" t="str">
        <f>"85.39"</f>
        <v>85.39</v>
      </c>
      <c r="M47" s="15"/>
      <c r="N47" s="15"/>
      <c r="O47" s="15"/>
      <c r="P47" s="15"/>
      <c r="Q47" s="15"/>
      <c r="R47" s="15"/>
      <c r="S47" s="15"/>
      <c r="T47" s="15"/>
      <c r="U47" s="15"/>
      <c r="V47" s="15" t="str">
        <f>"97.21"</f>
        <v>97.21</v>
      </c>
      <c r="W47" s="15"/>
      <c r="X47" s="15"/>
      <c r="Y47" s="15"/>
      <c r="Z47" s="15"/>
      <c r="AA47" s="15"/>
      <c r="AB47" s="15"/>
      <c r="AC47" s="15"/>
      <c r="AD47" s="15"/>
      <c r="AE47" s="15" t="str">
        <f>"42.77"</f>
        <v>42.77</v>
      </c>
      <c r="AF47" s="15"/>
      <c r="AG47" s="15"/>
      <c r="AH47" s="15"/>
      <c r="AI47" s="15"/>
    </row>
    <row r="48" spans="1:35">
      <c r="A48" s="14">
        <v>46</v>
      </c>
      <c r="B48" s="14">
        <v>2615</v>
      </c>
      <c r="C48" s="14" t="s">
        <v>107</v>
      </c>
      <c r="D48" s="14" t="s">
        <v>108</v>
      </c>
      <c r="E48" s="15" t="str">
        <f>"60.71"</f>
        <v>60.71</v>
      </c>
      <c r="F48" s="15"/>
      <c r="G48" s="16" t="str">
        <f>"70.68"</f>
        <v>70.68</v>
      </c>
      <c r="H48" s="17">
        <f t="shared" si="0"/>
        <v>62.680000000000007</v>
      </c>
      <c r="I48" s="18" t="s">
        <v>43</v>
      </c>
      <c r="J48" s="15">
        <v>2</v>
      </c>
      <c r="K48" s="15">
        <v>2016</v>
      </c>
      <c r="L48" s="15" t="str">
        <f>"72.33"</f>
        <v>72.33</v>
      </c>
      <c r="M48" s="15"/>
      <c r="N48" s="15"/>
      <c r="O48" s="15"/>
      <c r="P48" s="15"/>
      <c r="Q48" s="15"/>
      <c r="R48" s="15"/>
      <c r="S48" s="15"/>
      <c r="T48" s="15"/>
      <c r="U48" s="15"/>
      <c r="V48" s="15" t="str">
        <f>"49.08"</f>
        <v>49.08</v>
      </c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</row>
    <row r="49" spans="1:35">
      <c r="A49" s="14">
        <v>47</v>
      </c>
      <c r="B49" s="14">
        <v>1768</v>
      </c>
      <c r="C49" s="14" t="s">
        <v>109</v>
      </c>
      <c r="D49" s="14" t="s">
        <v>110</v>
      </c>
      <c r="E49" s="15" t="str">
        <f>"37.49"</f>
        <v>37.49</v>
      </c>
      <c r="F49" s="15"/>
      <c r="G49" s="16" t="str">
        <f>"71.13"</f>
        <v>71.13</v>
      </c>
      <c r="H49" s="17">
        <f t="shared" si="0"/>
        <v>63.129999999999995</v>
      </c>
      <c r="I49" s="18"/>
      <c r="J49" s="15">
        <v>3</v>
      </c>
      <c r="K49" s="15">
        <v>2016</v>
      </c>
      <c r="L49" s="15" t="str">
        <f>"37.49"</f>
        <v>37.49</v>
      </c>
      <c r="M49" s="15"/>
      <c r="N49" s="15"/>
      <c r="O49" s="15"/>
      <c r="P49" s="15"/>
      <c r="Q49" s="15"/>
      <c r="R49" s="15"/>
      <c r="S49" s="15"/>
      <c r="T49" s="15"/>
      <c r="U49" s="15"/>
      <c r="V49" s="15" t="str">
        <f>"109.66"</f>
        <v>109.66</v>
      </c>
      <c r="W49" s="15"/>
      <c r="X49" s="15"/>
      <c r="Y49" s="15"/>
      <c r="Z49" s="15" t="str">
        <f>"92.18"</f>
        <v>92.18</v>
      </c>
      <c r="AA49" s="15"/>
      <c r="AB49" s="15"/>
      <c r="AC49" s="15"/>
      <c r="AD49" s="15"/>
      <c r="AE49" s="15" t="str">
        <f>"50.08"</f>
        <v>50.08</v>
      </c>
      <c r="AF49" s="15"/>
      <c r="AG49" s="15"/>
      <c r="AH49" s="15"/>
      <c r="AI49" s="15"/>
    </row>
    <row r="50" spans="1:35">
      <c r="A50" s="14">
        <v>48</v>
      </c>
      <c r="B50" s="14">
        <v>2147</v>
      </c>
      <c r="C50" s="14" t="s">
        <v>111</v>
      </c>
      <c r="D50" s="14" t="s">
        <v>112</v>
      </c>
      <c r="E50" s="15" t="str">
        <f>"50.11"</f>
        <v>50.11</v>
      </c>
      <c r="F50" s="15"/>
      <c r="G50" s="16" t="str">
        <f>"71.38"</f>
        <v>71.38</v>
      </c>
      <c r="H50" s="17">
        <f t="shared" si="0"/>
        <v>63.379999999999995</v>
      </c>
      <c r="I50" s="18"/>
      <c r="J50" s="15">
        <v>3</v>
      </c>
      <c r="K50" s="15">
        <v>2016</v>
      </c>
      <c r="L50" s="15" t="str">
        <f>"50.11"</f>
        <v>50.11</v>
      </c>
      <c r="M50" s="15"/>
      <c r="N50" s="15"/>
      <c r="O50" s="15"/>
      <c r="P50" s="15"/>
      <c r="Q50" s="15"/>
      <c r="R50" s="15" t="str">
        <f>"83.35"</f>
        <v>83.35</v>
      </c>
      <c r="S50" s="15"/>
      <c r="T50" s="15"/>
      <c r="U50" s="15"/>
      <c r="V50" s="15"/>
      <c r="W50" s="15" t="str">
        <f>"59.40"</f>
        <v>59.40</v>
      </c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</row>
    <row r="51" spans="1:35">
      <c r="A51" s="14">
        <v>49</v>
      </c>
      <c r="B51" s="14">
        <v>10507</v>
      </c>
      <c r="C51" s="14" t="s">
        <v>113</v>
      </c>
      <c r="D51" s="14" t="s">
        <v>58</v>
      </c>
      <c r="E51" s="15" t="str">
        <f>"49.63"</f>
        <v>49.63</v>
      </c>
      <c r="F51" s="15"/>
      <c r="G51" s="16" t="str">
        <f>"72.98"</f>
        <v>72.98</v>
      </c>
      <c r="H51" s="17">
        <f t="shared" si="0"/>
        <v>64.98</v>
      </c>
      <c r="I51" s="18"/>
      <c r="J51" s="15">
        <v>3</v>
      </c>
      <c r="K51" s="15">
        <v>2016</v>
      </c>
      <c r="L51" s="15" t="str">
        <f>"49.63"</f>
        <v>49.63</v>
      </c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 t="str">
        <f>"82.27"</f>
        <v>82.27</v>
      </c>
      <c r="AB51" s="15"/>
      <c r="AC51" s="15" t="str">
        <f>"63.69"</f>
        <v>63.69</v>
      </c>
      <c r="AD51" s="15"/>
      <c r="AE51" s="15"/>
      <c r="AF51" s="15"/>
      <c r="AG51" s="15"/>
      <c r="AH51" s="15"/>
      <c r="AI51" s="15"/>
    </row>
    <row r="52" spans="1:35">
      <c r="A52" s="14">
        <v>50</v>
      </c>
      <c r="B52" s="14">
        <v>10291</v>
      </c>
      <c r="C52" s="14" t="s">
        <v>114</v>
      </c>
      <c r="D52" s="14" t="s">
        <v>51</v>
      </c>
      <c r="E52" s="15" t="str">
        <f>"73.02"</f>
        <v>73.02</v>
      </c>
      <c r="F52" s="15"/>
      <c r="G52" s="16" t="str">
        <f>"73.02"</f>
        <v>73.02</v>
      </c>
      <c r="H52" s="17">
        <f t="shared" si="0"/>
        <v>65.02</v>
      </c>
      <c r="I52" s="18"/>
      <c r="J52" s="15">
        <v>3</v>
      </c>
      <c r="K52" s="15">
        <v>2016</v>
      </c>
      <c r="L52" s="15" t="str">
        <f>"94.61"</f>
        <v>94.61</v>
      </c>
      <c r="M52" s="15"/>
      <c r="N52" s="15"/>
      <c r="O52" s="15"/>
      <c r="P52" s="15"/>
      <c r="Q52" s="15"/>
      <c r="R52" s="15"/>
      <c r="S52" s="15"/>
      <c r="T52" s="15" t="str">
        <f>"82.66"</f>
        <v>82.66</v>
      </c>
      <c r="U52" s="15"/>
      <c r="V52" s="15" t="str">
        <f>"111.56"</f>
        <v>111.56</v>
      </c>
      <c r="W52" s="15"/>
      <c r="X52" s="15"/>
      <c r="Y52" s="15" t="str">
        <f>"90.25"</f>
        <v>90.25</v>
      </c>
      <c r="Z52" s="15" t="str">
        <f>"63.38"</f>
        <v>63.38</v>
      </c>
      <c r="AA52" s="15"/>
      <c r="AB52" s="15"/>
      <c r="AC52" s="15"/>
      <c r="AD52" s="15"/>
      <c r="AE52" s="15" t="str">
        <f>"82.76"</f>
        <v>82.76</v>
      </c>
      <c r="AF52" s="15"/>
      <c r="AG52" s="15" t="str">
        <f>"116.35"</f>
        <v>116.35</v>
      </c>
      <c r="AH52" s="15"/>
      <c r="AI52" s="15"/>
    </row>
    <row r="53" spans="1:35">
      <c r="A53" s="14">
        <v>51</v>
      </c>
      <c r="B53" s="14">
        <v>7816</v>
      </c>
      <c r="C53" s="14" t="s">
        <v>115</v>
      </c>
      <c r="D53" s="14" t="s">
        <v>51</v>
      </c>
      <c r="E53" s="15" t="str">
        <f>"74.57"</f>
        <v>74.57</v>
      </c>
      <c r="F53" s="15"/>
      <c r="G53" s="16" t="str">
        <f>"74.57"</f>
        <v>74.57</v>
      </c>
      <c r="H53" s="17">
        <f t="shared" si="0"/>
        <v>66.569999999999993</v>
      </c>
      <c r="I53" s="18"/>
      <c r="J53" s="15">
        <v>3</v>
      </c>
      <c r="K53" s="15">
        <v>2016</v>
      </c>
      <c r="L53" s="15" t="str">
        <f>"82.15"</f>
        <v>82.15</v>
      </c>
      <c r="M53" s="15"/>
      <c r="N53" s="15"/>
      <c r="O53" s="15"/>
      <c r="P53" s="15"/>
      <c r="Q53" s="15"/>
      <c r="R53" s="15"/>
      <c r="S53" s="15"/>
      <c r="T53" s="15" t="str">
        <f>"166.85"</f>
        <v>166.85</v>
      </c>
      <c r="U53" s="15"/>
      <c r="V53" s="15" t="str">
        <f>"89.59"</f>
        <v>89.59</v>
      </c>
      <c r="W53" s="15"/>
      <c r="X53" s="15" t="str">
        <f>"80.57"</f>
        <v>80.57</v>
      </c>
      <c r="Y53" s="15" t="str">
        <f>"68.87"</f>
        <v>68.87</v>
      </c>
      <c r="Z53" s="15"/>
      <c r="AA53" s="15"/>
      <c r="AB53" s="15"/>
      <c r="AC53" s="15"/>
      <c r="AD53" s="15"/>
      <c r="AE53" s="15"/>
      <c r="AF53" s="15"/>
      <c r="AG53" s="15" t="str">
        <f>"91.06"</f>
        <v>91.06</v>
      </c>
      <c r="AH53" s="15"/>
      <c r="AI53" s="15" t="str">
        <f>"80.27"</f>
        <v>80.27</v>
      </c>
    </row>
    <row r="54" spans="1:35">
      <c r="A54" s="14">
        <v>52</v>
      </c>
      <c r="B54" s="14">
        <v>4341</v>
      </c>
      <c r="C54" s="14" t="s">
        <v>116</v>
      </c>
      <c r="D54" s="14" t="s">
        <v>117</v>
      </c>
      <c r="E54" s="15" t="str">
        <f>"60.48"</f>
        <v>60.48</v>
      </c>
      <c r="F54" s="15"/>
      <c r="G54" s="16" t="str">
        <f>"74.64"</f>
        <v>74.64</v>
      </c>
      <c r="H54" s="17">
        <f t="shared" si="0"/>
        <v>66.64</v>
      </c>
      <c r="I54" s="18"/>
      <c r="J54" s="15">
        <v>3</v>
      </c>
      <c r="K54" s="15">
        <v>2016</v>
      </c>
      <c r="L54" s="15" t="str">
        <f>"60.48"</f>
        <v>60.48</v>
      </c>
      <c r="M54" s="15"/>
      <c r="N54" s="15"/>
      <c r="O54" s="15"/>
      <c r="P54" s="15"/>
      <c r="Q54" s="15" t="str">
        <f>"73.74"</f>
        <v>73.74</v>
      </c>
      <c r="R54" s="15"/>
      <c r="S54" s="15"/>
      <c r="T54" s="15"/>
      <c r="U54" s="15"/>
      <c r="V54" s="15" t="str">
        <f>"91.79"</f>
        <v>91.79</v>
      </c>
      <c r="W54" s="15"/>
      <c r="X54" s="15"/>
      <c r="Y54" s="15"/>
      <c r="Z54" s="15"/>
      <c r="AA54" s="15" t="str">
        <f>"132.19"</f>
        <v>132.19</v>
      </c>
      <c r="AB54" s="15"/>
      <c r="AC54" s="15" t="str">
        <f>"120.70"</f>
        <v>120.70</v>
      </c>
      <c r="AD54" s="15"/>
      <c r="AE54" s="15" t="str">
        <f>"75.53"</f>
        <v>75.53</v>
      </c>
      <c r="AF54" s="15"/>
      <c r="AG54" s="15"/>
      <c r="AH54" s="15"/>
      <c r="AI54" s="15"/>
    </row>
    <row r="55" spans="1:35">
      <c r="A55" s="14">
        <v>53</v>
      </c>
      <c r="B55" s="14">
        <v>4030</v>
      </c>
      <c r="C55" s="14" t="s">
        <v>118</v>
      </c>
      <c r="D55" s="14" t="s">
        <v>119</v>
      </c>
      <c r="E55" s="15" t="str">
        <f>"75.04"</f>
        <v>75.04</v>
      </c>
      <c r="F55" s="15"/>
      <c r="G55" s="16" t="str">
        <f>"75.04"</f>
        <v>75.04</v>
      </c>
      <c r="H55" s="17">
        <f t="shared" si="0"/>
        <v>67.040000000000006</v>
      </c>
      <c r="I55" s="18"/>
      <c r="J55" s="15">
        <v>3</v>
      </c>
      <c r="K55" s="15">
        <v>2016</v>
      </c>
      <c r="L55" s="15" t="str">
        <f>"99.77"</f>
        <v>99.77</v>
      </c>
      <c r="M55" s="15"/>
      <c r="N55" s="15"/>
      <c r="O55" s="15"/>
      <c r="P55" s="15"/>
      <c r="Q55" s="15" t="str">
        <f>"80.20"</f>
        <v>80.20</v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 t="str">
        <f>"69.88"</f>
        <v>69.88</v>
      </c>
      <c r="AF55" s="15"/>
      <c r="AG55" s="15"/>
      <c r="AH55" s="15"/>
      <c r="AI55" s="15"/>
    </row>
    <row r="56" spans="1:35">
      <c r="A56" s="14">
        <v>54</v>
      </c>
      <c r="B56" s="14">
        <v>6288</v>
      </c>
      <c r="C56" s="14" t="s">
        <v>120</v>
      </c>
      <c r="D56" s="14" t="s">
        <v>45</v>
      </c>
      <c r="E56" s="15" t="str">
        <f>"52.35"</f>
        <v>52.35</v>
      </c>
      <c r="F56" s="15"/>
      <c r="G56" s="16" t="str">
        <f>"75.38"</f>
        <v>75.38</v>
      </c>
      <c r="H56" s="17">
        <f t="shared" si="0"/>
        <v>67.38</v>
      </c>
      <c r="I56" s="18" t="s">
        <v>40</v>
      </c>
      <c r="J56" s="15">
        <v>1</v>
      </c>
      <c r="K56" s="15">
        <v>2016</v>
      </c>
      <c r="L56" s="15" t="str">
        <f>"52.35"</f>
        <v>52.35</v>
      </c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</row>
    <row r="57" spans="1:35">
      <c r="A57" s="14">
        <v>55</v>
      </c>
      <c r="B57" s="14">
        <v>9685</v>
      </c>
      <c r="C57" s="14" t="s">
        <v>121</v>
      </c>
      <c r="D57" s="14" t="s">
        <v>119</v>
      </c>
      <c r="E57" s="15" t="str">
        <f>"68.20"</f>
        <v>68.20</v>
      </c>
      <c r="F57" s="15"/>
      <c r="G57" s="16" t="str">
        <f>"76.26"</f>
        <v>76.26</v>
      </c>
      <c r="H57" s="17">
        <f t="shared" si="0"/>
        <v>68.260000000000005</v>
      </c>
      <c r="I57" s="18"/>
      <c r="J57" s="15">
        <v>3</v>
      </c>
      <c r="K57" s="15">
        <v>2016</v>
      </c>
      <c r="L57" s="15" t="str">
        <f>"69.58"</f>
        <v>69.58</v>
      </c>
      <c r="M57" s="15"/>
      <c r="N57" s="15"/>
      <c r="O57" s="15"/>
      <c r="P57" s="15"/>
      <c r="Q57" s="15" t="str">
        <f>"85.70"</f>
        <v>85.70</v>
      </c>
      <c r="R57" s="15"/>
      <c r="S57" s="15"/>
      <c r="T57" s="15"/>
      <c r="U57" s="15"/>
      <c r="V57" s="15"/>
      <c r="W57" s="15"/>
      <c r="X57" s="15"/>
      <c r="Y57" s="15"/>
      <c r="Z57" s="15" t="str">
        <f>"103.92"</f>
        <v>103.92</v>
      </c>
      <c r="AA57" s="15"/>
      <c r="AB57" s="15"/>
      <c r="AC57" s="15"/>
      <c r="AD57" s="15"/>
      <c r="AE57" s="15" t="str">
        <f>"66.81"</f>
        <v>66.81</v>
      </c>
      <c r="AF57" s="15"/>
      <c r="AG57" s="15"/>
      <c r="AH57" s="15"/>
      <c r="AI57" s="15"/>
    </row>
    <row r="58" spans="1:35">
      <c r="A58" s="14">
        <v>56</v>
      </c>
      <c r="B58" s="14">
        <v>6269</v>
      </c>
      <c r="C58" s="14" t="s">
        <v>122</v>
      </c>
      <c r="D58" s="14" t="s">
        <v>58</v>
      </c>
      <c r="E58" s="15" t="str">
        <f>"76.86"</f>
        <v>76.86</v>
      </c>
      <c r="F58" s="15"/>
      <c r="G58" s="16" t="str">
        <f>"76.86"</f>
        <v>76.86</v>
      </c>
      <c r="H58" s="17">
        <f t="shared" si="0"/>
        <v>68.86</v>
      </c>
      <c r="I58" s="18"/>
      <c r="J58" s="15">
        <v>3</v>
      </c>
      <c r="K58" s="15">
        <v>2016</v>
      </c>
      <c r="L58" s="15" t="str">
        <f>"112.06"</f>
        <v>112.06</v>
      </c>
      <c r="M58" s="15"/>
      <c r="N58" s="15" t="str">
        <f>"166.21"</f>
        <v>166.21</v>
      </c>
      <c r="O58" s="15"/>
      <c r="P58" s="15" t="str">
        <f>"73.97"</f>
        <v>73.97</v>
      </c>
      <c r="Q58" s="15"/>
      <c r="R58" s="15"/>
      <c r="S58" s="15"/>
      <c r="T58" s="15"/>
      <c r="U58" s="15" t="str">
        <f>"79.74"</f>
        <v>79.74</v>
      </c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</row>
    <row r="59" spans="1:35">
      <c r="A59" s="14">
        <v>57</v>
      </c>
      <c r="B59" s="14">
        <v>5421</v>
      </c>
      <c r="C59" s="14" t="s">
        <v>123</v>
      </c>
      <c r="D59" s="14" t="s">
        <v>58</v>
      </c>
      <c r="E59" s="15" t="str">
        <f>"79.20"</f>
        <v>79.20</v>
      </c>
      <c r="F59" s="15"/>
      <c r="G59" s="16" t="str">
        <f>"79.20"</f>
        <v>79.20</v>
      </c>
      <c r="H59" s="17">
        <f t="shared" si="0"/>
        <v>71.2</v>
      </c>
      <c r="I59" s="18"/>
      <c r="J59" s="15">
        <v>3</v>
      </c>
      <c r="K59" s="15">
        <v>2016</v>
      </c>
      <c r="L59" s="15" t="str">
        <f>"90.55"</f>
        <v>90.55</v>
      </c>
      <c r="M59" s="15"/>
      <c r="N59" s="15" t="str">
        <f>"161.70"</f>
        <v>161.70</v>
      </c>
      <c r="O59" s="15"/>
      <c r="P59" s="15" t="str">
        <f>"130.26"</f>
        <v>130.26</v>
      </c>
      <c r="Q59" s="15"/>
      <c r="R59" s="15"/>
      <c r="S59" s="15"/>
      <c r="T59" s="15"/>
      <c r="U59" s="15" t="str">
        <f>"102.32"</f>
        <v>102.32</v>
      </c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 t="str">
        <f>"86.92"</f>
        <v>86.92</v>
      </c>
      <c r="AH59" s="15"/>
      <c r="AI59" s="15" t="str">
        <f>"71.48"</f>
        <v>71.48</v>
      </c>
    </row>
    <row r="60" spans="1:35">
      <c r="A60" s="14">
        <v>58</v>
      </c>
      <c r="B60" s="14">
        <v>7460</v>
      </c>
      <c r="C60" s="14" t="s">
        <v>124</v>
      </c>
      <c r="D60" s="14" t="s">
        <v>125</v>
      </c>
      <c r="E60" s="15" t="str">
        <f>"57.15"</f>
        <v>57.15</v>
      </c>
      <c r="F60" s="15"/>
      <c r="G60" s="16" t="str">
        <f>"79.58"</f>
        <v>79.58</v>
      </c>
      <c r="H60" s="17">
        <f t="shared" si="0"/>
        <v>71.58</v>
      </c>
      <c r="I60" s="18"/>
      <c r="J60" s="15">
        <v>3</v>
      </c>
      <c r="K60" s="15">
        <v>2016</v>
      </c>
      <c r="L60" s="15" t="str">
        <f>"65.06"</f>
        <v>65.06</v>
      </c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 t="str">
        <f>"49.23"</f>
        <v>49.23</v>
      </c>
      <c r="X60" s="15"/>
      <c r="Y60" s="15"/>
      <c r="Z60" s="15" t="str">
        <f>"109.93"</f>
        <v>109.93</v>
      </c>
      <c r="AA60" s="15"/>
      <c r="AB60" s="15"/>
      <c r="AC60" s="15"/>
      <c r="AD60" s="15"/>
      <c r="AE60" s="15"/>
      <c r="AF60" s="15"/>
      <c r="AG60" s="15"/>
      <c r="AH60" s="15"/>
      <c r="AI60" s="15"/>
    </row>
    <row r="61" spans="1:35">
      <c r="A61" s="14">
        <v>59</v>
      </c>
      <c r="B61" s="14">
        <v>7632</v>
      </c>
      <c r="C61" s="14" t="s">
        <v>126</v>
      </c>
      <c r="D61" s="14" t="s">
        <v>127</v>
      </c>
      <c r="E61" s="15" t="str">
        <f>"73.44"</f>
        <v>73.44</v>
      </c>
      <c r="F61" s="15"/>
      <c r="G61" s="16" t="str">
        <f>"79.82"</f>
        <v>79.82</v>
      </c>
      <c r="H61" s="17">
        <f t="shared" si="0"/>
        <v>71.819999999999993</v>
      </c>
      <c r="I61" s="18" t="s">
        <v>43</v>
      </c>
      <c r="J61" s="15">
        <v>2</v>
      </c>
      <c r="K61" s="15">
        <v>2016</v>
      </c>
      <c r="L61" s="15" t="str">
        <f>"91.45"</f>
        <v>91.45</v>
      </c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 t="str">
        <f>"55.43"</f>
        <v>55.43</v>
      </c>
      <c r="AB61" s="15"/>
      <c r="AC61" s="15"/>
      <c r="AD61" s="15"/>
      <c r="AE61" s="15"/>
      <c r="AF61" s="15"/>
      <c r="AG61" s="15"/>
      <c r="AH61" s="15"/>
      <c r="AI61" s="15"/>
    </row>
    <row r="62" spans="1:35">
      <c r="A62" s="14">
        <v>60</v>
      </c>
      <c r="B62" s="14">
        <v>8310</v>
      </c>
      <c r="C62" s="14" t="s">
        <v>128</v>
      </c>
      <c r="D62" s="14" t="s">
        <v>129</v>
      </c>
      <c r="E62" s="15" t="str">
        <f>"62.41"</f>
        <v>62.41</v>
      </c>
      <c r="F62" s="15"/>
      <c r="G62" s="16" t="str">
        <f>"79.95"</f>
        <v>79.95</v>
      </c>
      <c r="H62" s="17">
        <f t="shared" si="0"/>
        <v>71.95</v>
      </c>
      <c r="I62" s="18"/>
      <c r="J62" s="15">
        <v>3</v>
      </c>
      <c r="K62" s="15">
        <v>2016</v>
      </c>
      <c r="L62" s="15" t="str">
        <f>"62.41"</f>
        <v>62.41</v>
      </c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 t="str">
        <f>"67.82"</f>
        <v>67.82</v>
      </c>
      <c r="AC62" s="15"/>
      <c r="AD62" s="15" t="str">
        <f>"92.08"</f>
        <v>92.08</v>
      </c>
      <c r="AE62" s="15"/>
      <c r="AF62" s="15"/>
      <c r="AG62" s="15"/>
      <c r="AH62" s="15"/>
      <c r="AI62" s="15"/>
    </row>
    <row r="63" spans="1:35">
      <c r="A63" s="14">
        <v>61</v>
      </c>
      <c r="B63" s="14">
        <v>6310</v>
      </c>
      <c r="C63" s="14" t="s">
        <v>130</v>
      </c>
      <c r="D63" s="14" t="s">
        <v>131</v>
      </c>
      <c r="E63" s="15" t="str">
        <f>"56.73"</f>
        <v>56.73</v>
      </c>
      <c r="F63" s="15"/>
      <c r="G63" s="16" t="str">
        <f>"81.69"</f>
        <v>81.69</v>
      </c>
      <c r="H63" s="17">
        <f t="shared" si="0"/>
        <v>73.69</v>
      </c>
      <c r="I63" s="18" t="s">
        <v>40</v>
      </c>
      <c r="J63" s="15">
        <v>1</v>
      </c>
      <c r="K63" s="15">
        <v>2016</v>
      </c>
      <c r="L63" s="15" t="str">
        <f>"56.73"</f>
        <v>56.73</v>
      </c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</row>
    <row r="64" spans="1:35">
      <c r="A64" s="14">
        <v>62</v>
      </c>
      <c r="B64" s="14">
        <v>6680</v>
      </c>
      <c r="C64" s="14" t="s">
        <v>132</v>
      </c>
      <c r="D64" s="14" t="s">
        <v>51</v>
      </c>
      <c r="E64" s="15" t="str">
        <f>"82.73"</f>
        <v>82.73</v>
      </c>
      <c r="F64" s="15"/>
      <c r="G64" s="16" t="str">
        <f>"82.73"</f>
        <v>82.73</v>
      </c>
      <c r="H64" s="17">
        <f t="shared" si="0"/>
        <v>74.73</v>
      </c>
      <c r="I64" s="18"/>
      <c r="J64" s="15">
        <v>3</v>
      </c>
      <c r="K64" s="15">
        <v>2016</v>
      </c>
      <c r="L64" s="15" t="str">
        <f>"108.04"</f>
        <v>108.04</v>
      </c>
      <c r="M64" s="15"/>
      <c r="N64" s="15"/>
      <c r="O64" s="15"/>
      <c r="P64" s="15"/>
      <c r="Q64" s="15"/>
      <c r="R64" s="15"/>
      <c r="S64" s="15"/>
      <c r="T64" s="15" t="str">
        <f>"99.95"</f>
        <v>99.95</v>
      </c>
      <c r="U64" s="15"/>
      <c r="V64" s="15" t="str">
        <f>"181.67"</f>
        <v>181.67</v>
      </c>
      <c r="W64" s="15"/>
      <c r="X64" s="15"/>
      <c r="Y64" s="15" t="str">
        <f>"97.69"</f>
        <v>97.69</v>
      </c>
      <c r="Z64" s="15" t="str">
        <f>"102.40"</f>
        <v>102.40</v>
      </c>
      <c r="AA64" s="15" t="str">
        <f>"67.76"</f>
        <v>67.76</v>
      </c>
      <c r="AB64" s="15"/>
      <c r="AC64" s="15"/>
      <c r="AD64" s="15"/>
      <c r="AE64" s="15"/>
      <c r="AF64" s="15"/>
      <c r="AG64" s="15" t="str">
        <f>"158.81"</f>
        <v>158.81</v>
      </c>
      <c r="AH64" s="15"/>
      <c r="AI64" s="15" t="str">
        <f>"111.42"</f>
        <v>111.42</v>
      </c>
    </row>
    <row r="65" spans="1:35">
      <c r="A65" s="14">
        <v>63</v>
      </c>
      <c r="B65" s="14">
        <v>4218</v>
      </c>
      <c r="C65" s="14" t="s">
        <v>133</v>
      </c>
      <c r="D65" s="14" t="s">
        <v>45</v>
      </c>
      <c r="E65" s="15" t="str">
        <f>"83.92"</f>
        <v>83.92</v>
      </c>
      <c r="F65" s="15"/>
      <c r="G65" s="16" t="str">
        <f>"84.33"</f>
        <v>84.33</v>
      </c>
      <c r="H65" s="17">
        <f t="shared" si="0"/>
        <v>76.33</v>
      </c>
      <c r="I65" s="18" t="s">
        <v>43</v>
      </c>
      <c r="J65" s="15">
        <v>2</v>
      </c>
      <c r="K65" s="15">
        <v>2016</v>
      </c>
      <c r="L65" s="15" t="str">
        <f>"109.28"</f>
        <v>109.28</v>
      </c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 t="str">
        <f>"58.56"</f>
        <v>58.56</v>
      </c>
      <c r="AF65" s="15"/>
      <c r="AG65" s="15"/>
      <c r="AH65" s="15"/>
      <c r="AI65" s="15"/>
    </row>
    <row r="66" spans="1:35">
      <c r="A66" s="14">
        <v>64</v>
      </c>
      <c r="B66" s="14">
        <v>11053</v>
      </c>
      <c r="C66" s="14" t="s">
        <v>134</v>
      </c>
      <c r="D66" s="14" t="s">
        <v>98</v>
      </c>
      <c r="E66" s="15" t="str">
        <f>"85.77"</f>
        <v>85.77</v>
      </c>
      <c r="F66" s="15"/>
      <c r="G66" s="16" t="str">
        <f>"85.77"</f>
        <v>85.77</v>
      </c>
      <c r="H66" s="17">
        <f t="shared" si="0"/>
        <v>77.77</v>
      </c>
      <c r="I66" s="18"/>
      <c r="J66" s="15">
        <v>5</v>
      </c>
      <c r="K66" s="15">
        <v>2016</v>
      </c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 t="str">
        <f>"70.84"</f>
        <v>70.84</v>
      </c>
      <c r="AA66" s="15" t="str">
        <f>"100.70"</f>
        <v>100.70</v>
      </c>
      <c r="AB66" s="15"/>
      <c r="AC66" s="15" t="str">
        <f>"113.04"</f>
        <v>113.04</v>
      </c>
      <c r="AD66" s="15"/>
      <c r="AE66" s="15"/>
      <c r="AF66" s="15"/>
      <c r="AG66" s="15"/>
      <c r="AH66" s="15"/>
      <c r="AI66" s="15"/>
    </row>
    <row r="67" spans="1:35">
      <c r="A67" s="14">
        <v>65</v>
      </c>
      <c r="B67" s="14">
        <v>2358</v>
      </c>
      <c r="C67" s="14" t="s">
        <v>135</v>
      </c>
      <c r="D67" s="14" t="s">
        <v>136</v>
      </c>
      <c r="E67" s="15" t="str">
        <f>"59.78"</f>
        <v>59.78</v>
      </c>
      <c r="F67" s="15"/>
      <c r="G67" s="16" t="str">
        <f>"86.08"</f>
        <v>86.08</v>
      </c>
      <c r="H67" s="17">
        <f t="shared" ref="H67:H130" si="1">G67-8</f>
        <v>78.08</v>
      </c>
      <c r="I67" s="18" t="s">
        <v>40</v>
      </c>
      <c r="J67" s="15">
        <v>1</v>
      </c>
      <c r="K67" s="15">
        <v>2016</v>
      </c>
      <c r="L67" s="15" t="str">
        <f>"59.78"</f>
        <v>59.78</v>
      </c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</row>
    <row r="68" spans="1:35">
      <c r="A68" s="14">
        <v>66</v>
      </c>
      <c r="B68" s="14">
        <v>8490</v>
      </c>
      <c r="C68" s="14" t="s">
        <v>137</v>
      </c>
      <c r="D68" s="14" t="s">
        <v>51</v>
      </c>
      <c r="E68" s="15" t="str">
        <f>"82.29"</f>
        <v>82.29</v>
      </c>
      <c r="F68" s="15"/>
      <c r="G68" s="16" t="str">
        <f>"87.96"</f>
        <v>87.96</v>
      </c>
      <c r="H68" s="17">
        <f t="shared" si="1"/>
        <v>79.959999999999994</v>
      </c>
      <c r="I68" s="18"/>
      <c r="J68" s="15">
        <v>3</v>
      </c>
      <c r="K68" s="15">
        <v>2016</v>
      </c>
      <c r="L68" s="15" t="str">
        <f>"100.22"</f>
        <v>100.22</v>
      </c>
      <c r="M68" s="15"/>
      <c r="N68" s="15"/>
      <c r="O68" s="15"/>
      <c r="P68" s="15"/>
      <c r="Q68" s="15"/>
      <c r="R68" s="15"/>
      <c r="S68" s="15"/>
      <c r="T68" s="15" t="str">
        <f>"253.04"</f>
        <v>253.04</v>
      </c>
      <c r="U68" s="15"/>
      <c r="V68" s="15"/>
      <c r="W68" s="15"/>
      <c r="X68" s="15"/>
      <c r="Y68" s="15"/>
      <c r="Z68" s="15" t="str">
        <f>"64.35"</f>
        <v>64.35</v>
      </c>
      <c r="AA68" s="15"/>
      <c r="AB68" s="15"/>
      <c r="AC68" s="15" t="str">
        <f>"111.57"</f>
        <v>111.57</v>
      </c>
      <c r="AD68" s="15"/>
      <c r="AE68" s="15"/>
      <c r="AF68" s="15"/>
      <c r="AG68" s="15"/>
      <c r="AH68" s="15"/>
      <c r="AI68" s="15" t="str">
        <f>"130.53"</f>
        <v>130.53</v>
      </c>
    </row>
    <row r="69" spans="1:35">
      <c r="A69" s="14">
        <v>67</v>
      </c>
      <c r="B69" s="14">
        <v>11081</v>
      </c>
      <c r="C69" s="14" t="s">
        <v>138</v>
      </c>
      <c r="D69" s="14" t="s">
        <v>139</v>
      </c>
      <c r="E69" s="15" t="str">
        <f>"88.33"</f>
        <v>88.33</v>
      </c>
      <c r="F69" s="15"/>
      <c r="G69" s="16" t="str">
        <f>"88.33"</f>
        <v>88.33</v>
      </c>
      <c r="H69" s="17">
        <f t="shared" si="1"/>
        <v>80.33</v>
      </c>
      <c r="I69" s="18"/>
      <c r="J69" s="15">
        <v>5</v>
      </c>
      <c r="K69" s="15">
        <v>2016</v>
      </c>
      <c r="L69" s="15"/>
      <c r="M69" s="15"/>
      <c r="N69" s="15"/>
      <c r="O69" s="15"/>
      <c r="P69" s="15"/>
      <c r="Q69" s="15" t="str">
        <f>"71.76"</f>
        <v>71.76</v>
      </c>
      <c r="R69" s="15"/>
      <c r="S69" s="15"/>
      <c r="T69" s="15"/>
      <c r="U69" s="15"/>
      <c r="V69" s="15" t="str">
        <f>"104.90"</f>
        <v>104.90</v>
      </c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</row>
    <row r="70" spans="1:35">
      <c r="A70" s="14">
        <v>68</v>
      </c>
      <c r="B70" s="14">
        <v>2519</v>
      </c>
      <c r="C70" s="14" t="s">
        <v>140</v>
      </c>
      <c r="D70" s="14" t="s">
        <v>131</v>
      </c>
      <c r="E70" s="15" t="str">
        <f>"46.26"</f>
        <v>46.26</v>
      </c>
      <c r="F70" s="15"/>
      <c r="G70" s="16" t="str">
        <f>"89.35"</f>
        <v>89.35</v>
      </c>
      <c r="H70" s="17">
        <f t="shared" si="1"/>
        <v>81.349999999999994</v>
      </c>
      <c r="I70" s="18"/>
      <c r="J70" s="15">
        <v>3</v>
      </c>
      <c r="K70" s="15">
        <v>2016</v>
      </c>
      <c r="L70" s="15" t="str">
        <f>"46.26"</f>
        <v>46.26</v>
      </c>
      <c r="M70" s="15"/>
      <c r="N70" s="15"/>
      <c r="O70" s="15"/>
      <c r="P70" s="15"/>
      <c r="Q70" s="15" t="str">
        <f>"92.82"</f>
        <v>92.82</v>
      </c>
      <c r="R70" s="15"/>
      <c r="S70" s="15"/>
      <c r="T70" s="15"/>
      <c r="U70" s="15"/>
      <c r="V70" s="15"/>
      <c r="W70" s="15" t="str">
        <f>"85.87"</f>
        <v>85.87</v>
      </c>
      <c r="X70" s="15"/>
      <c r="Y70" s="15"/>
      <c r="Z70" s="15" t="str">
        <f>"121.54"</f>
        <v>121.54</v>
      </c>
      <c r="AA70" s="15"/>
      <c r="AB70" s="15"/>
      <c r="AC70" s="15"/>
      <c r="AD70" s="15"/>
      <c r="AE70" s="15"/>
      <c r="AF70" s="15"/>
      <c r="AG70" s="15"/>
      <c r="AH70" s="15"/>
      <c r="AI70" s="15"/>
    </row>
    <row r="71" spans="1:35">
      <c r="A71" s="14">
        <v>69</v>
      </c>
      <c r="B71" s="14">
        <v>6757</v>
      </c>
      <c r="C71" s="14" t="s">
        <v>141</v>
      </c>
      <c r="D71" s="14" t="s">
        <v>95</v>
      </c>
      <c r="E71" s="15" t="str">
        <f>"91.01"</f>
        <v>91.01</v>
      </c>
      <c r="F71" s="15"/>
      <c r="G71" s="16" t="str">
        <f>"91.01"</f>
        <v>91.01</v>
      </c>
      <c r="H71" s="17">
        <f t="shared" si="1"/>
        <v>83.01</v>
      </c>
      <c r="I71" s="18"/>
      <c r="J71" s="15">
        <v>3</v>
      </c>
      <c r="K71" s="15">
        <v>2016</v>
      </c>
      <c r="L71" s="15" t="str">
        <f>"101.15"</f>
        <v>101.15</v>
      </c>
      <c r="M71" s="15"/>
      <c r="N71" s="15"/>
      <c r="O71" s="15"/>
      <c r="P71" s="15"/>
      <c r="Q71" s="15" t="str">
        <f>"98.47"</f>
        <v>98.47</v>
      </c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 t="str">
        <f>"83.55"</f>
        <v>83.55</v>
      </c>
      <c r="AF71" s="15"/>
      <c r="AG71" s="15"/>
      <c r="AH71" s="15"/>
      <c r="AI71" s="15"/>
    </row>
    <row r="72" spans="1:35">
      <c r="A72" s="14">
        <v>70</v>
      </c>
      <c r="B72" s="14">
        <v>4139</v>
      </c>
      <c r="C72" s="14" t="s">
        <v>142</v>
      </c>
      <c r="D72" s="14" t="s">
        <v>42</v>
      </c>
      <c r="E72" s="15" t="str">
        <f>"63.66"</f>
        <v>63.66</v>
      </c>
      <c r="F72" s="15"/>
      <c r="G72" s="16" t="str">
        <f>"91.66"</f>
        <v>91.66</v>
      </c>
      <c r="H72" s="17">
        <f t="shared" si="1"/>
        <v>83.66</v>
      </c>
      <c r="I72" s="18" t="s">
        <v>40</v>
      </c>
      <c r="J72" s="15">
        <v>1</v>
      </c>
      <c r="K72" s="15">
        <v>2016</v>
      </c>
      <c r="L72" s="15" t="str">
        <f>"63.66"</f>
        <v>63.66</v>
      </c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</row>
    <row r="73" spans="1:35">
      <c r="A73" s="14">
        <v>71</v>
      </c>
      <c r="B73" s="14">
        <v>6967</v>
      </c>
      <c r="C73" s="14" t="s">
        <v>143</v>
      </c>
      <c r="D73" s="14" t="s">
        <v>144</v>
      </c>
      <c r="E73" s="15" t="str">
        <f>"87.58"</f>
        <v>87.58</v>
      </c>
      <c r="F73" s="15"/>
      <c r="G73" s="16" t="str">
        <f>"92.34"</f>
        <v>92.34</v>
      </c>
      <c r="H73" s="17">
        <f t="shared" si="1"/>
        <v>84.34</v>
      </c>
      <c r="I73" s="18"/>
      <c r="J73" s="15">
        <v>3</v>
      </c>
      <c r="K73" s="15">
        <v>2016</v>
      </c>
      <c r="L73" s="15" t="str">
        <f>"96.99"</f>
        <v>96.99</v>
      </c>
      <c r="M73" s="15"/>
      <c r="N73" s="15"/>
      <c r="O73" s="15"/>
      <c r="P73" s="15"/>
      <c r="Q73" s="15"/>
      <c r="R73" s="15"/>
      <c r="S73" s="15"/>
      <c r="T73" s="15"/>
      <c r="U73" s="15"/>
      <c r="V73" s="15" t="str">
        <f>"106.51"</f>
        <v>106.51</v>
      </c>
      <c r="W73" s="15"/>
      <c r="X73" s="15"/>
      <c r="Y73" s="15"/>
      <c r="Z73" s="15" t="str">
        <f>"78.16"</f>
        <v>78.16</v>
      </c>
      <c r="AA73" s="15"/>
      <c r="AB73" s="15"/>
      <c r="AC73" s="15"/>
      <c r="AD73" s="15"/>
      <c r="AE73" s="15"/>
      <c r="AF73" s="15"/>
      <c r="AG73" s="15"/>
      <c r="AH73" s="15"/>
      <c r="AI73" s="15"/>
    </row>
    <row r="74" spans="1:35">
      <c r="A74" s="14">
        <v>72</v>
      </c>
      <c r="B74" s="14">
        <v>6555</v>
      </c>
      <c r="C74" s="14" t="s">
        <v>145</v>
      </c>
      <c r="D74" s="14" t="s">
        <v>146</v>
      </c>
      <c r="E74" s="15" t="str">
        <f>"50.74"</f>
        <v>50.74</v>
      </c>
      <c r="F74" s="15"/>
      <c r="G74" s="16" t="str">
        <f>"93.02"</f>
        <v>93.02</v>
      </c>
      <c r="H74" s="17">
        <f t="shared" si="1"/>
        <v>85.02</v>
      </c>
      <c r="I74" s="18" t="s">
        <v>43</v>
      </c>
      <c r="J74" s="15">
        <v>2</v>
      </c>
      <c r="K74" s="15">
        <v>2016</v>
      </c>
      <c r="L74" s="15" t="str">
        <f>"50.74"</f>
        <v>50.74</v>
      </c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 t="str">
        <f>"65.02"</f>
        <v>65.02</v>
      </c>
      <c r="AD74" s="15"/>
      <c r="AE74" s="15"/>
      <c r="AF74" s="15"/>
      <c r="AG74" s="15"/>
      <c r="AH74" s="15"/>
      <c r="AI74" s="15"/>
    </row>
    <row r="75" spans="1:35">
      <c r="A75" s="14">
        <v>73</v>
      </c>
      <c r="B75" s="14">
        <v>10040</v>
      </c>
      <c r="C75" s="14" t="s">
        <v>147</v>
      </c>
      <c r="D75" s="14" t="s">
        <v>51</v>
      </c>
      <c r="E75" s="15" t="str">
        <f>"87.44"</f>
        <v>87.44</v>
      </c>
      <c r="F75" s="15"/>
      <c r="G75" s="16" t="str">
        <f>"93.94"</f>
        <v>93.94</v>
      </c>
      <c r="H75" s="17">
        <f t="shared" si="1"/>
        <v>85.94</v>
      </c>
      <c r="I75" s="18"/>
      <c r="J75" s="15">
        <v>3</v>
      </c>
      <c r="K75" s="15">
        <v>2016</v>
      </c>
      <c r="L75" s="15" t="str">
        <f>"87.44"</f>
        <v>87.44</v>
      </c>
      <c r="M75" s="15"/>
      <c r="N75" s="15"/>
      <c r="O75" s="15"/>
      <c r="P75" s="15"/>
      <c r="Q75" s="15"/>
      <c r="R75" s="15"/>
      <c r="S75" s="15"/>
      <c r="T75" s="15" t="str">
        <f>"99.88"</f>
        <v>99.88</v>
      </c>
      <c r="U75" s="15"/>
      <c r="V75" s="15" t="str">
        <f>"133.10"</f>
        <v>133.10</v>
      </c>
      <c r="W75" s="15"/>
      <c r="X75" s="15"/>
      <c r="Y75" s="15"/>
      <c r="Z75" s="15"/>
      <c r="AA75" s="15" t="str">
        <f>"108.68"</f>
        <v>108.68</v>
      </c>
      <c r="AB75" s="15"/>
      <c r="AC75" s="15" t="str">
        <f>"88.00"</f>
        <v>88.00</v>
      </c>
      <c r="AD75" s="15"/>
      <c r="AE75" s="15" t="str">
        <f>"110.97"</f>
        <v>110.97</v>
      </c>
      <c r="AF75" s="15"/>
      <c r="AG75" s="15"/>
      <c r="AH75" s="15"/>
      <c r="AI75" s="15"/>
    </row>
    <row r="76" spans="1:35">
      <c r="A76" s="14">
        <v>74</v>
      </c>
      <c r="B76" s="14">
        <v>1740</v>
      </c>
      <c r="C76" s="14" t="s">
        <v>148</v>
      </c>
      <c r="D76" s="14" t="s">
        <v>106</v>
      </c>
      <c r="E76" s="15" t="str">
        <f>"66.14"</f>
        <v>66.14</v>
      </c>
      <c r="F76" s="15"/>
      <c r="G76" s="16" t="str">
        <f>"94.14"</f>
        <v>94.14</v>
      </c>
      <c r="H76" s="17">
        <f t="shared" si="1"/>
        <v>86.14</v>
      </c>
      <c r="I76" s="18" t="s">
        <v>40</v>
      </c>
      <c r="J76" s="15">
        <v>1</v>
      </c>
      <c r="K76" s="15">
        <v>2016</v>
      </c>
      <c r="L76" s="15" t="str">
        <f>"66.14"</f>
        <v>66.14</v>
      </c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</row>
    <row r="77" spans="1:35">
      <c r="A77" s="14">
        <v>75</v>
      </c>
      <c r="B77" s="14">
        <v>3523</v>
      </c>
      <c r="C77" s="14" t="s">
        <v>149</v>
      </c>
      <c r="D77" s="14" t="s">
        <v>150</v>
      </c>
      <c r="E77" s="15" t="str">
        <f>"71.14"</f>
        <v>71.14</v>
      </c>
      <c r="F77" s="15"/>
      <c r="G77" s="16" t="str">
        <f>"94.48"</f>
        <v>94.48</v>
      </c>
      <c r="H77" s="17">
        <f t="shared" si="1"/>
        <v>86.48</v>
      </c>
      <c r="I77" s="18"/>
      <c r="J77" s="15">
        <v>3</v>
      </c>
      <c r="K77" s="15">
        <v>2016</v>
      </c>
      <c r="L77" s="15" t="str">
        <f>"81.89"</f>
        <v>81.89</v>
      </c>
      <c r="M77" s="15"/>
      <c r="N77" s="15"/>
      <c r="O77" s="15"/>
      <c r="P77" s="15"/>
      <c r="Q77" s="15" t="str">
        <f>"60.38"</f>
        <v>60.38</v>
      </c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 t="str">
        <f>"128.57"</f>
        <v>128.57</v>
      </c>
      <c r="AF77" s="15"/>
      <c r="AG77" s="15"/>
      <c r="AH77" s="15"/>
      <c r="AI77" s="15"/>
    </row>
    <row r="78" spans="1:35">
      <c r="A78" s="14">
        <v>76</v>
      </c>
      <c r="B78" s="14">
        <v>4292</v>
      </c>
      <c r="C78" s="14" t="s">
        <v>151</v>
      </c>
      <c r="D78" s="14" t="s">
        <v>152</v>
      </c>
      <c r="E78" s="15" t="str">
        <f>"78.94"</f>
        <v>78.94</v>
      </c>
      <c r="F78" s="15"/>
      <c r="G78" s="16" t="str">
        <f>"94.97"</f>
        <v>94.97</v>
      </c>
      <c r="H78" s="17">
        <f t="shared" si="1"/>
        <v>86.97</v>
      </c>
      <c r="I78" s="18" t="s">
        <v>43</v>
      </c>
      <c r="J78" s="15">
        <v>2</v>
      </c>
      <c r="K78" s="15">
        <v>2016</v>
      </c>
      <c r="L78" s="15" t="str">
        <f>"90.90"</f>
        <v>90.90</v>
      </c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 t="str">
        <f>"66.97"</f>
        <v>66.97</v>
      </c>
      <c r="AA78" s="15"/>
      <c r="AB78" s="15"/>
      <c r="AC78" s="15"/>
      <c r="AD78" s="15"/>
      <c r="AE78" s="15"/>
      <c r="AF78" s="15"/>
      <c r="AG78" s="15"/>
      <c r="AH78" s="15"/>
      <c r="AI78" s="15"/>
    </row>
    <row r="79" spans="1:35">
      <c r="A79" s="14">
        <v>77</v>
      </c>
      <c r="B79" s="14">
        <v>2636</v>
      </c>
      <c r="C79" s="14" t="s">
        <v>153</v>
      </c>
      <c r="D79" s="14" t="s">
        <v>100</v>
      </c>
      <c r="E79" s="15" t="str">
        <f>"88.41"</f>
        <v>88.41</v>
      </c>
      <c r="F79" s="15"/>
      <c r="G79" s="16" t="str">
        <f>"95.61"</f>
        <v>95.61</v>
      </c>
      <c r="H79" s="17">
        <f t="shared" si="1"/>
        <v>87.61</v>
      </c>
      <c r="I79" s="18"/>
      <c r="J79" s="15">
        <v>3</v>
      </c>
      <c r="K79" s="15">
        <v>2016</v>
      </c>
      <c r="L79" s="15" t="str">
        <f>"96.43"</f>
        <v>96.43</v>
      </c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 t="str">
        <f>"110.83"</f>
        <v>110.83</v>
      </c>
      <c r="AA79" s="15"/>
      <c r="AB79" s="15"/>
      <c r="AC79" s="15"/>
      <c r="AD79" s="15" t="str">
        <f>"80.38"</f>
        <v>80.38</v>
      </c>
      <c r="AE79" s="15"/>
      <c r="AF79" s="15"/>
      <c r="AG79" s="15"/>
      <c r="AH79" s="15"/>
      <c r="AI79" s="15"/>
    </row>
    <row r="80" spans="1:35">
      <c r="A80" s="14">
        <v>78</v>
      </c>
      <c r="B80" s="14">
        <v>5313</v>
      </c>
      <c r="C80" s="14" t="s">
        <v>154</v>
      </c>
      <c r="D80" s="14" t="s">
        <v>155</v>
      </c>
      <c r="E80" s="15" t="str">
        <f>"67.69"</f>
        <v>67.69</v>
      </c>
      <c r="F80" s="15"/>
      <c r="G80" s="16" t="str">
        <f>"95.69"</f>
        <v>95.69</v>
      </c>
      <c r="H80" s="17">
        <f t="shared" si="1"/>
        <v>87.69</v>
      </c>
      <c r="I80" s="18" t="s">
        <v>40</v>
      </c>
      <c r="J80" s="15">
        <v>1</v>
      </c>
      <c r="K80" s="15">
        <v>2016</v>
      </c>
      <c r="L80" s="15" t="str">
        <f>"67.69"</f>
        <v>67.69</v>
      </c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</row>
    <row r="81" spans="1:35">
      <c r="A81" s="14">
        <v>79</v>
      </c>
      <c r="B81" s="14">
        <v>6289</v>
      </c>
      <c r="C81" s="14" t="s">
        <v>156</v>
      </c>
      <c r="D81" s="14" t="s">
        <v>98</v>
      </c>
      <c r="E81" s="15" t="str">
        <f>"71.93"</f>
        <v>71.93</v>
      </c>
      <c r="F81" s="15"/>
      <c r="G81" s="16" t="str">
        <f>"95.74"</f>
        <v>95.74</v>
      </c>
      <c r="H81" s="17">
        <f t="shared" si="1"/>
        <v>87.74</v>
      </c>
      <c r="I81" s="18"/>
      <c r="J81" s="15">
        <v>3</v>
      </c>
      <c r="K81" s="15">
        <v>2016</v>
      </c>
      <c r="L81" s="15" t="str">
        <f>"71.93"</f>
        <v>71.93</v>
      </c>
      <c r="M81" s="15"/>
      <c r="N81" s="15"/>
      <c r="O81" s="15"/>
      <c r="P81" s="15"/>
      <c r="Q81" s="15"/>
      <c r="R81" s="15"/>
      <c r="S81" s="15"/>
      <c r="T81" s="15"/>
      <c r="U81" s="15"/>
      <c r="V81" s="15" t="str">
        <f>"110.03"</f>
        <v>110.03</v>
      </c>
      <c r="W81" s="15"/>
      <c r="X81" s="15"/>
      <c r="Y81" s="15"/>
      <c r="Z81" s="15" t="str">
        <f>"87.42"</f>
        <v>87.42</v>
      </c>
      <c r="AA81" s="15" t="str">
        <f>"127.98"</f>
        <v>127.98</v>
      </c>
      <c r="AB81" s="15"/>
      <c r="AC81" s="15" t="str">
        <f>"104.05"</f>
        <v>104.05</v>
      </c>
      <c r="AD81" s="15"/>
      <c r="AE81" s="15"/>
      <c r="AF81" s="15"/>
      <c r="AG81" s="15"/>
      <c r="AH81" s="15"/>
      <c r="AI81" s="15"/>
    </row>
    <row r="82" spans="1:35">
      <c r="A82" s="14">
        <v>80</v>
      </c>
      <c r="B82" s="14">
        <v>5414</v>
      </c>
      <c r="C82" s="14" t="s">
        <v>157</v>
      </c>
      <c r="D82" s="14" t="s">
        <v>158</v>
      </c>
      <c r="E82" s="15" t="str">
        <f>"68.15"</f>
        <v>68.15</v>
      </c>
      <c r="F82" s="15"/>
      <c r="G82" s="16" t="str">
        <f>"96.15"</f>
        <v>96.15</v>
      </c>
      <c r="H82" s="17">
        <f t="shared" si="1"/>
        <v>88.15</v>
      </c>
      <c r="I82" s="18" t="s">
        <v>40</v>
      </c>
      <c r="J82" s="15">
        <v>1</v>
      </c>
      <c r="K82" s="15">
        <v>2016</v>
      </c>
      <c r="L82" s="15" t="str">
        <f>"68.15"</f>
        <v>68.15</v>
      </c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</row>
    <row r="83" spans="1:35">
      <c r="A83" s="14">
        <v>81</v>
      </c>
      <c r="B83" s="14">
        <v>842</v>
      </c>
      <c r="C83" s="14" t="s">
        <v>159</v>
      </c>
      <c r="D83" s="14" t="s">
        <v>55</v>
      </c>
      <c r="E83" s="15" t="str">
        <f>"92.99"</f>
        <v>92.99</v>
      </c>
      <c r="F83" s="15"/>
      <c r="G83" s="16" t="str">
        <f>"96.98"</f>
        <v>96.98</v>
      </c>
      <c r="H83" s="17">
        <f t="shared" si="1"/>
        <v>88.98</v>
      </c>
      <c r="I83" s="18"/>
      <c r="J83" s="15">
        <v>3</v>
      </c>
      <c r="K83" s="15">
        <v>2016</v>
      </c>
      <c r="L83" s="15" t="str">
        <f>"102.98"</f>
        <v>102.98</v>
      </c>
      <c r="M83" s="15"/>
      <c r="N83" s="15"/>
      <c r="O83" s="15"/>
      <c r="P83" s="15"/>
      <c r="Q83" s="15" t="str">
        <f>"82.99"</f>
        <v>82.99</v>
      </c>
      <c r="R83" s="15"/>
      <c r="S83" s="15"/>
      <c r="T83" s="15"/>
      <c r="U83" s="15"/>
      <c r="V83" s="15" t="str">
        <f>"152.37"</f>
        <v>152.37</v>
      </c>
      <c r="W83" s="15"/>
      <c r="X83" s="15"/>
      <c r="Y83" s="15"/>
      <c r="Z83" s="15" t="str">
        <f>"127.75"</f>
        <v>127.75</v>
      </c>
      <c r="AA83" s="15"/>
      <c r="AB83" s="15"/>
      <c r="AC83" s="15" t="str">
        <f>"154.58"</f>
        <v>154.58</v>
      </c>
      <c r="AD83" s="15"/>
      <c r="AE83" s="15" t="str">
        <f>"110.97"</f>
        <v>110.97</v>
      </c>
      <c r="AF83" s="15"/>
      <c r="AG83" s="15"/>
      <c r="AH83" s="15"/>
      <c r="AI83" s="15"/>
    </row>
    <row r="84" spans="1:35">
      <c r="A84" s="14">
        <v>82</v>
      </c>
      <c r="B84" s="14">
        <v>3954</v>
      </c>
      <c r="C84" s="14" t="s">
        <v>160</v>
      </c>
      <c r="D84" s="14" t="s">
        <v>39</v>
      </c>
      <c r="E84" s="15" t="str">
        <f>"93.34"</f>
        <v>93.34</v>
      </c>
      <c r="F84" s="15"/>
      <c r="G84" s="16" t="str">
        <f>"97.37"</f>
        <v>97.37</v>
      </c>
      <c r="H84" s="17">
        <f t="shared" si="1"/>
        <v>89.37</v>
      </c>
      <c r="I84" s="18"/>
      <c r="J84" s="15">
        <v>3</v>
      </c>
      <c r="K84" s="15">
        <v>2016</v>
      </c>
      <c r="L84" s="15" t="str">
        <f>"93.34"</f>
        <v>93.34</v>
      </c>
      <c r="M84" s="15"/>
      <c r="N84" s="15"/>
      <c r="O84" s="15"/>
      <c r="P84" s="15"/>
      <c r="Q84" s="15"/>
      <c r="R84" s="15" t="str">
        <f>"94.87"</f>
        <v>94.87</v>
      </c>
      <c r="S84" s="15"/>
      <c r="T84" s="15"/>
      <c r="U84" s="15"/>
      <c r="V84" s="15"/>
      <c r="W84" s="15" t="str">
        <f>"99.87"</f>
        <v>99.87</v>
      </c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</row>
    <row r="85" spans="1:35">
      <c r="A85" s="14">
        <v>83</v>
      </c>
      <c r="B85" s="14">
        <v>3405</v>
      </c>
      <c r="C85" s="14" t="s">
        <v>161</v>
      </c>
      <c r="D85" s="14" t="s">
        <v>162</v>
      </c>
      <c r="E85" s="15" t="str">
        <f>"77.36"</f>
        <v>77.36</v>
      </c>
      <c r="F85" s="15"/>
      <c r="G85" s="16" t="str">
        <f>"97.41"</f>
        <v>97.41</v>
      </c>
      <c r="H85" s="17">
        <f t="shared" si="1"/>
        <v>89.41</v>
      </c>
      <c r="I85" s="18"/>
      <c r="J85" s="15">
        <v>3</v>
      </c>
      <c r="K85" s="15">
        <v>2016</v>
      </c>
      <c r="L85" s="15" t="str">
        <f>"77.36"</f>
        <v>77.36</v>
      </c>
      <c r="M85" s="15"/>
      <c r="N85" s="15"/>
      <c r="O85" s="15"/>
      <c r="P85" s="15"/>
      <c r="Q85" s="15" t="str">
        <f>"78.88"</f>
        <v>78.88</v>
      </c>
      <c r="R85" s="15"/>
      <c r="S85" s="15"/>
      <c r="T85" s="15"/>
      <c r="U85" s="15"/>
      <c r="V85" s="15" t="str">
        <f>"123.43"</f>
        <v>123.43</v>
      </c>
      <c r="W85" s="15"/>
      <c r="X85" s="15"/>
      <c r="Y85" s="15"/>
      <c r="Z85" s="15" t="str">
        <f>"117.46"</f>
        <v>117.46</v>
      </c>
      <c r="AA85" s="15" t="str">
        <f>"115.93"</f>
        <v>115.93</v>
      </c>
      <c r="AB85" s="15"/>
      <c r="AC85" s="15" t="str">
        <f>"133.37"</f>
        <v>133.37</v>
      </c>
      <c r="AD85" s="15"/>
      <c r="AE85" s="15"/>
      <c r="AF85" s="15"/>
      <c r="AG85" s="15"/>
      <c r="AH85" s="15"/>
      <c r="AI85" s="15"/>
    </row>
    <row r="86" spans="1:35">
      <c r="A86" s="14">
        <v>84</v>
      </c>
      <c r="B86" s="14">
        <v>11093</v>
      </c>
      <c r="C86" s="14" t="s">
        <v>163</v>
      </c>
      <c r="D86" s="14" t="s">
        <v>42</v>
      </c>
      <c r="E86" s="15" t="str">
        <f>"97.78"</f>
        <v>97.78</v>
      </c>
      <c r="F86" s="15"/>
      <c r="G86" s="16" t="str">
        <f>"97.78"</f>
        <v>97.78</v>
      </c>
      <c r="H86" s="17">
        <f t="shared" si="1"/>
        <v>89.78</v>
      </c>
      <c r="I86" s="18"/>
      <c r="J86" s="15">
        <v>5</v>
      </c>
      <c r="K86" s="15">
        <v>2016</v>
      </c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 t="str">
        <f>"121.60"</f>
        <v>121.60</v>
      </c>
      <c r="AH86" s="15" t="str">
        <f>"109.74"</f>
        <v>109.74</v>
      </c>
      <c r="AI86" s="15" t="str">
        <f>"85.82"</f>
        <v>85.82</v>
      </c>
    </row>
    <row r="87" spans="1:35">
      <c r="A87" s="14">
        <v>85</v>
      </c>
      <c r="B87" s="14">
        <v>10355</v>
      </c>
      <c r="C87" s="14" t="s">
        <v>164</v>
      </c>
      <c r="D87" s="14" t="s">
        <v>165</v>
      </c>
      <c r="E87" s="15" t="str">
        <f>"97.73"</f>
        <v>97.73</v>
      </c>
      <c r="F87" s="15"/>
      <c r="G87" s="16" t="str">
        <f>"98.15"</f>
        <v>98.15</v>
      </c>
      <c r="H87" s="17">
        <f t="shared" si="1"/>
        <v>90.15</v>
      </c>
      <c r="I87" s="18"/>
      <c r="J87" s="15">
        <v>3</v>
      </c>
      <c r="K87" s="15">
        <v>2016</v>
      </c>
      <c r="L87" s="15" t="str">
        <f>"113.78"</f>
        <v>113.78</v>
      </c>
      <c r="M87" s="15"/>
      <c r="N87" s="15"/>
      <c r="O87" s="15"/>
      <c r="P87" s="15"/>
      <c r="Q87" s="15" t="str">
        <f>"81.67"</f>
        <v>81.67</v>
      </c>
      <c r="R87" s="15"/>
      <c r="S87" s="15"/>
      <c r="T87" s="15"/>
      <c r="U87" s="15"/>
      <c r="V87" s="15"/>
      <c r="W87" s="15"/>
      <c r="X87" s="15"/>
      <c r="Y87" s="15"/>
      <c r="Z87" s="15" t="str">
        <f>"114.63"</f>
        <v>114.63</v>
      </c>
      <c r="AA87" s="15"/>
      <c r="AB87" s="15"/>
      <c r="AC87" s="15"/>
      <c r="AD87" s="15"/>
      <c r="AE87" s="15"/>
      <c r="AF87" s="15"/>
      <c r="AG87" s="15"/>
      <c r="AH87" s="15"/>
      <c r="AI87" s="15"/>
    </row>
    <row r="88" spans="1:35">
      <c r="A88" s="14">
        <v>86</v>
      </c>
      <c r="B88" s="14">
        <v>10116</v>
      </c>
      <c r="C88" s="14" t="s">
        <v>166</v>
      </c>
      <c r="D88" s="14" t="s">
        <v>58</v>
      </c>
      <c r="E88" s="15" t="str">
        <f>"70.41"</f>
        <v>70.41</v>
      </c>
      <c r="F88" s="15"/>
      <c r="G88" s="16" t="str">
        <f>"98.41"</f>
        <v>98.41</v>
      </c>
      <c r="H88" s="17">
        <f t="shared" si="1"/>
        <v>90.41</v>
      </c>
      <c r="I88" s="18" t="s">
        <v>40</v>
      </c>
      <c r="J88" s="15">
        <v>1</v>
      </c>
      <c r="K88" s="15">
        <v>2016</v>
      </c>
      <c r="L88" s="15" t="str">
        <f>"70.41"</f>
        <v>70.41</v>
      </c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</row>
    <row r="89" spans="1:35">
      <c r="A89" s="14">
        <v>87</v>
      </c>
      <c r="B89" s="14">
        <v>3370</v>
      </c>
      <c r="C89" s="14" t="s">
        <v>167</v>
      </c>
      <c r="D89" s="14" t="s">
        <v>168</v>
      </c>
      <c r="E89" s="15" t="str">
        <f>"93.32"</f>
        <v>93.32</v>
      </c>
      <c r="F89" s="15"/>
      <c r="G89" s="16" t="str">
        <f>"99.17"</f>
        <v>99.17</v>
      </c>
      <c r="H89" s="17">
        <f t="shared" si="1"/>
        <v>91.17</v>
      </c>
      <c r="I89" s="18"/>
      <c r="J89" s="15">
        <v>3</v>
      </c>
      <c r="K89" s="15">
        <v>2016</v>
      </c>
      <c r="L89" s="15" t="str">
        <f>"106.65"</f>
        <v>106.65</v>
      </c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 t="str">
        <f>"118.35"</f>
        <v>118.35</v>
      </c>
      <c r="X89" s="15"/>
      <c r="Y89" s="15"/>
      <c r="Z89" s="15"/>
      <c r="AA89" s="15"/>
      <c r="AB89" s="15" t="str">
        <f>"79.98"</f>
        <v>79.98</v>
      </c>
      <c r="AC89" s="15"/>
      <c r="AD89" s="15"/>
      <c r="AE89" s="15"/>
      <c r="AF89" s="15"/>
      <c r="AG89" s="15"/>
      <c r="AH89" s="15"/>
      <c r="AI89" s="15"/>
    </row>
    <row r="90" spans="1:35">
      <c r="A90" s="14">
        <v>88</v>
      </c>
      <c r="B90" s="14">
        <v>6307</v>
      </c>
      <c r="C90" s="14" t="s">
        <v>169</v>
      </c>
      <c r="D90" s="14" t="s">
        <v>51</v>
      </c>
      <c r="E90" s="15" t="str">
        <f>"76.79"</f>
        <v>76.79</v>
      </c>
      <c r="F90" s="15"/>
      <c r="G90" s="16" t="str">
        <f>"99.29"</f>
        <v>99.29</v>
      </c>
      <c r="H90" s="17">
        <f t="shared" si="1"/>
        <v>91.29</v>
      </c>
      <c r="I90" s="18"/>
      <c r="J90" s="15">
        <v>3</v>
      </c>
      <c r="K90" s="15">
        <v>2016</v>
      </c>
      <c r="L90" s="15" t="str">
        <f>"76.79"</f>
        <v>76.79</v>
      </c>
      <c r="M90" s="15"/>
      <c r="N90" s="15"/>
      <c r="O90" s="15"/>
      <c r="P90" s="15"/>
      <c r="Q90" s="15"/>
      <c r="R90" s="15"/>
      <c r="S90" s="15"/>
      <c r="T90" s="15" t="str">
        <f>"90.24"</f>
        <v>90.24</v>
      </c>
      <c r="U90" s="15"/>
      <c r="V90" s="15"/>
      <c r="W90" s="15"/>
      <c r="X90" s="15" t="str">
        <f>"112.76"</f>
        <v>112.76</v>
      </c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 t="str">
        <f>"108.33"</f>
        <v>108.33</v>
      </c>
    </row>
    <row r="91" spans="1:35">
      <c r="A91" s="14">
        <v>89</v>
      </c>
      <c r="B91" s="14">
        <v>10950</v>
      </c>
      <c r="C91" s="14" t="s">
        <v>170</v>
      </c>
      <c r="D91" s="14" t="s">
        <v>171</v>
      </c>
      <c r="E91" s="15" t="str">
        <f>"100.69"</f>
        <v>100.69</v>
      </c>
      <c r="F91" s="15"/>
      <c r="G91" s="16" t="str">
        <f>"100.69"</f>
        <v>100.69</v>
      </c>
      <c r="H91" s="17">
        <f t="shared" si="1"/>
        <v>92.69</v>
      </c>
      <c r="I91" s="18"/>
      <c r="J91" s="15">
        <v>5</v>
      </c>
      <c r="K91" s="15">
        <v>2016</v>
      </c>
      <c r="L91" s="15"/>
      <c r="M91" s="15"/>
      <c r="N91" s="15"/>
      <c r="O91" s="15"/>
      <c r="P91" s="15"/>
      <c r="Q91" s="15" t="str">
        <f>"106.91"</f>
        <v>106.91</v>
      </c>
      <c r="R91" s="15"/>
      <c r="S91" s="15"/>
      <c r="T91" s="15"/>
      <c r="U91" s="15"/>
      <c r="V91" s="15"/>
      <c r="W91" s="15"/>
      <c r="X91" s="15"/>
      <c r="Y91" s="15"/>
      <c r="Z91" s="15" t="str">
        <f>"166.22"</f>
        <v>166.22</v>
      </c>
      <c r="AA91" s="15"/>
      <c r="AB91" s="15"/>
      <c r="AC91" s="15"/>
      <c r="AD91" s="15"/>
      <c r="AE91" s="15" t="str">
        <f>"94.47"</f>
        <v>94.47</v>
      </c>
      <c r="AF91" s="15"/>
      <c r="AG91" s="15"/>
      <c r="AH91" s="15"/>
      <c r="AI91" s="15"/>
    </row>
    <row r="92" spans="1:35">
      <c r="A92" s="14">
        <v>90</v>
      </c>
      <c r="B92" s="14">
        <v>1817</v>
      </c>
      <c r="C92" s="14" t="s">
        <v>172</v>
      </c>
      <c r="D92" s="14" t="s">
        <v>51</v>
      </c>
      <c r="E92" s="15" t="str">
        <f>"83.53"</f>
        <v>83.53</v>
      </c>
      <c r="F92" s="15"/>
      <c r="G92" s="16" t="str">
        <f>"101.57"</f>
        <v>101.57</v>
      </c>
      <c r="H92" s="17">
        <f t="shared" si="1"/>
        <v>93.57</v>
      </c>
      <c r="I92" s="18"/>
      <c r="J92" s="15">
        <v>3</v>
      </c>
      <c r="K92" s="15">
        <v>2016</v>
      </c>
      <c r="L92" s="15" t="str">
        <f>"86.48"</f>
        <v>86.48</v>
      </c>
      <c r="M92" s="15"/>
      <c r="N92" s="15"/>
      <c r="O92" s="15"/>
      <c r="P92" s="15"/>
      <c r="Q92" s="15"/>
      <c r="R92" s="15"/>
      <c r="S92" s="15"/>
      <c r="T92" s="15" t="str">
        <f>"122.56"</f>
        <v>122.56</v>
      </c>
      <c r="U92" s="15"/>
      <c r="V92" s="15" t="str">
        <f>"125.04"</f>
        <v>125.04</v>
      </c>
      <c r="W92" s="15"/>
      <c r="X92" s="15"/>
      <c r="Y92" s="15"/>
      <c r="Z92" s="15" t="str">
        <f>"80.58"</f>
        <v>80.58</v>
      </c>
      <c r="AA92" s="15" t="str">
        <f>"131.17"</f>
        <v>131.17</v>
      </c>
      <c r="AB92" s="15"/>
      <c r="AC92" s="15"/>
      <c r="AD92" s="15"/>
      <c r="AE92" s="15"/>
      <c r="AF92" s="15"/>
      <c r="AG92" s="15"/>
      <c r="AH92" s="15"/>
      <c r="AI92" s="15"/>
    </row>
    <row r="93" spans="1:35">
      <c r="A93" s="14">
        <v>91</v>
      </c>
      <c r="B93" s="14">
        <v>1879</v>
      </c>
      <c r="C93" s="14" t="s">
        <v>173</v>
      </c>
      <c r="D93" s="14" t="s">
        <v>174</v>
      </c>
      <c r="E93" s="15" t="str">
        <f>"70.64"</f>
        <v>70.64</v>
      </c>
      <c r="F93" s="15"/>
      <c r="G93" s="16" t="str">
        <f>"101.64"</f>
        <v>101.64</v>
      </c>
      <c r="H93" s="17">
        <f t="shared" si="1"/>
        <v>93.64</v>
      </c>
      <c r="I93" s="18"/>
      <c r="J93" s="15">
        <v>3</v>
      </c>
      <c r="K93" s="15">
        <v>2016</v>
      </c>
      <c r="L93" s="15" t="str">
        <f>"70.64"</f>
        <v>70.64</v>
      </c>
      <c r="M93" s="15"/>
      <c r="N93" s="15"/>
      <c r="O93" s="15"/>
      <c r="P93" s="15"/>
      <c r="Q93" s="15" t="str">
        <f>"108.75"</f>
        <v>108.75</v>
      </c>
      <c r="R93" s="15"/>
      <c r="S93" s="15"/>
      <c r="T93" s="15"/>
      <c r="U93" s="15"/>
      <c r="V93" s="15" t="str">
        <f>"151.63"</f>
        <v>151.63</v>
      </c>
      <c r="W93" s="15"/>
      <c r="X93" s="15"/>
      <c r="Y93" s="15"/>
      <c r="Z93" s="15" t="str">
        <f>"94.53"</f>
        <v>94.53</v>
      </c>
      <c r="AA93" s="15" t="str">
        <f>"114.77"</f>
        <v>114.77</v>
      </c>
      <c r="AB93" s="15"/>
      <c r="AC93" s="15" t="str">
        <f>"111.86"</f>
        <v>111.86</v>
      </c>
      <c r="AD93" s="15"/>
      <c r="AE93" s="15"/>
      <c r="AF93" s="15"/>
      <c r="AG93" s="15"/>
      <c r="AH93" s="15"/>
      <c r="AI93" s="15"/>
    </row>
    <row r="94" spans="1:35">
      <c r="A94" s="14">
        <v>92</v>
      </c>
      <c r="B94" s="14">
        <v>5247</v>
      </c>
      <c r="C94" s="14" t="s">
        <v>175</v>
      </c>
      <c r="D94" s="14" t="s">
        <v>88</v>
      </c>
      <c r="E94" s="15" t="str">
        <f>"73.79"</f>
        <v>73.79</v>
      </c>
      <c r="F94" s="15"/>
      <c r="G94" s="16" t="str">
        <f>"101.79"</f>
        <v>101.79</v>
      </c>
      <c r="H94" s="17">
        <f t="shared" si="1"/>
        <v>93.79</v>
      </c>
      <c r="I94" s="18" t="s">
        <v>40</v>
      </c>
      <c r="J94" s="15">
        <v>1</v>
      </c>
      <c r="K94" s="15">
        <v>2016</v>
      </c>
      <c r="L94" s="15" t="str">
        <f>"73.79"</f>
        <v>73.79</v>
      </c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</row>
    <row r="95" spans="1:35">
      <c r="A95" s="14">
        <v>93</v>
      </c>
      <c r="B95" s="14">
        <v>10706</v>
      </c>
      <c r="C95" s="14" t="s">
        <v>176</v>
      </c>
      <c r="D95" s="14" t="s">
        <v>127</v>
      </c>
      <c r="E95" s="15" t="str">
        <f>"73.85"</f>
        <v>73.85</v>
      </c>
      <c r="F95" s="15"/>
      <c r="G95" s="16" t="str">
        <f>"101.85"</f>
        <v>101.85</v>
      </c>
      <c r="H95" s="17">
        <f t="shared" si="1"/>
        <v>93.85</v>
      </c>
      <c r="I95" s="18" t="s">
        <v>40</v>
      </c>
      <c r="J95" s="15">
        <v>1</v>
      </c>
      <c r="K95" s="15">
        <v>2016</v>
      </c>
      <c r="L95" s="15" t="str">
        <f>"73.85"</f>
        <v>73.85</v>
      </c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</row>
    <row r="96" spans="1:35">
      <c r="A96" s="14">
        <v>94</v>
      </c>
      <c r="B96" s="14">
        <v>8494</v>
      </c>
      <c r="C96" s="14" t="s">
        <v>177</v>
      </c>
      <c r="D96" s="14" t="s">
        <v>51</v>
      </c>
      <c r="E96" s="15" t="str">
        <f>"102.57"</f>
        <v>102.57</v>
      </c>
      <c r="F96" s="15"/>
      <c r="G96" s="16" t="str">
        <f>"102.57"</f>
        <v>102.57</v>
      </c>
      <c r="H96" s="17">
        <f t="shared" si="1"/>
        <v>94.57</v>
      </c>
      <c r="I96" s="18"/>
      <c r="J96" s="15">
        <v>3</v>
      </c>
      <c r="K96" s="15">
        <v>2016</v>
      </c>
      <c r="L96" s="15" t="str">
        <f>"124.67"</f>
        <v>124.67</v>
      </c>
      <c r="M96" s="15"/>
      <c r="N96" s="15"/>
      <c r="O96" s="15"/>
      <c r="P96" s="15"/>
      <c r="Q96" s="15"/>
      <c r="R96" s="15"/>
      <c r="S96" s="15"/>
      <c r="T96" s="15" t="str">
        <f>"284.93"</f>
        <v>284.93</v>
      </c>
      <c r="U96" s="15"/>
      <c r="V96" s="15"/>
      <c r="W96" s="15"/>
      <c r="X96" s="15"/>
      <c r="Y96" s="15"/>
      <c r="Z96" s="15" t="str">
        <f>"83.55"</f>
        <v>83.55</v>
      </c>
      <c r="AA96" s="15"/>
      <c r="AB96" s="15"/>
      <c r="AC96" s="15" t="str">
        <f>"121.58"</f>
        <v>121.58</v>
      </c>
      <c r="AD96" s="15"/>
      <c r="AE96" s="15" t="str">
        <f>"124.48"</f>
        <v>124.48</v>
      </c>
      <c r="AF96" s="15"/>
      <c r="AG96" s="15"/>
      <c r="AH96" s="15"/>
      <c r="AI96" s="15"/>
    </row>
    <row r="97" spans="1:35">
      <c r="A97" s="14">
        <v>95</v>
      </c>
      <c r="B97" s="14">
        <v>1230</v>
      </c>
      <c r="C97" s="14" t="s">
        <v>178</v>
      </c>
      <c r="D97" s="14" t="s">
        <v>179</v>
      </c>
      <c r="E97" s="15" t="str">
        <f>"102.58"</f>
        <v>102.58</v>
      </c>
      <c r="F97" s="15"/>
      <c r="G97" s="16" t="str">
        <f>"102.58"</f>
        <v>102.58</v>
      </c>
      <c r="H97" s="17">
        <f t="shared" si="1"/>
        <v>94.58</v>
      </c>
      <c r="I97" s="18"/>
      <c r="J97" s="15">
        <v>5</v>
      </c>
      <c r="K97" s="15">
        <v>2016</v>
      </c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 t="str">
        <f>"154.05"</f>
        <v>154.05</v>
      </c>
      <c r="W97" s="15"/>
      <c r="X97" s="15"/>
      <c r="Y97" s="15"/>
      <c r="Z97" s="15" t="str">
        <f>"75.40"</f>
        <v>75.40</v>
      </c>
      <c r="AA97" s="15"/>
      <c r="AB97" s="15"/>
      <c r="AC97" s="15"/>
      <c r="AD97" s="15"/>
      <c r="AE97" s="15" t="str">
        <f>"129.75"</f>
        <v>129.75</v>
      </c>
      <c r="AF97" s="15"/>
      <c r="AG97" s="15"/>
      <c r="AH97" s="15"/>
      <c r="AI97" s="15"/>
    </row>
    <row r="98" spans="1:35">
      <c r="A98" s="14">
        <v>96</v>
      </c>
      <c r="B98" s="14">
        <v>1868</v>
      </c>
      <c r="C98" s="14" t="s">
        <v>180</v>
      </c>
      <c r="D98" s="14" t="s">
        <v>51</v>
      </c>
      <c r="E98" s="15" t="str">
        <f>"89.03"</f>
        <v>89.03</v>
      </c>
      <c r="F98" s="15"/>
      <c r="G98" s="16">
        <v>103.03</v>
      </c>
      <c r="H98" s="17">
        <f t="shared" si="1"/>
        <v>95.03</v>
      </c>
      <c r="I98" s="18" t="s">
        <v>67</v>
      </c>
      <c r="J98" s="15">
        <v>1</v>
      </c>
      <c r="K98" s="15">
        <v>2016</v>
      </c>
      <c r="L98" s="15" t="str">
        <f>"89.03"</f>
        <v>89.03</v>
      </c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</row>
    <row r="99" spans="1:35">
      <c r="A99" s="14">
        <v>97</v>
      </c>
      <c r="B99" s="14">
        <v>3351</v>
      </c>
      <c r="C99" s="14" t="s">
        <v>181</v>
      </c>
      <c r="D99" s="14" t="s">
        <v>182</v>
      </c>
      <c r="E99" s="15" t="str">
        <f>"42.12"</f>
        <v>42.12</v>
      </c>
      <c r="F99" s="15"/>
      <c r="G99" s="16" t="str">
        <f>"103.12"</f>
        <v>103.12</v>
      </c>
      <c r="H99" s="17">
        <f t="shared" si="1"/>
        <v>95.12</v>
      </c>
      <c r="I99" s="18" t="s">
        <v>43</v>
      </c>
      <c r="J99" s="15">
        <v>2</v>
      </c>
      <c r="K99" s="15">
        <v>2016</v>
      </c>
      <c r="L99" s="15" t="str">
        <f>"42.12"</f>
        <v>42.12</v>
      </c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 t="str">
        <f>"75.12"</f>
        <v>75.12</v>
      </c>
      <c r="AA99" s="15"/>
      <c r="AB99" s="15"/>
      <c r="AC99" s="15"/>
      <c r="AD99" s="15"/>
      <c r="AE99" s="15"/>
      <c r="AF99" s="15"/>
      <c r="AG99" s="15"/>
      <c r="AH99" s="15"/>
      <c r="AI99" s="15"/>
    </row>
    <row r="100" spans="1:35">
      <c r="A100" s="14">
        <v>98</v>
      </c>
      <c r="B100" s="14">
        <v>3112</v>
      </c>
      <c r="C100" s="14" t="s">
        <v>183</v>
      </c>
      <c r="D100" s="14" t="s">
        <v>184</v>
      </c>
      <c r="E100" s="15" t="str">
        <f>"65.01"</f>
        <v>65.01</v>
      </c>
      <c r="F100" s="15"/>
      <c r="G100" s="16" t="str">
        <f>"103.26"</f>
        <v>103.26</v>
      </c>
      <c r="H100" s="17">
        <f t="shared" si="1"/>
        <v>95.26</v>
      </c>
      <c r="I100" s="18"/>
      <c r="J100" s="15">
        <v>3</v>
      </c>
      <c r="K100" s="15">
        <v>2016</v>
      </c>
      <c r="L100" s="15" t="str">
        <f>"65.01"</f>
        <v>65.01</v>
      </c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 t="str">
        <f>"74.09"</f>
        <v>74.09</v>
      </c>
      <c r="X100" s="15"/>
      <c r="Y100" s="15"/>
      <c r="Z100" s="15"/>
      <c r="AA100" s="15"/>
      <c r="AB100" s="15" t="str">
        <f>"132.43"</f>
        <v>132.43</v>
      </c>
      <c r="AC100" s="15"/>
      <c r="AD100" s="15"/>
      <c r="AE100" s="15"/>
      <c r="AF100" s="15"/>
      <c r="AG100" s="15"/>
      <c r="AH100" s="15"/>
      <c r="AI100" s="15"/>
    </row>
    <row r="101" spans="1:35">
      <c r="A101" s="14">
        <v>99</v>
      </c>
      <c r="B101" s="14">
        <v>3703</v>
      </c>
      <c r="C101" s="14" t="s">
        <v>185</v>
      </c>
      <c r="D101" s="14" t="s">
        <v>47</v>
      </c>
      <c r="E101" s="15" t="str">
        <f>"95.67"</f>
        <v>95.67</v>
      </c>
      <c r="F101" s="15"/>
      <c r="G101" s="16" t="str">
        <f>"103.37"</f>
        <v>103.37</v>
      </c>
      <c r="H101" s="17">
        <f t="shared" si="1"/>
        <v>95.37</v>
      </c>
      <c r="I101" s="18"/>
      <c r="J101" s="15">
        <v>3</v>
      </c>
      <c r="K101" s="15">
        <v>2016</v>
      </c>
      <c r="L101" s="15" t="str">
        <f>"99.03"</f>
        <v>99.03</v>
      </c>
      <c r="M101" s="15"/>
      <c r="N101" s="15"/>
      <c r="O101" s="15"/>
      <c r="P101" s="15"/>
      <c r="Q101" s="15" t="str">
        <f>"92.31"</f>
        <v>92.31</v>
      </c>
      <c r="R101" s="15"/>
      <c r="S101" s="15"/>
      <c r="T101" s="15"/>
      <c r="U101" s="15"/>
      <c r="V101" s="15" t="str">
        <f>"159.03"</f>
        <v>159.03</v>
      </c>
      <c r="W101" s="15"/>
      <c r="X101" s="15"/>
      <c r="Y101" s="15"/>
      <c r="Z101" s="15"/>
      <c r="AA101" s="15"/>
      <c r="AB101" s="15"/>
      <c r="AC101" s="15"/>
      <c r="AD101" s="15"/>
      <c r="AE101" s="15" t="str">
        <f>"114.43"</f>
        <v>114.43</v>
      </c>
      <c r="AF101" s="15"/>
      <c r="AG101" s="15"/>
      <c r="AH101" s="15"/>
      <c r="AI101" s="15"/>
    </row>
    <row r="102" spans="1:35">
      <c r="A102" s="14">
        <v>100</v>
      </c>
      <c r="B102" s="14">
        <v>6871</v>
      </c>
      <c r="C102" s="14" t="s">
        <v>186</v>
      </c>
      <c r="D102" s="14" t="s">
        <v>187</v>
      </c>
      <c r="E102" s="15" t="str">
        <f>"62.59"</f>
        <v>62.59</v>
      </c>
      <c r="F102" s="15"/>
      <c r="G102" s="16" t="str">
        <f>"104.62"</f>
        <v>104.62</v>
      </c>
      <c r="H102" s="17">
        <f t="shared" si="1"/>
        <v>96.62</v>
      </c>
      <c r="I102" s="18" t="s">
        <v>43</v>
      </c>
      <c r="J102" s="15">
        <v>2</v>
      </c>
      <c r="K102" s="15">
        <v>2016</v>
      </c>
      <c r="L102" s="15" t="str">
        <f>"62.59"</f>
        <v>62.59</v>
      </c>
      <c r="M102" s="15"/>
      <c r="N102" s="15"/>
      <c r="O102" s="15"/>
      <c r="P102" s="15"/>
      <c r="Q102" s="15"/>
      <c r="R102" s="15"/>
      <c r="S102" s="15"/>
      <c r="T102" s="15"/>
      <c r="U102" s="15"/>
      <c r="V102" s="15" t="str">
        <f>"76.62"</f>
        <v>76.62</v>
      </c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</row>
    <row r="103" spans="1:35">
      <c r="A103" s="14">
        <v>101</v>
      </c>
      <c r="B103" s="14">
        <v>2915</v>
      </c>
      <c r="C103" s="14" t="s">
        <v>188</v>
      </c>
      <c r="D103" s="14" t="s">
        <v>189</v>
      </c>
      <c r="E103" s="15" t="str">
        <f>"76.70"</f>
        <v>76.70</v>
      </c>
      <c r="F103" s="15"/>
      <c r="G103" s="16" t="str">
        <f>"104.70"</f>
        <v>104.70</v>
      </c>
      <c r="H103" s="17">
        <f t="shared" si="1"/>
        <v>96.7</v>
      </c>
      <c r="I103" s="18" t="s">
        <v>40</v>
      </c>
      <c r="J103" s="15">
        <v>1</v>
      </c>
      <c r="K103" s="15">
        <v>2016</v>
      </c>
      <c r="L103" s="15" t="str">
        <f>"76.70"</f>
        <v>76.70</v>
      </c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</row>
    <row r="104" spans="1:35">
      <c r="A104" s="14">
        <v>102</v>
      </c>
      <c r="B104" s="14">
        <v>7217</v>
      </c>
      <c r="C104" s="14" t="s">
        <v>190</v>
      </c>
      <c r="D104" s="14" t="s">
        <v>131</v>
      </c>
      <c r="E104" s="15" t="str">
        <f>"52.62"</f>
        <v>52.62</v>
      </c>
      <c r="F104" s="15"/>
      <c r="G104" s="16" t="str">
        <f>"105.35"</f>
        <v>105.35</v>
      </c>
      <c r="H104" s="17">
        <f t="shared" si="1"/>
        <v>97.35</v>
      </c>
      <c r="I104" s="18" t="s">
        <v>43</v>
      </c>
      <c r="J104" s="15">
        <v>2</v>
      </c>
      <c r="K104" s="15">
        <v>2016</v>
      </c>
      <c r="L104" s="15" t="str">
        <f>"52.62"</f>
        <v>52.62</v>
      </c>
      <c r="M104" s="15"/>
      <c r="N104" s="15"/>
      <c r="O104" s="15"/>
      <c r="P104" s="15"/>
      <c r="Q104" s="15"/>
      <c r="R104" s="15"/>
      <c r="S104" s="15"/>
      <c r="T104" s="15"/>
      <c r="U104" s="15"/>
      <c r="V104" s="15" t="str">
        <f>"77.35"</f>
        <v>77.35</v>
      </c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</row>
    <row r="105" spans="1:35">
      <c r="A105" s="14">
        <v>103</v>
      </c>
      <c r="B105" s="14">
        <v>1108</v>
      </c>
      <c r="C105" s="14" t="s">
        <v>191</v>
      </c>
      <c r="D105" s="14" t="s">
        <v>192</v>
      </c>
      <c r="E105" s="15" t="str">
        <f>"77.50"</f>
        <v>77.50</v>
      </c>
      <c r="F105" s="15"/>
      <c r="G105" s="16" t="str">
        <f>"105.50"</f>
        <v>105.50</v>
      </c>
      <c r="H105" s="17">
        <f t="shared" si="1"/>
        <v>97.5</v>
      </c>
      <c r="I105" s="18" t="s">
        <v>40</v>
      </c>
      <c r="J105" s="15">
        <v>1</v>
      </c>
      <c r="K105" s="15">
        <v>2016</v>
      </c>
      <c r="L105" s="15" t="str">
        <f>"77.50"</f>
        <v>77.50</v>
      </c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</row>
    <row r="106" spans="1:35">
      <c r="A106" s="14">
        <v>104</v>
      </c>
      <c r="B106" s="14">
        <v>1312</v>
      </c>
      <c r="C106" s="14" t="s">
        <v>193</v>
      </c>
      <c r="D106" s="14" t="s">
        <v>112</v>
      </c>
      <c r="E106" s="15" t="str">
        <f>"42.77"</f>
        <v>42.77</v>
      </c>
      <c r="F106" s="15"/>
      <c r="G106" s="16" t="str">
        <f>"105.57"</f>
        <v>105.57</v>
      </c>
      <c r="H106" s="17">
        <f t="shared" si="1"/>
        <v>97.57</v>
      </c>
      <c r="I106" s="18" t="s">
        <v>43</v>
      </c>
      <c r="J106" s="15">
        <v>2</v>
      </c>
      <c r="K106" s="15">
        <v>2016</v>
      </c>
      <c r="L106" s="15" t="str">
        <f>"42.77"</f>
        <v>42.77</v>
      </c>
      <c r="M106" s="15"/>
      <c r="N106" s="15"/>
      <c r="O106" s="15"/>
      <c r="P106" s="15"/>
      <c r="Q106" s="15"/>
      <c r="R106" s="15"/>
      <c r="S106" s="15"/>
      <c r="T106" s="15"/>
      <c r="U106" s="15"/>
      <c r="V106" s="15" t="str">
        <f>"77.57"</f>
        <v>77.57</v>
      </c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</row>
    <row r="107" spans="1:35">
      <c r="A107" s="14">
        <v>105</v>
      </c>
      <c r="B107" s="14">
        <v>5257</v>
      </c>
      <c r="C107" s="14" t="s">
        <v>194</v>
      </c>
      <c r="D107" s="14" t="s">
        <v>195</v>
      </c>
      <c r="E107" s="15" t="str">
        <f>"86.63"</f>
        <v>86.63</v>
      </c>
      <c r="F107" s="15"/>
      <c r="G107" s="16" t="str">
        <f>"105.86"</f>
        <v>105.86</v>
      </c>
      <c r="H107" s="17">
        <f t="shared" si="1"/>
        <v>97.86</v>
      </c>
      <c r="I107" s="18"/>
      <c r="J107" s="15">
        <v>3</v>
      </c>
      <c r="K107" s="15">
        <v>2016</v>
      </c>
      <c r="L107" s="15" t="str">
        <f>"86.95"</f>
        <v>86.95</v>
      </c>
      <c r="M107" s="15"/>
      <c r="N107" s="15"/>
      <c r="O107" s="15"/>
      <c r="P107" s="15"/>
      <c r="Q107" s="15"/>
      <c r="R107" s="15"/>
      <c r="S107" s="15"/>
      <c r="T107" s="15"/>
      <c r="U107" s="15"/>
      <c r="V107" s="15" t="str">
        <f>"239.61"</f>
        <v>239.61</v>
      </c>
      <c r="W107" s="15"/>
      <c r="X107" s="15"/>
      <c r="Y107" s="15"/>
      <c r="Z107" s="15" t="str">
        <f>"127.48"</f>
        <v>127.48</v>
      </c>
      <c r="AA107" s="15" t="str">
        <f>"161.50"</f>
        <v>161.50</v>
      </c>
      <c r="AB107" s="15"/>
      <c r="AC107" s="15" t="str">
        <f>"125.41"</f>
        <v>125.41</v>
      </c>
      <c r="AD107" s="15"/>
      <c r="AE107" s="15" t="str">
        <f>"86.30"</f>
        <v>86.30</v>
      </c>
      <c r="AF107" s="15"/>
      <c r="AG107" s="15"/>
      <c r="AH107" s="15"/>
      <c r="AI107" s="15"/>
    </row>
    <row r="108" spans="1:35">
      <c r="A108" s="14">
        <v>106</v>
      </c>
      <c r="B108" s="14">
        <v>5759</v>
      </c>
      <c r="C108" s="14" t="s">
        <v>196</v>
      </c>
      <c r="D108" s="14" t="s">
        <v>197</v>
      </c>
      <c r="E108" s="15" t="str">
        <f>"106.63"</f>
        <v>106.63</v>
      </c>
      <c r="F108" s="15"/>
      <c r="G108" s="16" t="str">
        <f>"106.63"</f>
        <v>106.63</v>
      </c>
      <c r="H108" s="17">
        <f t="shared" si="1"/>
        <v>98.63</v>
      </c>
      <c r="I108" s="18"/>
      <c r="J108" s="15">
        <v>3</v>
      </c>
      <c r="K108" s="15">
        <v>2016</v>
      </c>
      <c r="L108" s="15" t="str">
        <f>"127.02"</f>
        <v>127.02</v>
      </c>
      <c r="M108" s="15"/>
      <c r="N108" s="15"/>
      <c r="O108" s="15"/>
      <c r="P108" s="15"/>
      <c r="Q108" s="15" t="str">
        <f>"108.97"</f>
        <v>108.97</v>
      </c>
      <c r="R108" s="15"/>
      <c r="S108" s="15"/>
      <c r="T108" s="15"/>
      <c r="U108" s="15"/>
      <c r="V108" s="15"/>
      <c r="W108" s="15" t="str">
        <f>"104.28"</f>
        <v>104.28</v>
      </c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</row>
    <row r="109" spans="1:35">
      <c r="A109" s="14">
        <v>107</v>
      </c>
      <c r="B109" s="14">
        <v>1174</v>
      </c>
      <c r="C109" s="14" t="s">
        <v>198</v>
      </c>
      <c r="D109" s="14" t="s">
        <v>98</v>
      </c>
      <c r="E109" s="15" t="str">
        <f>"103.45"</f>
        <v>103.45</v>
      </c>
      <c r="F109" s="15"/>
      <c r="G109" s="16" t="str">
        <f>"107.22"</f>
        <v>107.22</v>
      </c>
      <c r="H109" s="17">
        <f t="shared" si="1"/>
        <v>99.22</v>
      </c>
      <c r="I109" s="18"/>
      <c r="J109" s="15">
        <v>3</v>
      </c>
      <c r="K109" s="15">
        <v>2016</v>
      </c>
      <c r="L109" s="15" t="str">
        <f>"113.36"</f>
        <v>113.36</v>
      </c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 t="str">
        <f>"120.91"</f>
        <v>120.91</v>
      </c>
      <c r="AA109" s="15" t="str">
        <f>"142.92"</f>
        <v>142.92</v>
      </c>
      <c r="AB109" s="15"/>
      <c r="AC109" s="15" t="str">
        <f>"133.37"</f>
        <v>133.37</v>
      </c>
      <c r="AD109" s="15"/>
      <c r="AE109" s="15" t="str">
        <f>"93.53"</f>
        <v>93.53</v>
      </c>
      <c r="AF109" s="15"/>
      <c r="AG109" s="15"/>
      <c r="AH109" s="15"/>
      <c r="AI109" s="15"/>
    </row>
    <row r="110" spans="1:35">
      <c r="A110" s="14">
        <v>108</v>
      </c>
      <c r="B110" s="14">
        <v>6313</v>
      </c>
      <c r="C110" s="14" t="s">
        <v>199</v>
      </c>
      <c r="D110" s="14" t="s">
        <v>55</v>
      </c>
      <c r="E110" s="15" t="str">
        <f>"82.89"</f>
        <v>82.89</v>
      </c>
      <c r="F110" s="15"/>
      <c r="G110" s="16" t="str">
        <f>"107.38"</f>
        <v>107.38</v>
      </c>
      <c r="H110" s="17">
        <f t="shared" si="1"/>
        <v>99.38</v>
      </c>
      <c r="I110" s="18"/>
      <c r="J110" s="15">
        <v>3</v>
      </c>
      <c r="K110" s="15">
        <v>2016</v>
      </c>
      <c r="L110" s="15" t="str">
        <f>"82.89"</f>
        <v>82.89</v>
      </c>
      <c r="M110" s="15"/>
      <c r="N110" s="15"/>
      <c r="O110" s="15"/>
      <c r="P110" s="15"/>
      <c r="Q110" s="15" t="str">
        <f>"112.49"</f>
        <v>112.49</v>
      </c>
      <c r="R110" s="15"/>
      <c r="S110" s="15"/>
      <c r="T110" s="15"/>
      <c r="U110" s="15"/>
      <c r="V110" s="15" t="str">
        <f>"106.88"</f>
        <v>106.88</v>
      </c>
      <c r="W110" s="15"/>
      <c r="X110" s="15"/>
      <c r="Y110" s="15"/>
      <c r="Z110" s="15"/>
      <c r="AA110" s="15" t="str">
        <f>"128.12"</f>
        <v>128.12</v>
      </c>
      <c r="AB110" s="15"/>
      <c r="AC110" s="15" t="str">
        <f>"107.88"</f>
        <v>107.88</v>
      </c>
      <c r="AD110" s="15"/>
      <c r="AE110" s="15"/>
      <c r="AF110" s="15"/>
      <c r="AG110" s="15"/>
      <c r="AH110" s="15"/>
      <c r="AI110" s="15"/>
    </row>
    <row r="111" spans="1:35">
      <c r="A111" s="14">
        <v>109</v>
      </c>
      <c r="B111" s="14">
        <v>10715</v>
      </c>
      <c r="C111" s="14" t="s">
        <v>200</v>
      </c>
      <c r="D111" s="14" t="s">
        <v>168</v>
      </c>
      <c r="E111" s="15" t="str">
        <f>"107.62"</f>
        <v>107.62</v>
      </c>
      <c r="F111" s="15"/>
      <c r="G111" s="16" t="str">
        <f>"107.62"</f>
        <v>107.62</v>
      </c>
      <c r="H111" s="17">
        <f t="shared" si="1"/>
        <v>99.62</v>
      </c>
      <c r="I111" s="18"/>
      <c r="J111" s="15">
        <v>3</v>
      </c>
      <c r="K111" s="15">
        <v>2016</v>
      </c>
      <c r="L111" s="15" t="str">
        <f>"244.69"</f>
        <v>244.69</v>
      </c>
      <c r="M111" s="15"/>
      <c r="N111" s="15"/>
      <c r="O111" s="15"/>
      <c r="P111" s="15"/>
      <c r="Q111" s="15" t="str">
        <f>"113.08"</f>
        <v>113.08</v>
      </c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 t="str">
        <f>"102.15"</f>
        <v>102.15</v>
      </c>
      <c r="AC111" s="15"/>
      <c r="AD111" s="15" t="str">
        <f>"250.72"</f>
        <v>250.72</v>
      </c>
      <c r="AE111" s="15"/>
      <c r="AF111" s="15"/>
      <c r="AG111" s="15"/>
      <c r="AH111" s="15"/>
      <c r="AI111" s="15"/>
    </row>
    <row r="112" spans="1:35">
      <c r="A112" s="14">
        <v>110</v>
      </c>
      <c r="B112" s="14">
        <v>4124</v>
      </c>
      <c r="C112" s="14" t="s">
        <v>201</v>
      </c>
      <c r="D112" s="14" t="s">
        <v>42</v>
      </c>
      <c r="E112" s="15" t="str">
        <f>"110.46"</f>
        <v>110.46</v>
      </c>
      <c r="F112" s="15"/>
      <c r="G112" s="16" t="str">
        <f>"107.75"</f>
        <v>107.75</v>
      </c>
      <c r="H112" s="17">
        <f t="shared" si="1"/>
        <v>99.75</v>
      </c>
      <c r="I112" s="18" t="s">
        <v>43</v>
      </c>
      <c r="J112" s="15">
        <v>2</v>
      </c>
      <c r="K112" s="15">
        <v>2016</v>
      </c>
      <c r="L112" s="15" t="str">
        <f>"141.17"</f>
        <v>141.17</v>
      </c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 t="str">
        <f>"79.75"</f>
        <v>79.75</v>
      </c>
      <c r="AA112" s="15"/>
      <c r="AB112" s="15"/>
      <c r="AC112" s="15"/>
      <c r="AD112" s="15"/>
      <c r="AE112" s="15"/>
      <c r="AF112" s="15"/>
      <c r="AG112" s="15"/>
      <c r="AH112" s="15"/>
      <c r="AI112" s="15"/>
    </row>
    <row r="113" spans="1:35">
      <c r="A113" s="14">
        <v>111</v>
      </c>
      <c r="B113" s="14">
        <v>1709</v>
      </c>
      <c r="C113" s="14" t="s">
        <v>202</v>
      </c>
      <c r="D113" s="14" t="s">
        <v>51</v>
      </c>
      <c r="E113" s="15" t="str">
        <f>"80.45"</f>
        <v>80.45</v>
      </c>
      <c r="F113" s="15"/>
      <c r="G113" s="16" t="str">
        <f>"108.45"</f>
        <v>108.45</v>
      </c>
      <c r="H113" s="17">
        <f t="shared" si="1"/>
        <v>100.45</v>
      </c>
      <c r="I113" s="18" t="s">
        <v>40</v>
      </c>
      <c r="J113" s="15">
        <v>1</v>
      </c>
      <c r="K113" s="15">
        <v>2016</v>
      </c>
      <c r="L113" s="15" t="str">
        <f>"80.45"</f>
        <v>80.45</v>
      </c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</row>
    <row r="114" spans="1:35">
      <c r="A114" s="14">
        <v>112</v>
      </c>
      <c r="B114" s="14">
        <v>1764</v>
      </c>
      <c r="C114" s="14" t="s">
        <v>203</v>
      </c>
      <c r="D114" s="14" t="s">
        <v>204</v>
      </c>
      <c r="E114" s="15" t="str">
        <f>"81.48"</f>
        <v>81.48</v>
      </c>
      <c r="F114" s="15"/>
      <c r="G114" s="16" t="str">
        <f>"109.48"</f>
        <v>109.48</v>
      </c>
      <c r="H114" s="17">
        <f t="shared" si="1"/>
        <v>101.48</v>
      </c>
      <c r="I114" s="18" t="s">
        <v>40</v>
      </c>
      <c r="J114" s="15">
        <v>1</v>
      </c>
      <c r="K114" s="15">
        <v>2016</v>
      </c>
      <c r="L114" s="15" t="str">
        <f>"81.48"</f>
        <v>81.48</v>
      </c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</row>
    <row r="115" spans="1:35">
      <c r="A115" s="14">
        <v>113</v>
      </c>
      <c r="B115" s="14">
        <v>4286</v>
      </c>
      <c r="C115" s="14" t="s">
        <v>205</v>
      </c>
      <c r="D115" s="14" t="s">
        <v>168</v>
      </c>
      <c r="E115" s="15" t="str">
        <f>"79.35"</f>
        <v>79.35</v>
      </c>
      <c r="F115" s="15"/>
      <c r="G115" s="16" t="str">
        <f>"109.74"</f>
        <v>109.74</v>
      </c>
      <c r="H115" s="17">
        <f t="shared" si="1"/>
        <v>101.74</v>
      </c>
      <c r="I115" s="18" t="s">
        <v>43</v>
      </c>
      <c r="J115" s="15">
        <v>2</v>
      </c>
      <c r="K115" s="15">
        <v>2016</v>
      </c>
      <c r="L115" s="15" t="str">
        <f>"79.35"</f>
        <v>79.35</v>
      </c>
      <c r="M115" s="15"/>
      <c r="N115" s="15"/>
      <c r="O115" s="15"/>
      <c r="P115" s="15"/>
      <c r="Q115" s="15" t="str">
        <f>"81.74"</f>
        <v>81.74</v>
      </c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</row>
    <row r="116" spans="1:35">
      <c r="A116" s="14">
        <v>114</v>
      </c>
      <c r="B116" s="14">
        <v>1858</v>
      </c>
      <c r="C116" s="14" t="s">
        <v>206</v>
      </c>
      <c r="D116" s="14" t="s">
        <v>207</v>
      </c>
      <c r="E116" s="15" t="str">
        <f>"110.41"</f>
        <v>110.41</v>
      </c>
      <c r="F116" s="15"/>
      <c r="G116" s="16" t="str">
        <f>"110.41"</f>
        <v>110.41</v>
      </c>
      <c r="H116" s="17">
        <f t="shared" si="1"/>
        <v>102.41</v>
      </c>
      <c r="I116" s="18"/>
      <c r="J116" s="15">
        <v>3</v>
      </c>
      <c r="K116" s="15">
        <v>2016</v>
      </c>
      <c r="L116" s="15" t="str">
        <f>"137.92"</f>
        <v>137.92</v>
      </c>
      <c r="M116" s="15"/>
      <c r="N116" s="15"/>
      <c r="O116" s="15"/>
      <c r="P116" s="15"/>
      <c r="Q116" s="15"/>
      <c r="R116" s="15"/>
      <c r="S116" s="15"/>
      <c r="T116" s="15"/>
      <c r="U116" s="15"/>
      <c r="V116" s="15" t="str">
        <f>"128.63"</f>
        <v>128.63</v>
      </c>
      <c r="W116" s="15"/>
      <c r="X116" s="15"/>
      <c r="Y116" s="15"/>
      <c r="Z116" s="15" t="str">
        <f>"92.18"</f>
        <v>92.18</v>
      </c>
      <c r="AA116" s="15"/>
      <c r="AB116" s="15"/>
      <c r="AC116" s="15"/>
      <c r="AD116" s="15"/>
      <c r="AE116" s="15"/>
      <c r="AF116" s="15"/>
      <c r="AG116" s="15"/>
      <c r="AH116" s="15"/>
      <c r="AI116" s="15"/>
    </row>
    <row r="117" spans="1:35">
      <c r="A117" s="14">
        <v>115</v>
      </c>
      <c r="B117" s="14">
        <v>4140</v>
      </c>
      <c r="C117" s="14" t="s">
        <v>208</v>
      </c>
      <c r="D117" s="14" t="s">
        <v>58</v>
      </c>
      <c r="E117" s="15" t="str">
        <f>"97.55"</f>
        <v>97.55</v>
      </c>
      <c r="F117" s="15"/>
      <c r="G117" s="16" t="str">
        <f>"110.49"</f>
        <v>110.49</v>
      </c>
      <c r="H117" s="17">
        <f t="shared" si="1"/>
        <v>102.49</v>
      </c>
      <c r="I117" s="18"/>
      <c r="J117" s="15">
        <v>3</v>
      </c>
      <c r="K117" s="15">
        <v>2016</v>
      </c>
      <c r="L117" s="15" t="str">
        <f>"97.55"</f>
        <v>97.55</v>
      </c>
      <c r="M117" s="15"/>
      <c r="N117" s="15" t="str">
        <f>"118.10"</f>
        <v>118.10</v>
      </c>
      <c r="O117" s="15"/>
      <c r="P117" s="15"/>
      <c r="Q117" s="15"/>
      <c r="R117" s="15"/>
      <c r="S117" s="15"/>
      <c r="T117" s="15"/>
      <c r="U117" s="15" t="str">
        <f>"102.88"</f>
        <v>102.88</v>
      </c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</row>
    <row r="118" spans="1:35">
      <c r="A118" s="14">
        <v>116</v>
      </c>
      <c r="B118" s="14">
        <v>3261</v>
      </c>
      <c r="C118" s="14" t="s">
        <v>209</v>
      </c>
      <c r="D118" s="14" t="s">
        <v>39</v>
      </c>
      <c r="E118" s="15" t="str">
        <f>"110.91"</f>
        <v>110.91</v>
      </c>
      <c r="F118" s="15"/>
      <c r="G118" s="16" t="str">
        <f>"110.91"</f>
        <v>110.91</v>
      </c>
      <c r="H118" s="17">
        <f t="shared" si="1"/>
        <v>102.91</v>
      </c>
      <c r="I118" s="18"/>
      <c r="J118" s="15">
        <v>3</v>
      </c>
      <c r="K118" s="15">
        <v>2016</v>
      </c>
      <c r="L118" s="15" t="str">
        <f>"132.09"</f>
        <v>132.09</v>
      </c>
      <c r="M118" s="15"/>
      <c r="N118" s="15"/>
      <c r="O118" s="15"/>
      <c r="P118" s="15"/>
      <c r="Q118" s="15"/>
      <c r="R118" s="15" t="str">
        <f>"121.26"</f>
        <v>121.26</v>
      </c>
      <c r="S118" s="15"/>
      <c r="T118" s="15"/>
      <c r="U118" s="15"/>
      <c r="V118" s="15"/>
      <c r="W118" s="15" t="str">
        <f>"100.56"</f>
        <v>100.56</v>
      </c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</row>
    <row r="119" spans="1:35">
      <c r="A119" s="14">
        <v>117</v>
      </c>
      <c r="B119" s="14">
        <v>412</v>
      </c>
      <c r="C119" s="14" t="s">
        <v>210</v>
      </c>
      <c r="D119" s="14" t="s">
        <v>211</v>
      </c>
      <c r="E119" s="15" t="str">
        <f>"111.05"</f>
        <v>111.05</v>
      </c>
      <c r="F119" s="15"/>
      <c r="G119" s="16" t="str">
        <f>"111.06"</f>
        <v>111.06</v>
      </c>
      <c r="H119" s="17">
        <f t="shared" si="1"/>
        <v>103.06</v>
      </c>
      <c r="I119" s="18"/>
      <c r="J119" s="15">
        <v>3</v>
      </c>
      <c r="K119" s="15">
        <v>2016</v>
      </c>
      <c r="L119" s="15" t="str">
        <f>"111.36"</f>
        <v>111.36</v>
      </c>
      <c r="M119" s="15"/>
      <c r="N119" s="15"/>
      <c r="O119" s="15"/>
      <c r="P119" s="15"/>
      <c r="Q119" s="15" t="str">
        <f>"111.39"</f>
        <v>111.39</v>
      </c>
      <c r="R119" s="15"/>
      <c r="S119" s="15"/>
      <c r="T119" s="15"/>
      <c r="U119" s="15"/>
      <c r="V119" s="15" t="str">
        <f>"127.83"</f>
        <v>127.83</v>
      </c>
      <c r="W119" s="15"/>
      <c r="X119" s="15"/>
      <c r="Y119" s="15"/>
      <c r="Z119" s="15"/>
      <c r="AA119" s="15" t="str">
        <f>"150.47"</f>
        <v>150.47</v>
      </c>
      <c r="AB119" s="15"/>
      <c r="AC119" s="15" t="str">
        <f>"127.18"</f>
        <v>127.18</v>
      </c>
      <c r="AD119" s="15"/>
      <c r="AE119" s="15" t="str">
        <f>"110.73"</f>
        <v>110.73</v>
      </c>
      <c r="AF119" s="15"/>
      <c r="AG119" s="15"/>
      <c r="AH119" s="15"/>
      <c r="AI119" s="15"/>
    </row>
    <row r="120" spans="1:35">
      <c r="A120" s="14">
        <v>118</v>
      </c>
      <c r="B120" s="14">
        <v>10130</v>
      </c>
      <c r="C120" s="14" t="s">
        <v>212</v>
      </c>
      <c r="D120" s="14" t="s">
        <v>58</v>
      </c>
      <c r="E120" s="15" t="str">
        <f>"111.65"</f>
        <v>111.65</v>
      </c>
      <c r="F120" s="15"/>
      <c r="G120" s="16" t="str">
        <f>"111.65"</f>
        <v>111.65</v>
      </c>
      <c r="H120" s="17">
        <f t="shared" si="1"/>
        <v>103.65</v>
      </c>
      <c r="I120" s="18"/>
      <c r="J120" s="15">
        <v>3</v>
      </c>
      <c r="K120" s="15">
        <v>2016</v>
      </c>
      <c r="L120" s="15" t="str">
        <f>"187.67"</f>
        <v>187.67</v>
      </c>
      <c r="M120" s="15"/>
      <c r="N120" s="15" t="str">
        <f>"154.18"</f>
        <v>154.18</v>
      </c>
      <c r="O120" s="15"/>
      <c r="P120" s="15"/>
      <c r="Q120" s="15"/>
      <c r="R120" s="15"/>
      <c r="S120" s="15"/>
      <c r="T120" s="15"/>
      <c r="U120" s="15" t="str">
        <f>"232.82"</f>
        <v>232.82</v>
      </c>
      <c r="V120" s="15"/>
      <c r="W120" s="15"/>
      <c r="X120" s="15"/>
      <c r="Y120" s="15"/>
      <c r="Z120" s="15" t="str">
        <f>"99.71"</f>
        <v>99.71</v>
      </c>
      <c r="AA120" s="15"/>
      <c r="AB120" s="15"/>
      <c r="AC120" s="15"/>
      <c r="AD120" s="15"/>
      <c r="AE120" s="15"/>
      <c r="AF120" s="15" t="str">
        <f>"123.58"</f>
        <v>123.58</v>
      </c>
      <c r="AG120" s="15" t="str">
        <f>"168.51"</f>
        <v>168.51</v>
      </c>
      <c r="AH120" s="15"/>
      <c r="AI120" s="15" t="str">
        <f>"155.82"</f>
        <v>155.82</v>
      </c>
    </row>
    <row r="121" spans="1:35">
      <c r="A121" s="14">
        <v>119</v>
      </c>
      <c r="B121" s="14">
        <v>5159</v>
      </c>
      <c r="C121" s="14" t="s">
        <v>213</v>
      </c>
      <c r="D121" s="14" t="s">
        <v>51</v>
      </c>
      <c r="E121" s="15" t="str">
        <f>"97.97"</f>
        <v>97.97</v>
      </c>
      <c r="F121" s="15"/>
      <c r="G121" s="16" t="str">
        <f>"112.99"</f>
        <v>112.99</v>
      </c>
      <c r="H121" s="17">
        <f t="shared" si="1"/>
        <v>104.99</v>
      </c>
      <c r="I121" s="18"/>
      <c r="J121" s="15">
        <v>3</v>
      </c>
      <c r="K121" s="15">
        <v>2016</v>
      </c>
      <c r="L121" s="15" t="str">
        <f>"97.97"</f>
        <v>97.97</v>
      </c>
      <c r="M121" s="15"/>
      <c r="N121" s="15"/>
      <c r="O121" s="15"/>
      <c r="P121" s="15"/>
      <c r="Q121" s="15"/>
      <c r="R121" s="15"/>
      <c r="S121" s="15"/>
      <c r="T121" s="15" t="str">
        <f>"106.75"</f>
        <v>106.75</v>
      </c>
      <c r="U121" s="15"/>
      <c r="V121" s="15"/>
      <c r="W121" s="15"/>
      <c r="X121" s="15"/>
      <c r="Y121" s="15" t="str">
        <f>"119.22"</f>
        <v>119.22</v>
      </c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</row>
    <row r="122" spans="1:35">
      <c r="A122" s="14">
        <v>120</v>
      </c>
      <c r="B122" s="14">
        <v>2847</v>
      </c>
      <c r="C122" s="14" t="s">
        <v>214</v>
      </c>
      <c r="D122" s="14" t="s">
        <v>155</v>
      </c>
      <c r="E122" s="15" t="str">
        <f>"65.64"</f>
        <v>65.64</v>
      </c>
      <c r="F122" s="15"/>
      <c r="G122" s="16" t="str">
        <f>"113.14"</f>
        <v>113.14</v>
      </c>
      <c r="H122" s="17">
        <f t="shared" si="1"/>
        <v>105.14</v>
      </c>
      <c r="I122" s="18"/>
      <c r="J122" s="15">
        <v>3</v>
      </c>
      <c r="K122" s="15">
        <v>2016</v>
      </c>
      <c r="L122" s="15" t="str">
        <f>"65.64"</f>
        <v>65.64</v>
      </c>
      <c r="M122" s="15"/>
      <c r="N122" s="15"/>
      <c r="O122" s="15"/>
      <c r="P122" s="15"/>
      <c r="Q122" s="15"/>
      <c r="R122" s="15"/>
      <c r="S122" s="15"/>
      <c r="T122" s="15"/>
      <c r="U122" s="15"/>
      <c r="V122" s="15" t="str">
        <f>"120.21"</f>
        <v>120.21</v>
      </c>
      <c r="W122" s="15"/>
      <c r="X122" s="15"/>
      <c r="Y122" s="15"/>
      <c r="Z122" s="15" t="str">
        <f>"106.07"</f>
        <v>106.07</v>
      </c>
      <c r="AA122" s="15"/>
      <c r="AB122" s="15"/>
      <c r="AC122" s="15"/>
      <c r="AD122" s="15"/>
      <c r="AE122" s="15"/>
      <c r="AF122" s="15"/>
      <c r="AG122" s="15"/>
      <c r="AH122" s="15"/>
      <c r="AI122" s="15"/>
    </row>
    <row r="123" spans="1:35">
      <c r="A123" s="14">
        <v>121</v>
      </c>
      <c r="B123" s="14">
        <v>3678</v>
      </c>
      <c r="C123" s="14" t="s">
        <v>215</v>
      </c>
      <c r="D123" s="14" t="s">
        <v>144</v>
      </c>
      <c r="E123" s="15" t="str">
        <f>"81.04"</f>
        <v>81.04</v>
      </c>
      <c r="F123" s="15"/>
      <c r="G123" s="16" t="str">
        <f>"113.15"</f>
        <v>113.15</v>
      </c>
      <c r="H123" s="17">
        <f t="shared" si="1"/>
        <v>105.15</v>
      </c>
      <c r="I123" s="18"/>
      <c r="J123" s="15">
        <v>3</v>
      </c>
      <c r="K123" s="15">
        <v>2016</v>
      </c>
      <c r="L123" s="15" t="str">
        <f>"85.93"</f>
        <v>85.93</v>
      </c>
      <c r="M123" s="15"/>
      <c r="N123" s="15"/>
      <c r="O123" s="15"/>
      <c r="P123" s="15"/>
      <c r="Q123" s="15"/>
      <c r="R123" s="15" t="str">
        <f>"76.15"</f>
        <v>76.15</v>
      </c>
      <c r="S123" s="15"/>
      <c r="T123" s="15"/>
      <c r="U123" s="15"/>
      <c r="V123" s="15"/>
      <c r="W123" s="15" t="str">
        <f>"150.15"</f>
        <v>150.15</v>
      </c>
      <c r="X123" s="15"/>
      <c r="Y123" s="15"/>
      <c r="Z123" s="15" t="str">
        <f>"189.43"</f>
        <v>189.43</v>
      </c>
      <c r="AA123" s="15"/>
      <c r="AB123" s="15"/>
      <c r="AC123" s="15"/>
      <c r="AD123" s="15"/>
      <c r="AE123" s="15"/>
      <c r="AF123" s="15"/>
      <c r="AG123" s="15"/>
      <c r="AH123" s="15"/>
      <c r="AI123" s="15"/>
    </row>
    <row r="124" spans="1:35">
      <c r="A124" s="14">
        <v>122</v>
      </c>
      <c r="B124" s="14">
        <v>5455</v>
      </c>
      <c r="C124" s="14" t="s">
        <v>216</v>
      </c>
      <c r="D124" s="14" t="s">
        <v>189</v>
      </c>
      <c r="E124" s="15" t="str">
        <f>"89.70"</f>
        <v>89.70</v>
      </c>
      <c r="F124" s="15"/>
      <c r="G124" s="16" t="str">
        <f>"114.06"</f>
        <v>114.06</v>
      </c>
      <c r="H124" s="17">
        <f t="shared" si="1"/>
        <v>106.06</v>
      </c>
      <c r="I124" s="18"/>
      <c r="J124" s="15">
        <v>3</v>
      </c>
      <c r="K124" s="15">
        <v>2016</v>
      </c>
      <c r="L124" s="15" t="str">
        <f>"89.70"</f>
        <v>89.70</v>
      </c>
      <c r="M124" s="15"/>
      <c r="N124" s="15"/>
      <c r="O124" s="15"/>
      <c r="P124" s="15"/>
      <c r="Q124" s="15"/>
      <c r="R124" s="15"/>
      <c r="S124" s="15"/>
      <c r="T124" s="15"/>
      <c r="U124" s="15"/>
      <c r="V124" s="15" t="str">
        <f>"152.29"</f>
        <v>152.29</v>
      </c>
      <c r="W124" s="15"/>
      <c r="X124" s="15"/>
      <c r="Y124" s="15"/>
      <c r="Z124" s="15"/>
      <c r="AA124" s="15" t="str">
        <f>"114.48"</f>
        <v>114.48</v>
      </c>
      <c r="AB124" s="15"/>
      <c r="AC124" s="15" t="str">
        <f>"113.63"</f>
        <v>113.63</v>
      </c>
      <c r="AD124" s="15"/>
      <c r="AE124" s="15"/>
      <c r="AF124" s="15"/>
      <c r="AG124" s="15"/>
      <c r="AH124" s="15"/>
      <c r="AI124" s="15"/>
    </row>
    <row r="125" spans="1:35">
      <c r="A125" s="14">
        <v>123</v>
      </c>
      <c r="B125" s="14">
        <v>2276</v>
      </c>
      <c r="C125" s="14" t="s">
        <v>217</v>
      </c>
      <c r="D125" s="14" t="s">
        <v>192</v>
      </c>
      <c r="E125" s="15" t="str">
        <f>"89.58"</f>
        <v>89.58</v>
      </c>
      <c r="F125" s="15"/>
      <c r="G125" s="16" t="str">
        <f>"115.48"</f>
        <v>115.48</v>
      </c>
      <c r="H125" s="17">
        <f t="shared" si="1"/>
        <v>107.48</v>
      </c>
      <c r="I125" s="18" t="s">
        <v>43</v>
      </c>
      <c r="J125" s="15">
        <v>2</v>
      </c>
      <c r="K125" s="15">
        <v>2016</v>
      </c>
      <c r="L125" s="15" t="str">
        <f>"91.67"</f>
        <v>91.67</v>
      </c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 t="str">
        <f>"87.48"</f>
        <v>87.48</v>
      </c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</row>
    <row r="126" spans="1:35">
      <c r="A126" s="14">
        <v>124</v>
      </c>
      <c r="B126" s="14">
        <v>1836</v>
      </c>
      <c r="C126" s="14" t="s">
        <v>218</v>
      </c>
      <c r="D126" s="14" t="s">
        <v>182</v>
      </c>
      <c r="E126" s="15" t="str">
        <f>"93.01"</f>
        <v>93.01</v>
      </c>
      <c r="F126" s="15"/>
      <c r="G126" s="16" t="str">
        <f>"115.74"</f>
        <v>115.74</v>
      </c>
      <c r="H126" s="17">
        <f t="shared" si="1"/>
        <v>107.74</v>
      </c>
      <c r="I126" s="18"/>
      <c r="J126" s="15">
        <v>3</v>
      </c>
      <c r="K126" s="15">
        <v>2016</v>
      </c>
      <c r="L126" s="15" t="str">
        <f>"93.01"</f>
        <v>93.01</v>
      </c>
      <c r="M126" s="15"/>
      <c r="N126" s="15"/>
      <c r="O126" s="15"/>
      <c r="P126" s="15"/>
      <c r="Q126" s="15" t="str">
        <f>"106.99"</f>
        <v>106.99</v>
      </c>
      <c r="R126" s="15"/>
      <c r="S126" s="15"/>
      <c r="T126" s="15"/>
      <c r="U126" s="15"/>
      <c r="V126" s="15"/>
      <c r="W126" s="15" t="str">
        <f>"124.48"</f>
        <v>124.48</v>
      </c>
      <c r="X126" s="15"/>
      <c r="Y126" s="15"/>
      <c r="Z126" s="15"/>
      <c r="AA126" s="15"/>
      <c r="AB126" s="15"/>
      <c r="AC126" s="15"/>
      <c r="AD126" s="15"/>
      <c r="AE126" s="15" t="str">
        <f>"164.47"</f>
        <v>164.47</v>
      </c>
      <c r="AF126" s="15"/>
      <c r="AG126" s="15"/>
      <c r="AH126" s="15"/>
      <c r="AI126" s="15"/>
    </row>
    <row r="127" spans="1:35">
      <c r="A127" s="14">
        <v>125</v>
      </c>
      <c r="B127" s="14">
        <v>1938</v>
      </c>
      <c r="C127" s="14" t="s">
        <v>219</v>
      </c>
      <c r="D127" s="14" t="s">
        <v>95</v>
      </c>
      <c r="E127" s="15" t="str">
        <f>"87.89"</f>
        <v>87.89</v>
      </c>
      <c r="F127" s="15"/>
      <c r="G127" s="16" t="str">
        <f>"115.89"</f>
        <v>115.89</v>
      </c>
      <c r="H127" s="17">
        <f t="shared" si="1"/>
        <v>107.89</v>
      </c>
      <c r="I127" s="18" t="s">
        <v>40</v>
      </c>
      <c r="J127" s="15">
        <v>1</v>
      </c>
      <c r="K127" s="15">
        <v>2016</v>
      </c>
      <c r="L127" s="15" t="str">
        <f>"87.89"</f>
        <v>87.89</v>
      </c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</row>
    <row r="128" spans="1:35">
      <c r="A128" s="14">
        <v>126</v>
      </c>
      <c r="B128" s="14">
        <v>2242</v>
      </c>
      <c r="C128" s="14" t="s">
        <v>220</v>
      </c>
      <c r="D128" s="14" t="s">
        <v>51</v>
      </c>
      <c r="E128" s="15" t="str">
        <f>"116.22"</f>
        <v>116.22</v>
      </c>
      <c r="F128" s="15"/>
      <c r="G128" s="16" t="str">
        <f>"116.22"</f>
        <v>116.22</v>
      </c>
      <c r="H128" s="17">
        <f t="shared" si="1"/>
        <v>108.22</v>
      </c>
      <c r="I128" s="18"/>
      <c r="J128" s="15">
        <v>3</v>
      </c>
      <c r="K128" s="15">
        <v>2016</v>
      </c>
      <c r="L128" s="15" t="str">
        <f>"254.39"</f>
        <v>254.39</v>
      </c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 t="str">
        <f>"121.28"</f>
        <v>121.28</v>
      </c>
      <c r="AH128" s="15" t="str">
        <f>"111.16"</f>
        <v>111.16</v>
      </c>
      <c r="AI128" s="15"/>
    </row>
    <row r="129" spans="1:35">
      <c r="A129" s="14">
        <v>127</v>
      </c>
      <c r="B129" s="14">
        <v>7702</v>
      </c>
      <c r="C129" s="14" t="s">
        <v>221</v>
      </c>
      <c r="D129" s="14" t="s">
        <v>222</v>
      </c>
      <c r="E129" s="15" t="str">
        <f>"117.01"</f>
        <v>117.01</v>
      </c>
      <c r="F129" s="15"/>
      <c r="G129" s="16" t="str">
        <f>"117.01"</f>
        <v>117.01</v>
      </c>
      <c r="H129" s="17">
        <f t="shared" si="1"/>
        <v>109.01</v>
      </c>
      <c r="I129" s="18" t="s">
        <v>43</v>
      </c>
      <c r="J129" s="15">
        <v>4</v>
      </c>
      <c r="K129" s="15">
        <v>2016</v>
      </c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 t="str">
        <f>"89.01"</f>
        <v>89.01</v>
      </c>
      <c r="AA129" s="15"/>
      <c r="AB129" s="15"/>
      <c r="AC129" s="15"/>
      <c r="AD129" s="15"/>
      <c r="AE129" s="15"/>
      <c r="AF129" s="15"/>
      <c r="AG129" s="15"/>
      <c r="AH129" s="15"/>
      <c r="AI129" s="15"/>
    </row>
    <row r="130" spans="1:35">
      <c r="A130" s="14">
        <v>128</v>
      </c>
      <c r="B130" s="14">
        <v>3070</v>
      </c>
      <c r="C130" s="14" t="s">
        <v>223</v>
      </c>
      <c r="D130" s="14" t="s">
        <v>112</v>
      </c>
      <c r="E130" s="15" t="str">
        <f>"117.68"</f>
        <v>117.68</v>
      </c>
      <c r="F130" s="15"/>
      <c r="G130" s="16" t="str">
        <f>"117.68"</f>
        <v>117.68</v>
      </c>
      <c r="H130" s="17">
        <f t="shared" si="1"/>
        <v>109.68</v>
      </c>
      <c r="I130" s="18"/>
      <c r="J130" s="15">
        <v>3</v>
      </c>
      <c r="K130" s="15">
        <v>2016</v>
      </c>
      <c r="L130" s="15" t="str">
        <f>"154.82"</f>
        <v>154.82</v>
      </c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 t="str">
        <f>"105.70"</f>
        <v>105.70</v>
      </c>
      <c r="AC130" s="15"/>
      <c r="AD130" s="15" t="str">
        <f>"129.66"</f>
        <v>129.66</v>
      </c>
      <c r="AE130" s="15"/>
      <c r="AF130" s="15"/>
      <c r="AG130" s="15"/>
      <c r="AH130" s="15"/>
      <c r="AI130" s="15"/>
    </row>
    <row r="131" spans="1:35">
      <c r="A131" s="14">
        <v>129</v>
      </c>
      <c r="B131" s="14">
        <v>4454</v>
      </c>
      <c r="C131" s="14" t="s">
        <v>224</v>
      </c>
      <c r="D131" s="14" t="s">
        <v>45</v>
      </c>
      <c r="E131" s="15" t="str">
        <f>"61.16"</f>
        <v>61.16</v>
      </c>
      <c r="F131" s="15"/>
      <c r="G131" s="16" t="str">
        <f>"117.93"</f>
        <v>117.93</v>
      </c>
      <c r="H131" s="17">
        <f t="shared" ref="H131:H194" si="2">G131-8</f>
        <v>109.93</v>
      </c>
      <c r="I131" s="18"/>
      <c r="J131" s="15">
        <v>3</v>
      </c>
      <c r="K131" s="15">
        <v>2016</v>
      </c>
      <c r="L131" s="15" t="str">
        <f>"74.12"</f>
        <v>74.12</v>
      </c>
      <c r="M131" s="15"/>
      <c r="N131" s="15"/>
      <c r="O131" s="15"/>
      <c r="P131" s="15"/>
      <c r="Q131" s="15"/>
      <c r="R131" s="15"/>
      <c r="S131" s="15"/>
      <c r="T131" s="15"/>
      <c r="U131" s="15"/>
      <c r="V131" s="15" t="str">
        <f>"187.67"</f>
        <v>187.67</v>
      </c>
      <c r="W131" s="15"/>
      <c r="X131" s="15"/>
      <c r="Y131" s="15"/>
      <c r="Z131" s="15"/>
      <c r="AA131" s="15"/>
      <c r="AB131" s="15"/>
      <c r="AC131" s="15"/>
      <c r="AD131" s="15"/>
      <c r="AE131" s="15" t="str">
        <f>"48.19"</f>
        <v>48.19</v>
      </c>
      <c r="AF131" s="15"/>
      <c r="AG131" s="15"/>
      <c r="AH131" s="15"/>
      <c r="AI131" s="15"/>
    </row>
    <row r="132" spans="1:35">
      <c r="A132" s="14">
        <v>130</v>
      </c>
      <c r="B132" s="14">
        <v>10262</v>
      </c>
      <c r="C132" s="14" t="s">
        <v>225</v>
      </c>
      <c r="D132" s="14" t="s">
        <v>45</v>
      </c>
      <c r="E132" s="15" t="str">
        <f>"74.77"</f>
        <v>74.77</v>
      </c>
      <c r="F132" s="15"/>
      <c r="G132" s="16" t="str">
        <f>"118.03"</f>
        <v>118.03</v>
      </c>
      <c r="H132" s="17">
        <f t="shared" si="2"/>
        <v>110.03</v>
      </c>
      <c r="I132" s="18" t="s">
        <v>43</v>
      </c>
      <c r="J132" s="15">
        <v>2</v>
      </c>
      <c r="K132" s="15">
        <v>2016</v>
      </c>
      <c r="L132" s="15" t="str">
        <f>"74.77"</f>
        <v>74.77</v>
      </c>
      <c r="M132" s="15"/>
      <c r="N132" s="15"/>
      <c r="O132" s="15"/>
      <c r="P132" s="15"/>
      <c r="Q132" s="15"/>
      <c r="R132" s="15"/>
      <c r="S132" s="15"/>
      <c r="T132" s="15"/>
      <c r="U132" s="15"/>
      <c r="V132" s="15" t="str">
        <f>"90.03"</f>
        <v>90.03</v>
      </c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</row>
    <row r="133" spans="1:35">
      <c r="A133" s="14">
        <v>131</v>
      </c>
      <c r="B133" s="14">
        <v>3287</v>
      </c>
      <c r="C133" s="14" t="s">
        <v>226</v>
      </c>
      <c r="D133" s="14" t="s">
        <v>227</v>
      </c>
      <c r="E133" s="15" t="str">
        <f>"90.29"</f>
        <v>90.29</v>
      </c>
      <c r="F133" s="15"/>
      <c r="G133" s="16" t="str">
        <f>"118.29"</f>
        <v>118.29</v>
      </c>
      <c r="H133" s="17">
        <f t="shared" si="2"/>
        <v>110.29</v>
      </c>
      <c r="I133" s="18" t="s">
        <v>40</v>
      </c>
      <c r="J133" s="15">
        <v>1</v>
      </c>
      <c r="K133" s="15">
        <v>2016</v>
      </c>
      <c r="L133" s="15" t="str">
        <f>"90.29"</f>
        <v>90.29</v>
      </c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</row>
    <row r="134" spans="1:35">
      <c r="A134" s="14">
        <v>132</v>
      </c>
      <c r="B134" s="14">
        <v>8461</v>
      </c>
      <c r="C134" s="14" t="s">
        <v>228</v>
      </c>
      <c r="D134" s="14" t="s">
        <v>51</v>
      </c>
      <c r="E134" s="15" t="str">
        <f>"118.73"</f>
        <v>118.73</v>
      </c>
      <c r="F134" s="15"/>
      <c r="G134" s="16" t="str">
        <f>"118.73"</f>
        <v>118.73</v>
      </c>
      <c r="H134" s="17">
        <f t="shared" si="2"/>
        <v>110.73</v>
      </c>
      <c r="I134" s="18"/>
      <c r="J134" s="15">
        <v>3</v>
      </c>
      <c r="K134" s="15">
        <v>2016</v>
      </c>
      <c r="L134" s="15" t="str">
        <f>"132.89"</f>
        <v>132.89</v>
      </c>
      <c r="M134" s="15"/>
      <c r="N134" s="15"/>
      <c r="O134" s="15"/>
      <c r="P134" s="15"/>
      <c r="Q134" s="15"/>
      <c r="R134" s="15"/>
      <c r="S134" s="15"/>
      <c r="T134" s="15" t="str">
        <f>"111.01"</f>
        <v>111.01</v>
      </c>
      <c r="U134" s="15"/>
      <c r="V134" s="15"/>
      <c r="W134" s="15"/>
      <c r="X134" s="15"/>
      <c r="Y134" s="15" t="str">
        <f>"126.44"</f>
        <v>126.44</v>
      </c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</row>
    <row r="135" spans="1:35">
      <c r="A135" s="14">
        <v>133</v>
      </c>
      <c r="B135" s="14">
        <v>2179</v>
      </c>
      <c r="C135" s="14" t="s">
        <v>229</v>
      </c>
      <c r="D135" s="14" t="s">
        <v>230</v>
      </c>
      <c r="E135" s="15" t="str">
        <f>"90.79"</f>
        <v>90.79</v>
      </c>
      <c r="F135" s="15"/>
      <c r="G135" s="16" t="str">
        <f>"118.79"</f>
        <v>118.79</v>
      </c>
      <c r="H135" s="17">
        <f t="shared" si="2"/>
        <v>110.79</v>
      </c>
      <c r="I135" s="18" t="s">
        <v>40</v>
      </c>
      <c r="J135" s="15">
        <v>1</v>
      </c>
      <c r="K135" s="15">
        <v>2016</v>
      </c>
      <c r="L135" s="15" t="str">
        <f>"90.79"</f>
        <v>90.79</v>
      </c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</row>
    <row r="136" spans="1:35">
      <c r="A136" s="14">
        <v>134</v>
      </c>
      <c r="B136" s="14">
        <v>7843</v>
      </c>
      <c r="C136" s="14" t="s">
        <v>231</v>
      </c>
      <c r="D136" s="14" t="s">
        <v>232</v>
      </c>
      <c r="E136" s="15" t="str">
        <f>"90.91"</f>
        <v>90.91</v>
      </c>
      <c r="F136" s="15"/>
      <c r="G136" s="16" t="str">
        <f>"118.91"</f>
        <v>118.91</v>
      </c>
      <c r="H136" s="17">
        <f t="shared" si="2"/>
        <v>110.91</v>
      </c>
      <c r="I136" s="18" t="s">
        <v>40</v>
      </c>
      <c r="J136" s="15">
        <v>1</v>
      </c>
      <c r="K136" s="15">
        <v>2016</v>
      </c>
      <c r="L136" s="15" t="str">
        <f>"90.91"</f>
        <v>90.91</v>
      </c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</row>
    <row r="137" spans="1:35">
      <c r="A137" s="14">
        <v>135</v>
      </c>
      <c r="B137" s="14">
        <v>6125</v>
      </c>
      <c r="C137" s="14" t="s">
        <v>233</v>
      </c>
      <c r="D137" s="14" t="s">
        <v>58</v>
      </c>
      <c r="E137" s="15" t="str">
        <f>"113.03"</f>
        <v>113.03</v>
      </c>
      <c r="F137" s="15"/>
      <c r="G137" s="16" t="str">
        <f>"119.04"</f>
        <v>119.04</v>
      </c>
      <c r="H137" s="17">
        <f t="shared" si="2"/>
        <v>111.04</v>
      </c>
      <c r="I137" s="18"/>
      <c r="J137" s="15">
        <v>3</v>
      </c>
      <c r="K137" s="15">
        <v>2016</v>
      </c>
      <c r="L137" s="15" t="str">
        <f>"143.92"</f>
        <v>143.92</v>
      </c>
      <c r="M137" s="15"/>
      <c r="N137" s="15" t="str">
        <f>"155.95"</f>
        <v>155.95</v>
      </c>
      <c r="O137" s="15"/>
      <c r="P137" s="15" t="str">
        <f>"82.13"</f>
        <v>82.13</v>
      </c>
      <c r="Q137" s="15"/>
      <c r="R137" s="15"/>
      <c r="S137" s="15"/>
      <c r="T137" s="15"/>
      <c r="U137" s="15" t="str">
        <f>"224.02"</f>
        <v>224.02</v>
      </c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</row>
    <row r="138" spans="1:35">
      <c r="A138" s="14">
        <v>136</v>
      </c>
      <c r="B138" s="14">
        <v>350</v>
      </c>
      <c r="C138" s="14" t="s">
        <v>234</v>
      </c>
      <c r="D138" s="14" t="s">
        <v>235</v>
      </c>
      <c r="E138" s="15" t="str">
        <f>"88.59"</f>
        <v>88.59</v>
      </c>
      <c r="F138" s="15"/>
      <c r="G138" s="16" t="str">
        <f>"119.14"</f>
        <v>119.14</v>
      </c>
      <c r="H138" s="17">
        <f t="shared" si="2"/>
        <v>111.14</v>
      </c>
      <c r="I138" s="18"/>
      <c r="J138" s="15">
        <v>3</v>
      </c>
      <c r="K138" s="15">
        <v>2016</v>
      </c>
      <c r="L138" s="15" t="str">
        <f>"88.59"</f>
        <v>88.59</v>
      </c>
      <c r="M138" s="15"/>
      <c r="N138" s="15"/>
      <c r="O138" s="15"/>
      <c r="P138" s="15"/>
      <c r="Q138" s="15" t="str">
        <f>"102.66"</f>
        <v>102.66</v>
      </c>
      <c r="R138" s="15"/>
      <c r="S138" s="15"/>
      <c r="T138" s="15"/>
      <c r="U138" s="15"/>
      <c r="V138" s="15"/>
      <c r="W138" s="15"/>
      <c r="X138" s="15"/>
      <c r="Y138" s="15"/>
      <c r="Z138" s="15" t="str">
        <f>"135.62"</f>
        <v>135.62</v>
      </c>
      <c r="AA138" s="15" t="str">
        <f>"182.83"</f>
        <v>182.83</v>
      </c>
      <c r="AB138" s="15"/>
      <c r="AC138" s="15"/>
      <c r="AD138" s="15"/>
      <c r="AE138" s="15"/>
      <c r="AF138" s="15"/>
      <c r="AG138" s="15"/>
      <c r="AH138" s="15"/>
      <c r="AI138" s="15"/>
    </row>
    <row r="139" spans="1:35">
      <c r="A139" s="14">
        <v>137</v>
      </c>
      <c r="B139" s="14">
        <v>2038</v>
      </c>
      <c r="C139" s="14" t="s">
        <v>236</v>
      </c>
      <c r="D139" s="14" t="s">
        <v>182</v>
      </c>
      <c r="E139" s="15" t="str">
        <f>"68.84"</f>
        <v>68.84</v>
      </c>
      <c r="F139" s="15"/>
      <c r="G139" s="16" t="str">
        <f>"119.74"</f>
        <v>119.74</v>
      </c>
      <c r="H139" s="17">
        <f t="shared" si="2"/>
        <v>111.74</v>
      </c>
      <c r="I139" s="18"/>
      <c r="J139" s="15">
        <v>3</v>
      </c>
      <c r="K139" s="15">
        <v>2016</v>
      </c>
      <c r="L139" s="15" t="str">
        <f>"68.84"</f>
        <v>68.84</v>
      </c>
      <c r="M139" s="15"/>
      <c r="N139" s="15"/>
      <c r="O139" s="15"/>
      <c r="P139" s="15"/>
      <c r="Q139" s="15" t="str">
        <f>"83.65"</f>
        <v>83.65</v>
      </c>
      <c r="R139" s="15"/>
      <c r="S139" s="15"/>
      <c r="T139" s="15"/>
      <c r="U139" s="15"/>
      <c r="V139" s="15"/>
      <c r="W139" s="15"/>
      <c r="X139" s="15"/>
      <c r="Y139" s="15"/>
      <c r="Z139" s="15" t="str">
        <f>"159.52"</f>
        <v>159.52</v>
      </c>
      <c r="AA139" s="15"/>
      <c r="AB139" s="15"/>
      <c r="AC139" s="15"/>
      <c r="AD139" s="15"/>
      <c r="AE139" s="15" t="str">
        <f>"155.83"</f>
        <v>155.83</v>
      </c>
      <c r="AF139" s="15"/>
      <c r="AG139" s="15"/>
      <c r="AH139" s="15"/>
      <c r="AI139" s="15"/>
    </row>
    <row r="140" spans="1:35">
      <c r="A140" s="14">
        <v>138</v>
      </c>
      <c r="B140" s="14">
        <v>9957</v>
      </c>
      <c r="C140" s="14" t="s">
        <v>237</v>
      </c>
      <c r="D140" s="14" t="s">
        <v>58</v>
      </c>
      <c r="E140" s="15" t="str">
        <f>"111.18"</f>
        <v>111.18</v>
      </c>
      <c r="F140" s="15"/>
      <c r="G140" s="16" t="str">
        <f>"120.14"</f>
        <v>120.14</v>
      </c>
      <c r="H140" s="17">
        <f t="shared" si="2"/>
        <v>112.14</v>
      </c>
      <c r="I140" s="18"/>
      <c r="J140" s="15">
        <v>3</v>
      </c>
      <c r="K140" s="15">
        <v>2016</v>
      </c>
      <c r="L140" s="15" t="str">
        <f>"125.89"</f>
        <v>125.89</v>
      </c>
      <c r="M140" s="15"/>
      <c r="N140" s="15"/>
      <c r="O140" s="15"/>
      <c r="P140" s="15" t="str">
        <f>"148.46"</f>
        <v>148.46</v>
      </c>
      <c r="Q140" s="15"/>
      <c r="R140" s="15"/>
      <c r="S140" s="15"/>
      <c r="T140" s="15"/>
      <c r="U140" s="15"/>
      <c r="V140" s="15"/>
      <c r="W140" s="15"/>
      <c r="X140" s="15"/>
      <c r="Y140" s="15"/>
      <c r="Z140" s="15" t="str">
        <f>"96.47"</f>
        <v>96.47</v>
      </c>
      <c r="AA140" s="15"/>
      <c r="AB140" s="15"/>
      <c r="AC140" s="15"/>
      <c r="AD140" s="15"/>
      <c r="AE140" s="15"/>
      <c r="AF140" s="15" t="str">
        <f>"143.80"</f>
        <v>143.80</v>
      </c>
      <c r="AG140" s="15"/>
      <c r="AH140" s="15"/>
      <c r="AI140" s="15"/>
    </row>
    <row r="141" spans="1:35">
      <c r="A141" s="14">
        <v>139</v>
      </c>
      <c r="B141" s="14">
        <v>2989</v>
      </c>
      <c r="C141" s="14" t="s">
        <v>238</v>
      </c>
      <c r="D141" s="14" t="s">
        <v>112</v>
      </c>
      <c r="E141" s="15" t="str">
        <f>"92.19"</f>
        <v>92.19</v>
      </c>
      <c r="F141" s="15"/>
      <c r="G141" s="16" t="str">
        <f>"120.19"</f>
        <v>120.19</v>
      </c>
      <c r="H141" s="17">
        <f t="shared" si="2"/>
        <v>112.19</v>
      </c>
      <c r="I141" s="18" t="s">
        <v>40</v>
      </c>
      <c r="J141" s="15">
        <v>1</v>
      </c>
      <c r="K141" s="15">
        <v>2016</v>
      </c>
      <c r="L141" s="15" t="str">
        <f>"92.19"</f>
        <v>92.19</v>
      </c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</row>
    <row r="142" spans="1:35">
      <c r="A142" s="14">
        <v>140</v>
      </c>
      <c r="B142" s="14">
        <v>7006</v>
      </c>
      <c r="C142" s="14" t="s">
        <v>239</v>
      </c>
      <c r="D142" s="14" t="s">
        <v>187</v>
      </c>
      <c r="E142" s="15" t="str">
        <f>"119.02"</f>
        <v>119.02</v>
      </c>
      <c r="F142" s="15"/>
      <c r="G142" s="16" t="str">
        <f>"120.20"</f>
        <v>120.20</v>
      </c>
      <c r="H142" s="17">
        <f t="shared" si="2"/>
        <v>112.2</v>
      </c>
      <c r="I142" s="18"/>
      <c r="J142" s="15">
        <v>3</v>
      </c>
      <c r="K142" s="15">
        <v>2016</v>
      </c>
      <c r="L142" s="15" t="str">
        <f>"119.02"</f>
        <v>119.02</v>
      </c>
      <c r="M142" s="15"/>
      <c r="N142" s="15"/>
      <c r="O142" s="15"/>
      <c r="P142" s="15"/>
      <c r="Q142" s="15" t="str">
        <f>"119.97"</f>
        <v>119.97</v>
      </c>
      <c r="R142" s="15"/>
      <c r="S142" s="15"/>
      <c r="T142" s="15"/>
      <c r="U142" s="15"/>
      <c r="V142" s="15"/>
      <c r="W142" s="15"/>
      <c r="X142" s="15"/>
      <c r="Y142" s="15"/>
      <c r="Z142" s="15" t="str">
        <f>"120.43"</f>
        <v>120.43</v>
      </c>
      <c r="AA142" s="15"/>
      <c r="AB142" s="15"/>
      <c r="AC142" s="15"/>
      <c r="AD142" s="15"/>
      <c r="AE142" s="15"/>
      <c r="AF142" s="15"/>
      <c r="AG142" s="15"/>
      <c r="AH142" s="15"/>
      <c r="AI142" s="15"/>
    </row>
    <row r="143" spans="1:35">
      <c r="A143" s="14">
        <v>141</v>
      </c>
      <c r="B143" s="14">
        <v>6863</v>
      </c>
      <c r="C143" s="14" t="s">
        <v>240</v>
      </c>
      <c r="D143" s="14" t="s">
        <v>51</v>
      </c>
      <c r="E143" s="15" t="str">
        <f>"118.95"</f>
        <v>118.95</v>
      </c>
      <c r="F143" s="15"/>
      <c r="G143" s="16" t="str">
        <f>"121.46"</f>
        <v>121.46</v>
      </c>
      <c r="H143" s="17">
        <f t="shared" si="2"/>
        <v>113.46</v>
      </c>
      <c r="I143" s="18"/>
      <c r="J143" s="15">
        <v>3</v>
      </c>
      <c r="K143" s="15">
        <v>2016</v>
      </c>
      <c r="L143" s="15" t="str">
        <f>"119.95"</f>
        <v>119.95</v>
      </c>
      <c r="M143" s="15"/>
      <c r="N143" s="15"/>
      <c r="O143" s="15"/>
      <c r="P143" s="15"/>
      <c r="Q143" s="15"/>
      <c r="R143" s="15"/>
      <c r="S143" s="15"/>
      <c r="T143" s="15"/>
      <c r="U143" s="15"/>
      <c r="V143" s="15" t="str">
        <f>"117.94"</f>
        <v>117.94</v>
      </c>
      <c r="W143" s="15"/>
      <c r="X143" s="15"/>
      <c r="Y143" s="15"/>
      <c r="Z143" s="15"/>
      <c r="AA143" s="15"/>
      <c r="AB143" s="15"/>
      <c r="AC143" s="15"/>
      <c r="AD143" s="15"/>
      <c r="AE143" s="15" t="str">
        <f>"267.16"</f>
        <v>267.16</v>
      </c>
      <c r="AF143" s="15"/>
      <c r="AG143" s="15" t="str">
        <f>"128.28"</f>
        <v>128.28</v>
      </c>
      <c r="AH143" s="15"/>
      <c r="AI143" s="15" t="str">
        <f>"124.98"</f>
        <v>124.98</v>
      </c>
    </row>
    <row r="144" spans="1:35">
      <c r="A144" s="14">
        <v>142</v>
      </c>
      <c r="B144" s="14">
        <v>10660</v>
      </c>
      <c r="C144" s="14" t="s">
        <v>241</v>
      </c>
      <c r="D144" s="14" t="s">
        <v>45</v>
      </c>
      <c r="E144" s="15" t="str">
        <f>"100.16"</f>
        <v>100.16</v>
      </c>
      <c r="F144" s="15"/>
      <c r="G144" s="16" t="str">
        <f>"122.20"</f>
        <v>122.20</v>
      </c>
      <c r="H144" s="17">
        <f t="shared" si="2"/>
        <v>114.2</v>
      </c>
      <c r="I144" s="18" t="s">
        <v>43</v>
      </c>
      <c r="J144" s="15">
        <v>2</v>
      </c>
      <c r="K144" s="15">
        <v>2016</v>
      </c>
      <c r="L144" s="15" t="str">
        <f>"106.11"</f>
        <v>106.11</v>
      </c>
      <c r="M144" s="15"/>
      <c r="N144" s="15"/>
      <c r="O144" s="15"/>
      <c r="P144" s="15"/>
      <c r="Q144" s="15"/>
      <c r="R144" s="15"/>
      <c r="S144" s="15"/>
      <c r="T144" s="15"/>
      <c r="U144" s="15"/>
      <c r="V144" s="15" t="str">
        <f>"94.20"</f>
        <v>94.20</v>
      </c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</row>
    <row r="145" spans="1:35">
      <c r="A145" s="14">
        <v>143</v>
      </c>
      <c r="B145" s="14">
        <v>3192</v>
      </c>
      <c r="C145" s="14" t="s">
        <v>242</v>
      </c>
      <c r="D145" s="14" t="s">
        <v>51</v>
      </c>
      <c r="E145" s="15" t="str">
        <f>"123.34"</f>
        <v>123.34</v>
      </c>
      <c r="F145" s="15"/>
      <c r="G145" s="16" t="str">
        <f>"123.34"</f>
        <v>123.34</v>
      </c>
      <c r="H145" s="17">
        <f t="shared" si="2"/>
        <v>115.34</v>
      </c>
      <c r="I145" s="18"/>
      <c r="J145" s="15">
        <v>3</v>
      </c>
      <c r="K145" s="15">
        <v>2016</v>
      </c>
      <c r="L145" s="15" t="str">
        <f>"411.20"</f>
        <v>411.20</v>
      </c>
      <c r="M145" s="15"/>
      <c r="N145" s="15"/>
      <c r="O145" s="15"/>
      <c r="P145" s="15"/>
      <c r="Q145" s="15"/>
      <c r="R145" s="15"/>
      <c r="S145" s="15" t="str">
        <f>"117.77"</f>
        <v>117.77</v>
      </c>
      <c r="T145" s="15" t="str">
        <f>"131.63"</f>
        <v>131.63</v>
      </c>
      <c r="U145" s="15"/>
      <c r="V145" s="15"/>
      <c r="W145" s="15"/>
      <c r="X145" s="15" t="str">
        <f>"135.75"</f>
        <v>135.75</v>
      </c>
      <c r="Y145" s="15"/>
      <c r="Z145" s="15"/>
      <c r="AA145" s="15" t="str">
        <f>"172.23"</f>
        <v>172.23</v>
      </c>
      <c r="AB145" s="15"/>
      <c r="AC145" s="15"/>
      <c r="AD145" s="15"/>
      <c r="AE145" s="15"/>
      <c r="AF145" s="15"/>
      <c r="AG145" s="15" t="str">
        <f>"128.91"</f>
        <v>128.91</v>
      </c>
      <c r="AH145" s="15" t="str">
        <f>"139.07"</f>
        <v>139.07</v>
      </c>
      <c r="AI145" s="15"/>
    </row>
    <row r="146" spans="1:35">
      <c r="A146" s="14">
        <v>144</v>
      </c>
      <c r="B146" s="14">
        <v>5427</v>
      </c>
      <c r="C146" s="14" t="s">
        <v>243</v>
      </c>
      <c r="D146" s="14" t="s">
        <v>45</v>
      </c>
      <c r="E146" s="15" t="str">
        <f>"123.40"</f>
        <v>123.40</v>
      </c>
      <c r="F146" s="15"/>
      <c r="G146" s="16" t="str">
        <f>"123.40"</f>
        <v>123.40</v>
      </c>
      <c r="H146" s="17">
        <f t="shared" si="2"/>
        <v>115.4</v>
      </c>
      <c r="I146" s="18"/>
      <c r="J146" s="15">
        <v>3</v>
      </c>
      <c r="K146" s="15">
        <v>2016</v>
      </c>
      <c r="L146" s="15" t="str">
        <f>"146.76"</f>
        <v>146.76</v>
      </c>
      <c r="M146" s="15" t="str">
        <f>"133.91"</f>
        <v>133.91</v>
      </c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 t="str">
        <f>"112.89"</f>
        <v>112.89</v>
      </c>
      <c r="AB146" s="15"/>
      <c r="AC146" s="15" t="str">
        <f>"211.29"</f>
        <v>211.29</v>
      </c>
      <c r="AD146" s="15"/>
      <c r="AE146" s="15"/>
      <c r="AF146" s="15"/>
      <c r="AG146" s="15"/>
      <c r="AH146" s="15"/>
      <c r="AI146" s="15"/>
    </row>
    <row r="147" spans="1:35">
      <c r="A147" s="14">
        <v>145</v>
      </c>
      <c r="B147" s="14">
        <v>10350</v>
      </c>
      <c r="C147" s="14" t="s">
        <v>244</v>
      </c>
      <c r="D147" s="14" t="s">
        <v>245</v>
      </c>
      <c r="E147" s="15" t="str">
        <f>"111.96"</f>
        <v>111.96</v>
      </c>
      <c r="F147" s="15"/>
      <c r="G147" s="16" t="str">
        <f>"123.41"</f>
        <v>123.41</v>
      </c>
      <c r="H147" s="17">
        <f t="shared" si="2"/>
        <v>115.41</v>
      </c>
      <c r="I147" s="18" t="s">
        <v>43</v>
      </c>
      <c r="J147" s="15">
        <v>2</v>
      </c>
      <c r="K147" s="15">
        <v>2016</v>
      </c>
      <c r="L147" s="15" t="str">
        <f>"128.50"</f>
        <v>128.50</v>
      </c>
      <c r="M147" s="15"/>
      <c r="N147" s="15"/>
      <c r="O147" s="15"/>
      <c r="P147" s="15"/>
      <c r="Q147" s="15"/>
      <c r="R147" s="15" t="str">
        <f>"95.41"</f>
        <v>95.41</v>
      </c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</row>
    <row r="148" spans="1:35">
      <c r="A148" s="14">
        <v>146</v>
      </c>
      <c r="B148" s="14">
        <v>6296</v>
      </c>
      <c r="C148" s="14" t="s">
        <v>246</v>
      </c>
      <c r="D148" s="14" t="s">
        <v>51</v>
      </c>
      <c r="E148" s="15" t="str">
        <f>"87.71"</f>
        <v>87.71</v>
      </c>
      <c r="F148" s="15"/>
      <c r="G148" s="16" t="str">
        <f>"123.70"</f>
        <v>123.70</v>
      </c>
      <c r="H148" s="17">
        <f t="shared" si="2"/>
        <v>115.7</v>
      </c>
      <c r="I148" s="18" t="s">
        <v>43</v>
      </c>
      <c r="J148" s="15">
        <v>2</v>
      </c>
      <c r="K148" s="15">
        <v>2016</v>
      </c>
      <c r="L148" s="15" t="str">
        <f>"87.71"</f>
        <v>87.71</v>
      </c>
      <c r="M148" s="15"/>
      <c r="N148" s="15"/>
      <c r="O148" s="15"/>
      <c r="P148" s="15"/>
      <c r="Q148" s="15"/>
      <c r="R148" s="15"/>
      <c r="S148" s="15"/>
      <c r="T148" s="15" t="str">
        <f>"95.70"</f>
        <v>95.70</v>
      </c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</row>
    <row r="149" spans="1:35">
      <c r="A149" s="14">
        <v>147</v>
      </c>
      <c r="B149" s="14">
        <v>778</v>
      </c>
      <c r="C149" s="14" t="s">
        <v>247</v>
      </c>
      <c r="D149" s="14" t="s">
        <v>248</v>
      </c>
      <c r="E149" s="15" t="str">
        <f>"95.59"</f>
        <v>95.59</v>
      </c>
      <c r="F149" s="15"/>
      <c r="G149" s="16" t="str">
        <f>"124.20"</f>
        <v>124.20</v>
      </c>
      <c r="H149" s="17">
        <f t="shared" si="2"/>
        <v>116.2</v>
      </c>
      <c r="I149" s="18"/>
      <c r="J149" s="15">
        <v>3</v>
      </c>
      <c r="K149" s="15">
        <v>2016</v>
      </c>
      <c r="L149" s="15" t="str">
        <f>"95.59"</f>
        <v>95.59</v>
      </c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 t="str">
        <f>"119.51"</f>
        <v>119.51</v>
      </c>
      <c r="AC149" s="15"/>
      <c r="AD149" s="15" t="str">
        <f>"128.88"</f>
        <v>128.88</v>
      </c>
      <c r="AE149" s="15"/>
      <c r="AF149" s="15"/>
      <c r="AG149" s="15"/>
      <c r="AH149" s="15"/>
      <c r="AI149" s="15"/>
    </row>
    <row r="150" spans="1:35">
      <c r="A150" s="14">
        <v>148</v>
      </c>
      <c r="B150" s="14">
        <v>9967</v>
      </c>
      <c r="C150" s="14" t="s">
        <v>249</v>
      </c>
      <c r="D150" s="14" t="s">
        <v>51</v>
      </c>
      <c r="E150" s="15" t="str">
        <f>"99.02"</f>
        <v>99.02</v>
      </c>
      <c r="F150" s="15"/>
      <c r="G150" s="16" t="str">
        <f>"124.65"</f>
        <v>124.65</v>
      </c>
      <c r="H150" s="17">
        <f t="shared" si="2"/>
        <v>116.65</v>
      </c>
      <c r="I150" s="18"/>
      <c r="J150" s="15">
        <v>3</v>
      </c>
      <c r="K150" s="15">
        <v>2016</v>
      </c>
      <c r="L150" s="15" t="str">
        <f>"99.02"</f>
        <v>99.02</v>
      </c>
      <c r="M150" s="15"/>
      <c r="N150" s="15"/>
      <c r="O150" s="15"/>
      <c r="P150" s="15"/>
      <c r="Q150" s="15"/>
      <c r="R150" s="15"/>
      <c r="S150" s="15"/>
      <c r="T150" s="15" t="str">
        <f>"170.26"</f>
        <v>170.26</v>
      </c>
      <c r="U150" s="15"/>
      <c r="V150" s="15"/>
      <c r="W150" s="15"/>
      <c r="X150" s="15"/>
      <c r="Y150" s="15"/>
      <c r="Z150" s="15"/>
      <c r="AA150" s="15" t="str">
        <f>"135.23"</f>
        <v>135.23</v>
      </c>
      <c r="AB150" s="15"/>
      <c r="AC150" s="15" t="str">
        <f>"114.07"</f>
        <v>114.07</v>
      </c>
      <c r="AD150" s="15"/>
      <c r="AE150" s="15"/>
      <c r="AF150" s="15"/>
      <c r="AG150" s="15"/>
      <c r="AH150" s="15"/>
      <c r="AI150" s="15"/>
    </row>
    <row r="151" spans="1:35">
      <c r="A151" s="14">
        <v>149</v>
      </c>
      <c r="B151" s="14">
        <v>7468</v>
      </c>
      <c r="C151" s="14" t="s">
        <v>250</v>
      </c>
      <c r="D151" s="14" t="s">
        <v>112</v>
      </c>
      <c r="E151" s="15" t="str">
        <f>"124.86"</f>
        <v>124.86</v>
      </c>
      <c r="F151" s="15"/>
      <c r="G151" s="16" t="str">
        <f>"124.86"</f>
        <v>124.86</v>
      </c>
      <c r="H151" s="17">
        <f t="shared" si="2"/>
        <v>116.86</v>
      </c>
      <c r="I151" s="18"/>
      <c r="J151" s="15">
        <v>5</v>
      </c>
      <c r="K151" s="15">
        <v>2016</v>
      </c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 t="str">
        <f>"123.95"</f>
        <v>123.95</v>
      </c>
      <c r="AC151" s="15"/>
      <c r="AD151" s="15" t="str">
        <f>"125.76"</f>
        <v>125.76</v>
      </c>
      <c r="AE151" s="15"/>
      <c r="AF151" s="15"/>
      <c r="AG151" s="15"/>
      <c r="AH151" s="15"/>
      <c r="AI151" s="15"/>
    </row>
    <row r="152" spans="1:35">
      <c r="A152" s="14">
        <v>150</v>
      </c>
      <c r="B152" s="14">
        <v>7860</v>
      </c>
      <c r="C152" s="14" t="s">
        <v>251</v>
      </c>
      <c r="D152" s="14" t="s">
        <v>51</v>
      </c>
      <c r="E152" s="15" t="str">
        <f>"105.17"</f>
        <v>105.17</v>
      </c>
      <c r="F152" s="15"/>
      <c r="G152" s="16" t="str">
        <f>"124.95"</f>
        <v>124.95</v>
      </c>
      <c r="H152" s="17">
        <f t="shared" si="2"/>
        <v>116.95</v>
      </c>
      <c r="I152" s="18"/>
      <c r="J152" s="15">
        <v>3</v>
      </c>
      <c r="K152" s="15">
        <v>2016</v>
      </c>
      <c r="L152" s="15" t="str">
        <f>"105.17"</f>
        <v>105.17</v>
      </c>
      <c r="M152" s="15"/>
      <c r="N152" s="15"/>
      <c r="O152" s="15"/>
      <c r="P152" s="15"/>
      <c r="Q152" s="15"/>
      <c r="R152" s="15"/>
      <c r="S152" s="15"/>
      <c r="T152" s="15" t="str">
        <f>"140.84"</f>
        <v>140.84</v>
      </c>
      <c r="U152" s="15"/>
      <c r="V152" s="15"/>
      <c r="W152" s="15"/>
      <c r="X152" s="15"/>
      <c r="Y152" s="15" t="str">
        <f>"109.05"</f>
        <v>109.05</v>
      </c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</row>
    <row r="153" spans="1:35">
      <c r="A153" s="14">
        <v>151</v>
      </c>
      <c r="B153" s="14">
        <v>2480</v>
      </c>
      <c r="C153" s="14" t="s">
        <v>252</v>
      </c>
      <c r="D153" s="14" t="s">
        <v>174</v>
      </c>
      <c r="E153" s="15" t="str">
        <f>"119.26"</f>
        <v>119.26</v>
      </c>
      <c r="F153" s="15"/>
      <c r="G153" s="16" t="str">
        <f>"125.60"</f>
        <v>125.60</v>
      </c>
      <c r="H153" s="17">
        <f t="shared" si="2"/>
        <v>117.6</v>
      </c>
      <c r="I153" s="18"/>
      <c r="J153" s="15">
        <v>3</v>
      </c>
      <c r="K153" s="15">
        <v>2016</v>
      </c>
      <c r="L153" s="15" t="str">
        <f>"121.91"</f>
        <v>121.91</v>
      </c>
      <c r="M153" s="15"/>
      <c r="N153" s="15"/>
      <c r="O153" s="15"/>
      <c r="P153" s="15"/>
      <c r="Q153" s="15" t="str">
        <f>"116.60"</f>
        <v>116.60</v>
      </c>
      <c r="R153" s="15"/>
      <c r="S153" s="15"/>
      <c r="T153" s="15"/>
      <c r="U153" s="15"/>
      <c r="V153" s="15" t="str">
        <f>"158.08"</f>
        <v>158.08</v>
      </c>
      <c r="W153" s="15"/>
      <c r="X153" s="15"/>
      <c r="Y153" s="15"/>
      <c r="Z153" s="15" t="str">
        <f>"134.59"</f>
        <v>134.59</v>
      </c>
      <c r="AA153" s="15"/>
      <c r="AB153" s="15"/>
      <c r="AC153" s="15" t="str">
        <f>"277.57"</f>
        <v>277.57</v>
      </c>
      <c r="AD153" s="15"/>
      <c r="AE153" s="15"/>
      <c r="AF153" s="15"/>
      <c r="AG153" s="15"/>
      <c r="AH153" s="15"/>
      <c r="AI153" s="15"/>
    </row>
    <row r="154" spans="1:35">
      <c r="A154" s="14">
        <v>152</v>
      </c>
      <c r="B154" s="14">
        <v>1885</v>
      </c>
      <c r="C154" s="14" t="s">
        <v>253</v>
      </c>
      <c r="D154" s="14" t="s">
        <v>254</v>
      </c>
      <c r="E154" s="15" t="str">
        <f>"109.10"</f>
        <v>109.10</v>
      </c>
      <c r="F154" s="15"/>
      <c r="G154" s="16" t="str">
        <f>"125.65"</f>
        <v>125.65</v>
      </c>
      <c r="H154" s="17">
        <f t="shared" si="2"/>
        <v>117.65</v>
      </c>
      <c r="I154" s="18" t="s">
        <v>43</v>
      </c>
      <c r="J154" s="15">
        <v>2</v>
      </c>
      <c r="K154" s="15">
        <v>2016</v>
      </c>
      <c r="L154" s="15" t="str">
        <f>"120.54"</f>
        <v>120.54</v>
      </c>
      <c r="M154" s="15"/>
      <c r="N154" s="15"/>
      <c r="O154" s="15"/>
      <c r="P154" s="15"/>
      <c r="Q154" s="15"/>
      <c r="R154" s="15"/>
      <c r="S154" s="15"/>
      <c r="T154" s="15"/>
      <c r="U154" s="15"/>
      <c r="V154" s="15" t="str">
        <f>"97.65"</f>
        <v>97.65</v>
      </c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</row>
    <row r="155" spans="1:35">
      <c r="A155" s="14">
        <v>153</v>
      </c>
      <c r="B155" s="14">
        <v>10537</v>
      </c>
      <c r="C155" s="14" t="s">
        <v>255</v>
      </c>
      <c r="D155" s="14" t="s">
        <v>51</v>
      </c>
      <c r="E155" s="15" t="str">
        <f>"126.47"</f>
        <v>126.47</v>
      </c>
      <c r="F155" s="15"/>
      <c r="G155" s="16" t="str">
        <f>"126.47"</f>
        <v>126.47</v>
      </c>
      <c r="H155" s="17">
        <f t="shared" si="2"/>
        <v>118.47</v>
      </c>
      <c r="I155" s="18"/>
      <c r="J155" s="15">
        <v>3</v>
      </c>
      <c r="K155" s="15">
        <v>2016</v>
      </c>
      <c r="L155" s="15" t="str">
        <f>"164.98"</f>
        <v>164.98</v>
      </c>
      <c r="M155" s="15"/>
      <c r="N155" s="15"/>
      <c r="O155" s="15"/>
      <c r="P155" s="15"/>
      <c r="Q155" s="15"/>
      <c r="R155" s="15"/>
      <c r="S155" s="15"/>
      <c r="T155" s="15" t="str">
        <f>"106.68"</f>
        <v>106.68</v>
      </c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 t="str">
        <f>"146.25"</f>
        <v>146.25</v>
      </c>
      <c r="AF155" s="15"/>
      <c r="AG155" s="15"/>
      <c r="AH155" s="15"/>
      <c r="AI155" s="15"/>
    </row>
    <row r="156" spans="1:35">
      <c r="A156" s="14">
        <v>154</v>
      </c>
      <c r="B156" s="14">
        <v>2403</v>
      </c>
      <c r="C156" s="14" t="s">
        <v>256</v>
      </c>
      <c r="D156" s="14" t="s">
        <v>51</v>
      </c>
      <c r="E156" s="15" t="str">
        <f>"127.47"</f>
        <v>127.47</v>
      </c>
      <c r="F156" s="15"/>
      <c r="G156" s="16" t="str">
        <f>"127.47"</f>
        <v>127.47</v>
      </c>
      <c r="H156" s="17">
        <f t="shared" si="2"/>
        <v>119.47</v>
      </c>
      <c r="I156" s="18"/>
      <c r="J156" s="15">
        <v>3</v>
      </c>
      <c r="K156" s="15">
        <v>2016</v>
      </c>
      <c r="L156" s="15" t="str">
        <f>"191.37"</f>
        <v>191.37</v>
      </c>
      <c r="M156" s="15"/>
      <c r="N156" s="15"/>
      <c r="O156" s="15"/>
      <c r="P156" s="15"/>
      <c r="Q156" s="15" t="str">
        <f>"139.06"</f>
        <v>139.06</v>
      </c>
      <c r="R156" s="15"/>
      <c r="S156" s="15"/>
      <c r="T156" s="15"/>
      <c r="U156" s="15"/>
      <c r="V156" s="15"/>
      <c r="W156" s="15"/>
      <c r="X156" s="15"/>
      <c r="Y156" s="15"/>
      <c r="Z156" s="15" t="str">
        <f>"115.87"</f>
        <v>115.87</v>
      </c>
      <c r="AA156" s="15"/>
      <c r="AB156" s="15"/>
      <c r="AC156" s="15"/>
      <c r="AD156" s="15"/>
      <c r="AE156" s="15"/>
      <c r="AF156" s="15"/>
      <c r="AG156" s="15"/>
      <c r="AH156" s="15"/>
      <c r="AI156" s="15" t="str">
        <f>"151.50"</f>
        <v>151.50</v>
      </c>
    </row>
    <row r="157" spans="1:35">
      <c r="A157" s="14">
        <v>155</v>
      </c>
      <c r="B157" s="14">
        <v>8319</v>
      </c>
      <c r="C157" s="14" t="s">
        <v>257</v>
      </c>
      <c r="D157" s="14" t="s">
        <v>258</v>
      </c>
      <c r="E157" s="15" t="str">
        <f>"127.80"</f>
        <v>127.80</v>
      </c>
      <c r="F157" s="15"/>
      <c r="G157" s="16" t="str">
        <f>"127.80"</f>
        <v>127.80</v>
      </c>
      <c r="H157" s="17">
        <f t="shared" si="2"/>
        <v>119.8</v>
      </c>
      <c r="I157" s="18"/>
      <c r="J157" s="15">
        <v>3</v>
      </c>
      <c r="K157" s="15">
        <v>2016</v>
      </c>
      <c r="L157" s="15" t="str">
        <f>"128.92"</f>
        <v>128.92</v>
      </c>
      <c r="M157" s="15"/>
      <c r="N157" s="15"/>
      <c r="O157" s="15"/>
      <c r="P157" s="15"/>
      <c r="Q157" s="15"/>
      <c r="R157" s="15"/>
      <c r="S157" s="15"/>
      <c r="T157" s="15"/>
      <c r="U157" s="15"/>
      <c r="V157" s="15" t="str">
        <f>"169.36"</f>
        <v>169.36</v>
      </c>
      <c r="W157" s="15"/>
      <c r="X157" s="15"/>
      <c r="Y157" s="15"/>
      <c r="Z157" s="15"/>
      <c r="AA157" s="15" t="str">
        <f>"128.12"</f>
        <v>128.12</v>
      </c>
      <c r="AB157" s="15"/>
      <c r="AC157" s="15" t="str">
        <f>"127.48"</f>
        <v>127.48</v>
      </c>
      <c r="AD157" s="15"/>
      <c r="AE157" s="15"/>
      <c r="AF157" s="15"/>
      <c r="AG157" s="15"/>
      <c r="AH157" s="15"/>
      <c r="AI157" s="15"/>
    </row>
    <row r="158" spans="1:35">
      <c r="A158" s="14">
        <v>156</v>
      </c>
      <c r="B158" s="14">
        <v>1706</v>
      </c>
      <c r="C158" s="14" t="s">
        <v>259</v>
      </c>
      <c r="D158" s="14" t="s">
        <v>51</v>
      </c>
      <c r="E158" s="15" t="str">
        <f>"100.34"</f>
        <v>100.34</v>
      </c>
      <c r="F158" s="15"/>
      <c r="G158" s="16" t="str">
        <f>"128.34"</f>
        <v>128.34</v>
      </c>
      <c r="H158" s="17">
        <f t="shared" si="2"/>
        <v>120.34</v>
      </c>
      <c r="I158" s="18" t="s">
        <v>40</v>
      </c>
      <c r="J158" s="15">
        <v>1</v>
      </c>
      <c r="K158" s="15">
        <v>2016</v>
      </c>
      <c r="L158" s="15" t="str">
        <f>"100.34"</f>
        <v>100.34</v>
      </c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</row>
    <row r="159" spans="1:35">
      <c r="A159" s="14">
        <v>157</v>
      </c>
      <c r="B159" s="14">
        <v>7585</v>
      </c>
      <c r="C159" s="14" t="s">
        <v>260</v>
      </c>
      <c r="D159" s="14" t="s">
        <v>51</v>
      </c>
      <c r="E159" s="15" t="str">
        <f>"114.49"</f>
        <v>114.49</v>
      </c>
      <c r="F159" s="15"/>
      <c r="G159" s="16">
        <v>128.49</v>
      </c>
      <c r="H159" s="17">
        <f t="shared" si="2"/>
        <v>120.49000000000001</v>
      </c>
      <c r="I159" s="18" t="s">
        <v>67</v>
      </c>
      <c r="J159" s="15">
        <v>1</v>
      </c>
      <c r="K159" s="15">
        <v>2016</v>
      </c>
      <c r="L159" s="15" t="str">
        <f>"114.49"</f>
        <v>114.49</v>
      </c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</row>
    <row r="160" spans="1:35">
      <c r="A160" s="14">
        <v>158</v>
      </c>
      <c r="B160" s="14">
        <v>1616</v>
      </c>
      <c r="C160" s="14" t="s">
        <v>261</v>
      </c>
      <c r="D160" s="14" t="s">
        <v>189</v>
      </c>
      <c r="E160" s="15" t="str">
        <f>"100.07"</f>
        <v>100.07</v>
      </c>
      <c r="F160" s="15"/>
      <c r="G160" s="16" t="str">
        <f>"129.39"</f>
        <v>129.39</v>
      </c>
      <c r="H160" s="17">
        <f t="shared" si="2"/>
        <v>121.38999999999999</v>
      </c>
      <c r="I160" s="18"/>
      <c r="J160" s="15">
        <v>3</v>
      </c>
      <c r="K160" s="15">
        <v>2016</v>
      </c>
      <c r="L160" s="15" t="str">
        <f>"100.07"</f>
        <v>100.07</v>
      </c>
      <c r="M160" s="15"/>
      <c r="N160" s="15"/>
      <c r="O160" s="15"/>
      <c r="P160" s="15"/>
      <c r="Q160" s="15"/>
      <c r="R160" s="15" t="str">
        <f>"138.12"</f>
        <v>138.12</v>
      </c>
      <c r="S160" s="15"/>
      <c r="T160" s="15"/>
      <c r="U160" s="15"/>
      <c r="V160" s="15"/>
      <c r="W160" s="15" t="str">
        <f>"162.42"</f>
        <v>162.42</v>
      </c>
      <c r="X160" s="15"/>
      <c r="Y160" s="15"/>
      <c r="Z160" s="15"/>
      <c r="AA160" s="15"/>
      <c r="AB160" s="15" t="str">
        <f>"120.65"</f>
        <v>120.65</v>
      </c>
      <c r="AC160" s="15"/>
      <c r="AD160" s="15"/>
      <c r="AE160" s="15"/>
      <c r="AF160" s="15"/>
      <c r="AG160" s="15"/>
      <c r="AH160" s="15"/>
      <c r="AI160" s="15"/>
    </row>
    <row r="161" spans="1:35">
      <c r="A161" s="14">
        <v>159</v>
      </c>
      <c r="B161" s="14">
        <v>134</v>
      </c>
      <c r="C161" s="14" t="s">
        <v>262</v>
      </c>
      <c r="D161" s="14" t="s">
        <v>245</v>
      </c>
      <c r="E161" s="15" t="str">
        <f>"101.49"</f>
        <v>101.49</v>
      </c>
      <c r="F161" s="15"/>
      <c r="G161" s="16" t="str">
        <f>"129.49"</f>
        <v>129.49</v>
      </c>
      <c r="H161" s="17">
        <f t="shared" si="2"/>
        <v>121.49000000000001</v>
      </c>
      <c r="I161" s="18" t="s">
        <v>40</v>
      </c>
      <c r="J161" s="15">
        <v>1</v>
      </c>
      <c r="K161" s="15">
        <v>2016</v>
      </c>
      <c r="L161" s="15" t="str">
        <f>"101.49"</f>
        <v>101.49</v>
      </c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</row>
    <row r="162" spans="1:35">
      <c r="A162" s="14">
        <v>160</v>
      </c>
      <c r="B162" s="14">
        <v>5726</v>
      </c>
      <c r="C162" s="14" t="s">
        <v>263</v>
      </c>
      <c r="D162" s="14" t="s">
        <v>58</v>
      </c>
      <c r="E162" s="15" t="str">
        <f>"106.99"</f>
        <v>106.99</v>
      </c>
      <c r="F162" s="15"/>
      <c r="G162" s="16" t="str">
        <f>"129.83"</f>
        <v>129.83</v>
      </c>
      <c r="H162" s="17">
        <f t="shared" si="2"/>
        <v>121.83000000000001</v>
      </c>
      <c r="I162" s="18"/>
      <c r="J162" s="15">
        <v>3</v>
      </c>
      <c r="K162" s="15">
        <v>2016</v>
      </c>
      <c r="L162" s="15" t="str">
        <f>"128.21"</f>
        <v>128.21</v>
      </c>
      <c r="M162" s="15"/>
      <c r="N162" s="15"/>
      <c r="O162" s="15"/>
      <c r="P162" s="15"/>
      <c r="Q162" s="15"/>
      <c r="R162" s="15"/>
      <c r="S162" s="15"/>
      <c r="T162" s="15"/>
      <c r="U162" s="15" t="str">
        <f>"173.90"</f>
        <v>173.90</v>
      </c>
      <c r="V162" s="15"/>
      <c r="W162" s="15"/>
      <c r="X162" s="15"/>
      <c r="Y162" s="15"/>
      <c r="Z162" s="15" t="str">
        <f>"85.76"</f>
        <v>85.76</v>
      </c>
      <c r="AA162" s="15"/>
      <c r="AB162" s="15"/>
      <c r="AC162" s="15"/>
      <c r="AD162" s="15"/>
      <c r="AE162" s="15"/>
      <c r="AF162" s="15"/>
      <c r="AG162" s="15"/>
      <c r="AH162" s="15"/>
      <c r="AI162" s="15"/>
    </row>
    <row r="163" spans="1:35">
      <c r="A163" s="14">
        <v>161</v>
      </c>
      <c r="B163" s="14">
        <v>8352</v>
      </c>
      <c r="C163" s="14" t="s">
        <v>264</v>
      </c>
      <c r="D163" s="14" t="s">
        <v>265</v>
      </c>
      <c r="E163" s="15" t="str">
        <f>"129.91"</f>
        <v>129.91</v>
      </c>
      <c r="F163" s="15"/>
      <c r="G163" s="16" t="str">
        <f>"129.91"</f>
        <v>129.91</v>
      </c>
      <c r="H163" s="17">
        <f t="shared" si="2"/>
        <v>121.91</v>
      </c>
      <c r="I163" s="18"/>
      <c r="J163" s="15">
        <v>3</v>
      </c>
      <c r="K163" s="15">
        <v>2016</v>
      </c>
      <c r="L163" s="15" t="str">
        <f>"382.31"</f>
        <v>382.31</v>
      </c>
      <c r="M163" s="15" t="str">
        <f>"135.36"</f>
        <v>135.36</v>
      </c>
      <c r="N163" s="15"/>
      <c r="O163" s="15" t="str">
        <f>"124.46"</f>
        <v>124.46</v>
      </c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</row>
    <row r="164" spans="1:35">
      <c r="A164" s="14">
        <v>162</v>
      </c>
      <c r="B164" s="14">
        <v>10530</v>
      </c>
      <c r="C164" s="14" t="s">
        <v>266</v>
      </c>
      <c r="D164" s="14" t="s">
        <v>66</v>
      </c>
      <c r="E164" s="15" t="str">
        <f>"115.96"</f>
        <v>115.96</v>
      </c>
      <c r="F164" s="15"/>
      <c r="G164" s="16">
        <v>129.96</v>
      </c>
      <c r="H164" s="17">
        <f t="shared" si="2"/>
        <v>121.96000000000001</v>
      </c>
      <c r="I164" s="18" t="s">
        <v>67</v>
      </c>
      <c r="J164" s="15">
        <v>3</v>
      </c>
      <c r="K164" s="15">
        <v>2016</v>
      </c>
      <c r="L164" s="15" t="str">
        <f>"115.96"</f>
        <v>115.96</v>
      </c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 t="str">
        <f>"455.04"</f>
        <v>455.04</v>
      </c>
      <c r="AB164" s="15"/>
      <c r="AC164" s="15" t="str">
        <f>"142.06"</f>
        <v>142.06</v>
      </c>
      <c r="AD164" s="15"/>
      <c r="AE164" s="15"/>
      <c r="AF164" s="15"/>
      <c r="AG164" s="15"/>
      <c r="AH164" s="15"/>
      <c r="AI164" s="15"/>
    </row>
    <row r="165" spans="1:35">
      <c r="A165" s="14">
        <v>163</v>
      </c>
      <c r="B165" s="14">
        <v>9961</v>
      </c>
      <c r="C165" s="14" t="s">
        <v>267</v>
      </c>
      <c r="D165" s="14" t="s">
        <v>45</v>
      </c>
      <c r="E165" s="15" t="str">
        <f>"131.41"</f>
        <v>131.41</v>
      </c>
      <c r="F165" s="15"/>
      <c r="G165" s="16" t="str">
        <f>"130.73"</f>
        <v>130.73</v>
      </c>
      <c r="H165" s="17">
        <f t="shared" si="2"/>
        <v>122.72999999999999</v>
      </c>
      <c r="I165" s="18" t="s">
        <v>43</v>
      </c>
      <c r="J165" s="15">
        <v>2</v>
      </c>
      <c r="K165" s="15">
        <v>2016</v>
      </c>
      <c r="L165" s="15" t="str">
        <f>"160.09"</f>
        <v>160.09</v>
      </c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 t="str">
        <f>"102.73"</f>
        <v>102.73</v>
      </c>
      <c r="AB165" s="15"/>
      <c r="AC165" s="15"/>
      <c r="AD165" s="15"/>
      <c r="AE165" s="15"/>
      <c r="AF165" s="15"/>
      <c r="AG165" s="15"/>
      <c r="AH165" s="15"/>
      <c r="AI165" s="15"/>
    </row>
    <row r="166" spans="1:35">
      <c r="A166" s="14">
        <v>164</v>
      </c>
      <c r="B166" s="14">
        <v>8481</v>
      </c>
      <c r="C166" s="14" t="s">
        <v>268</v>
      </c>
      <c r="D166" s="14" t="s">
        <v>51</v>
      </c>
      <c r="E166" s="15" t="str">
        <f>"90.33"</f>
        <v>90.33</v>
      </c>
      <c r="F166" s="15"/>
      <c r="G166" s="16" t="str">
        <f>"130.94"</f>
        <v>130.94</v>
      </c>
      <c r="H166" s="17">
        <f t="shared" si="2"/>
        <v>122.94</v>
      </c>
      <c r="I166" s="18"/>
      <c r="J166" s="15">
        <v>3</v>
      </c>
      <c r="K166" s="15">
        <v>2016</v>
      </c>
      <c r="L166" s="15" t="str">
        <f>"90.33"</f>
        <v>90.33</v>
      </c>
      <c r="M166" s="15"/>
      <c r="N166" s="15"/>
      <c r="O166" s="15"/>
      <c r="P166" s="15"/>
      <c r="Q166" s="15"/>
      <c r="R166" s="15"/>
      <c r="S166" s="15"/>
      <c r="T166" s="15" t="str">
        <f>"132.34"</f>
        <v>132.34</v>
      </c>
      <c r="U166" s="15"/>
      <c r="V166" s="15"/>
      <c r="W166" s="15"/>
      <c r="X166" s="15"/>
      <c r="Y166" s="15" t="str">
        <f>"129.53"</f>
        <v>129.53</v>
      </c>
      <c r="Z166" s="15"/>
      <c r="AA166" s="15"/>
      <c r="AB166" s="15"/>
      <c r="AC166" s="15"/>
      <c r="AD166" s="15"/>
      <c r="AE166" s="15"/>
      <c r="AF166" s="15"/>
      <c r="AG166" s="15"/>
      <c r="AH166" s="15"/>
      <c r="AI166" s="15" t="str">
        <f>"152.12"</f>
        <v>152.12</v>
      </c>
    </row>
    <row r="167" spans="1:35">
      <c r="A167" s="14">
        <v>165</v>
      </c>
      <c r="B167" s="14">
        <v>2408</v>
      </c>
      <c r="C167" s="14" t="s">
        <v>269</v>
      </c>
      <c r="D167" s="14" t="s">
        <v>51</v>
      </c>
      <c r="E167" s="15" t="str">
        <f>"131.12"</f>
        <v>131.12</v>
      </c>
      <c r="F167" s="15"/>
      <c r="G167" s="16" t="str">
        <f>"131.12"</f>
        <v>131.12</v>
      </c>
      <c r="H167" s="17">
        <f t="shared" si="2"/>
        <v>123.12</v>
      </c>
      <c r="I167" s="18"/>
      <c r="J167" s="15">
        <v>3</v>
      </c>
      <c r="K167" s="15">
        <v>2016</v>
      </c>
      <c r="L167" s="15" t="str">
        <f>"210.17"</f>
        <v>210.17</v>
      </c>
      <c r="M167" s="15"/>
      <c r="N167" s="15"/>
      <c r="O167" s="15"/>
      <c r="P167" s="15" t="str">
        <f>"178.95"</f>
        <v>178.95</v>
      </c>
      <c r="Q167" s="15"/>
      <c r="R167" s="15"/>
      <c r="S167" s="15" t="str">
        <f>"138.97"</f>
        <v>138.97</v>
      </c>
      <c r="T167" s="15" t="str">
        <f>"186.35"</f>
        <v>186.35</v>
      </c>
      <c r="U167" s="15"/>
      <c r="V167" s="15"/>
      <c r="W167" s="15"/>
      <c r="X167" s="15" t="str">
        <f>"126.96"</f>
        <v>126.96</v>
      </c>
      <c r="Y167" s="15"/>
      <c r="Z167" s="15"/>
      <c r="AA167" s="15"/>
      <c r="AB167" s="15"/>
      <c r="AC167" s="15"/>
      <c r="AD167" s="15"/>
      <c r="AE167" s="15"/>
      <c r="AF167" s="15"/>
      <c r="AG167" s="15" t="str">
        <f>"135.27"</f>
        <v>135.27</v>
      </c>
      <c r="AH167" s="15" t="str">
        <f>"145.70"</f>
        <v>145.70</v>
      </c>
      <c r="AI167" s="15" t="str">
        <f>"148.88"</f>
        <v>148.88</v>
      </c>
    </row>
    <row r="168" spans="1:35">
      <c r="A168" s="14">
        <v>166</v>
      </c>
      <c r="B168" s="14">
        <v>5806</v>
      </c>
      <c r="C168" s="14" t="s">
        <v>270</v>
      </c>
      <c r="D168" s="14" t="s">
        <v>85</v>
      </c>
      <c r="E168" s="15" t="str">
        <f>"103.49"</f>
        <v>103.49</v>
      </c>
      <c r="F168" s="15"/>
      <c r="G168" s="16" t="str">
        <f>"131.49"</f>
        <v>131.49</v>
      </c>
      <c r="H168" s="17">
        <f t="shared" si="2"/>
        <v>123.49000000000001</v>
      </c>
      <c r="I168" s="18" t="s">
        <v>40</v>
      </c>
      <c r="J168" s="15">
        <v>1</v>
      </c>
      <c r="K168" s="15">
        <v>2016</v>
      </c>
      <c r="L168" s="15" t="str">
        <f>"103.49"</f>
        <v>103.49</v>
      </c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</row>
    <row r="169" spans="1:35">
      <c r="A169" s="14">
        <v>167</v>
      </c>
      <c r="B169" s="14">
        <v>10236</v>
      </c>
      <c r="C169" s="14" t="s">
        <v>271</v>
      </c>
      <c r="D169" s="14" t="s">
        <v>51</v>
      </c>
      <c r="E169" s="15" t="str">
        <f>"131.74"</f>
        <v>131.74</v>
      </c>
      <c r="F169" s="15"/>
      <c r="G169" s="16" t="str">
        <f>"131.74"</f>
        <v>131.74</v>
      </c>
      <c r="H169" s="17">
        <f t="shared" si="2"/>
        <v>123.74000000000001</v>
      </c>
      <c r="I169" s="18"/>
      <c r="J169" s="15">
        <v>3</v>
      </c>
      <c r="K169" s="15">
        <v>2016</v>
      </c>
      <c r="L169" s="15" t="str">
        <f>"190.92"</f>
        <v>190.92</v>
      </c>
      <c r="M169" s="15"/>
      <c r="N169" s="15"/>
      <c r="O169" s="15"/>
      <c r="P169" s="15"/>
      <c r="Q169" s="15"/>
      <c r="R169" s="15"/>
      <c r="S169" s="15"/>
      <c r="T169" s="15" t="str">
        <f>"145.81"</f>
        <v>145.81</v>
      </c>
      <c r="U169" s="15"/>
      <c r="V169" s="15"/>
      <c r="W169" s="15"/>
      <c r="X169" s="15"/>
      <c r="Y169" s="15"/>
      <c r="Z169" s="15"/>
      <c r="AA169" s="15" t="str">
        <f>"117.67"</f>
        <v>117.67</v>
      </c>
      <c r="AB169" s="15"/>
      <c r="AC169" s="15"/>
      <c r="AD169" s="15"/>
      <c r="AE169" s="15"/>
      <c r="AF169" s="15"/>
      <c r="AG169" s="15"/>
      <c r="AH169" s="15"/>
      <c r="AI169" s="15"/>
    </row>
    <row r="170" spans="1:35">
      <c r="A170" s="14">
        <v>168</v>
      </c>
      <c r="B170" s="14">
        <v>2573</v>
      </c>
      <c r="C170" s="14" t="s">
        <v>272</v>
      </c>
      <c r="D170" s="14" t="s">
        <v>273</v>
      </c>
      <c r="E170" s="15" t="str">
        <f>"104.32"</f>
        <v>104.32</v>
      </c>
      <c r="F170" s="15"/>
      <c r="G170" s="16" t="str">
        <f>"132.32"</f>
        <v>132.32</v>
      </c>
      <c r="H170" s="17">
        <f t="shared" si="2"/>
        <v>124.32</v>
      </c>
      <c r="I170" s="18" t="s">
        <v>40</v>
      </c>
      <c r="J170" s="15">
        <v>1</v>
      </c>
      <c r="K170" s="15">
        <v>2016</v>
      </c>
      <c r="L170" s="15" t="str">
        <f>"104.32"</f>
        <v>104.32</v>
      </c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</row>
    <row r="171" spans="1:35">
      <c r="A171" s="14">
        <v>169</v>
      </c>
      <c r="B171" s="14">
        <v>7815</v>
      </c>
      <c r="C171" s="14" t="s">
        <v>274</v>
      </c>
      <c r="D171" s="14" t="s">
        <v>58</v>
      </c>
      <c r="E171" s="15" t="str">
        <f>"133.72"</f>
        <v>133.72</v>
      </c>
      <c r="F171" s="15"/>
      <c r="G171" s="16" t="str">
        <f>"133.72"</f>
        <v>133.72</v>
      </c>
      <c r="H171" s="17">
        <f t="shared" si="2"/>
        <v>125.72</v>
      </c>
      <c r="I171" s="18"/>
      <c r="J171" s="15">
        <v>3</v>
      </c>
      <c r="K171" s="15">
        <v>2016</v>
      </c>
      <c r="L171" s="15" t="str">
        <f>"212.11"</f>
        <v>212.11</v>
      </c>
      <c r="M171" s="15"/>
      <c r="N171" s="15" t="str">
        <f>"171.78"</f>
        <v>171.78</v>
      </c>
      <c r="O171" s="15"/>
      <c r="P171" s="15"/>
      <c r="Q171" s="15"/>
      <c r="R171" s="15"/>
      <c r="S171" s="15"/>
      <c r="T171" s="15"/>
      <c r="U171" s="15" t="str">
        <f>"199.24"</f>
        <v>199.24</v>
      </c>
      <c r="V171" s="15" t="str">
        <f>"254.26"</f>
        <v>254.26</v>
      </c>
      <c r="W171" s="15"/>
      <c r="X171" s="15"/>
      <c r="Y171" s="15"/>
      <c r="Z171" s="15"/>
      <c r="AA171" s="15"/>
      <c r="AB171" s="15"/>
      <c r="AC171" s="15" t="str">
        <f>"95.66"</f>
        <v>95.66</v>
      </c>
      <c r="AD171" s="15"/>
      <c r="AE171" s="15"/>
      <c r="AF171" s="15"/>
      <c r="AG171" s="15"/>
      <c r="AH171" s="15"/>
      <c r="AI171" s="15"/>
    </row>
    <row r="172" spans="1:35">
      <c r="A172" s="14">
        <v>170</v>
      </c>
      <c r="B172" s="14">
        <v>5359</v>
      </c>
      <c r="C172" s="14" t="s">
        <v>275</v>
      </c>
      <c r="D172" s="14" t="s">
        <v>119</v>
      </c>
      <c r="E172" s="15" t="str">
        <f>"106.54"</f>
        <v>106.54</v>
      </c>
      <c r="F172" s="15"/>
      <c r="G172" s="16" t="str">
        <f>"134.54"</f>
        <v>134.54</v>
      </c>
      <c r="H172" s="17">
        <f t="shared" si="2"/>
        <v>126.53999999999999</v>
      </c>
      <c r="I172" s="18" t="s">
        <v>40</v>
      </c>
      <c r="J172" s="15">
        <v>1</v>
      </c>
      <c r="K172" s="15">
        <v>2016</v>
      </c>
      <c r="L172" s="15" t="str">
        <f>"106.54"</f>
        <v>106.54</v>
      </c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</row>
    <row r="173" spans="1:35">
      <c r="A173" s="14">
        <v>171</v>
      </c>
      <c r="B173" s="14">
        <v>4108</v>
      </c>
      <c r="C173" s="14" t="s">
        <v>276</v>
      </c>
      <c r="D173" s="14" t="s">
        <v>45</v>
      </c>
      <c r="E173" s="15" t="str">
        <f>"134.77"</f>
        <v>134.77</v>
      </c>
      <c r="F173" s="15"/>
      <c r="G173" s="16" t="str">
        <f>"134.77"</f>
        <v>134.77</v>
      </c>
      <c r="H173" s="17">
        <f t="shared" si="2"/>
        <v>126.77000000000001</v>
      </c>
      <c r="I173" s="18" t="s">
        <v>43</v>
      </c>
      <c r="J173" s="15">
        <v>4</v>
      </c>
      <c r="K173" s="15">
        <v>2016</v>
      </c>
      <c r="L173" s="15"/>
      <c r="M173" s="15"/>
      <c r="N173" s="15"/>
      <c r="O173" s="15"/>
      <c r="P173" s="15"/>
      <c r="Q173" s="15" t="str">
        <f>"106.77"</f>
        <v>106.77</v>
      </c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</row>
    <row r="174" spans="1:35">
      <c r="A174" s="14">
        <v>172</v>
      </c>
      <c r="B174" s="14">
        <v>5252</v>
      </c>
      <c r="C174" s="14" t="s">
        <v>277</v>
      </c>
      <c r="D174" s="14" t="s">
        <v>88</v>
      </c>
      <c r="E174" s="15" t="str">
        <f>"110.49"</f>
        <v>110.49</v>
      </c>
      <c r="F174" s="15"/>
      <c r="G174" s="16" t="str">
        <f>"135.57"</f>
        <v>135.57</v>
      </c>
      <c r="H174" s="17">
        <f t="shared" si="2"/>
        <v>127.57</v>
      </c>
      <c r="I174" s="18"/>
      <c r="J174" s="15">
        <v>3</v>
      </c>
      <c r="K174" s="15">
        <v>2016</v>
      </c>
      <c r="L174" s="15" t="str">
        <f>"110.49"</f>
        <v>110.49</v>
      </c>
      <c r="M174" s="15"/>
      <c r="N174" s="15"/>
      <c r="O174" s="15"/>
      <c r="P174" s="15"/>
      <c r="Q174" s="15" t="str">
        <f>"111.83"</f>
        <v>111.83</v>
      </c>
      <c r="R174" s="15"/>
      <c r="S174" s="15"/>
      <c r="T174" s="15"/>
      <c r="U174" s="15"/>
      <c r="V174" s="15"/>
      <c r="W174" s="15"/>
      <c r="X174" s="15"/>
      <c r="Y174" s="15"/>
      <c r="Z174" s="15" t="str">
        <f>"159.31"</f>
        <v>159.31</v>
      </c>
      <c r="AA174" s="15"/>
      <c r="AB174" s="15"/>
      <c r="AC174" s="15"/>
      <c r="AD174" s="15"/>
      <c r="AE174" s="15"/>
      <c r="AF174" s="15"/>
      <c r="AG174" s="15"/>
      <c r="AH174" s="15"/>
      <c r="AI174" s="15"/>
    </row>
    <row r="175" spans="1:35">
      <c r="A175" s="14">
        <v>173</v>
      </c>
      <c r="B175" s="14">
        <v>1487</v>
      </c>
      <c r="C175" s="14" t="s">
        <v>278</v>
      </c>
      <c r="D175" s="14" t="s">
        <v>279</v>
      </c>
      <c r="E175" s="15" t="str">
        <f>"136.85"</f>
        <v>136.85</v>
      </c>
      <c r="F175" s="15"/>
      <c r="G175" s="16" t="str">
        <f>"136.85"</f>
        <v>136.85</v>
      </c>
      <c r="H175" s="17">
        <f t="shared" si="2"/>
        <v>128.85</v>
      </c>
      <c r="I175" s="18" t="s">
        <v>43</v>
      </c>
      <c r="J175" s="15">
        <v>4</v>
      </c>
      <c r="K175" s="15">
        <v>2016</v>
      </c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 t="str">
        <f>"108.85"</f>
        <v>108.85</v>
      </c>
      <c r="AF175" s="15"/>
      <c r="AG175" s="15"/>
      <c r="AH175" s="15"/>
      <c r="AI175" s="15"/>
    </row>
    <row r="176" spans="1:35">
      <c r="A176" s="14">
        <v>174</v>
      </c>
      <c r="B176" s="14">
        <v>4883</v>
      </c>
      <c r="C176" s="14" t="s">
        <v>280</v>
      </c>
      <c r="D176" s="14" t="s">
        <v>155</v>
      </c>
      <c r="E176" s="15" t="str">
        <f>"136.99"</f>
        <v>136.99</v>
      </c>
      <c r="F176" s="15"/>
      <c r="G176" s="16" t="str">
        <f>"136.99"</f>
        <v>136.99</v>
      </c>
      <c r="H176" s="17">
        <f t="shared" si="2"/>
        <v>128.99</v>
      </c>
      <c r="I176" s="18"/>
      <c r="J176" s="15">
        <v>5</v>
      </c>
      <c r="K176" s="15">
        <v>2016</v>
      </c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 t="str">
        <f>"149.44"</f>
        <v>149.44</v>
      </c>
      <c r="W176" s="15"/>
      <c r="X176" s="15"/>
      <c r="Y176" s="15"/>
      <c r="Z176" s="15"/>
      <c r="AA176" s="15"/>
      <c r="AB176" s="15"/>
      <c r="AC176" s="15" t="str">
        <f>"124.53"</f>
        <v>124.53</v>
      </c>
      <c r="AD176" s="15"/>
      <c r="AE176" s="15"/>
      <c r="AF176" s="15"/>
      <c r="AG176" s="15"/>
      <c r="AH176" s="15"/>
      <c r="AI176" s="15"/>
    </row>
    <row r="177" spans="1:35">
      <c r="A177" s="14">
        <v>175</v>
      </c>
      <c r="B177" s="14">
        <v>10332</v>
      </c>
      <c r="C177" s="14" t="s">
        <v>281</v>
      </c>
      <c r="D177" s="14" t="s">
        <v>119</v>
      </c>
      <c r="E177" s="15" t="str">
        <f>"137.03"</f>
        <v>137.03</v>
      </c>
      <c r="F177" s="15"/>
      <c r="G177" s="16" t="str">
        <f>"137.03"</f>
        <v>137.03</v>
      </c>
      <c r="H177" s="17">
        <f t="shared" si="2"/>
        <v>129.03</v>
      </c>
      <c r="I177" s="18"/>
      <c r="J177" s="15">
        <v>3</v>
      </c>
      <c r="K177" s="15">
        <v>2016</v>
      </c>
      <c r="L177" s="15" t="str">
        <f>"184.11"</f>
        <v>184.11</v>
      </c>
      <c r="M177" s="15" t="str">
        <f>"155.14"</f>
        <v>155.14</v>
      </c>
      <c r="N177" s="15"/>
      <c r="O177" s="15" t="str">
        <f>"118.92"</f>
        <v>118.92</v>
      </c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</row>
    <row r="178" spans="1:35">
      <c r="A178" s="14">
        <v>176</v>
      </c>
      <c r="B178" s="14">
        <v>6861</v>
      </c>
      <c r="C178" s="14" t="s">
        <v>282</v>
      </c>
      <c r="D178" s="14" t="s">
        <v>58</v>
      </c>
      <c r="E178" s="15" t="str">
        <f>"106.90"</f>
        <v>106.90</v>
      </c>
      <c r="F178" s="15"/>
      <c r="G178" s="16" t="str">
        <f>"137.49"</f>
        <v>137.49</v>
      </c>
      <c r="H178" s="17">
        <f t="shared" si="2"/>
        <v>129.49</v>
      </c>
      <c r="I178" s="18"/>
      <c r="J178" s="15">
        <v>3</v>
      </c>
      <c r="K178" s="15">
        <v>2016</v>
      </c>
      <c r="L178" s="15" t="str">
        <f>"117.68"</f>
        <v>117.68</v>
      </c>
      <c r="M178" s="15"/>
      <c r="N178" s="15" t="str">
        <f>"279.31"</f>
        <v>279.31</v>
      </c>
      <c r="O178" s="15"/>
      <c r="P178" s="15"/>
      <c r="Q178" s="15"/>
      <c r="R178" s="15"/>
      <c r="S178" s="15"/>
      <c r="T178" s="15"/>
      <c r="U178" s="15" t="str">
        <f>"178.86"</f>
        <v>178.86</v>
      </c>
      <c r="V178" s="15"/>
      <c r="W178" s="15"/>
      <c r="X178" s="15"/>
      <c r="Y178" s="15"/>
      <c r="Z178" s="15" t="str">
        <f>"96.12"</f>
        <v>96.12</v>
      </c>
      <c r="AA178" s="15"/>
      <c r="AB178" s="15"/>
      <c r="AC178" s="15"/>
      <c r="AD178" s="15"/>
      <c r="AE178" s="15"/>
      <c r="AF178" s="15"/>
      <c r="AG178" s="15"/>
      <c r="AH178" s="15"/>
      <c r="AI178" s="15"/>
    </row>
    <row r="179" spans="1:35">
      <c r="A179" s="14">
        <v>177</v>
      </c>
      <c r="B179" s="14">
        <v>10209</v>
      </c>
      <c r="C179" s="14" t="s">
        <v>283</v>
      </c>
      <c r="D179" s="14" t="s">
        <v>58</v>
      </c>
      <c r="E179" s="15" t="str">
        <f>"137.81"</f>
        <v>137.81</v>
      </c>
      <c r="F179" s="15"/>
      <c r="G179" s="16" t="str">
        <f>"137.81"</f>
        <v>137.81</v>
      </c>
      <c r="H179" s="17">
        <f t="shared" si="2"/>
        <v>129.81</v>
      </c>
      <c r="I179" s="18"/>
      <c r="J179" s="15">
        <v>3</v>
      </c>
      <c r="K179" s="15">
        <v>2016</v>
      </c>
      <c r="L179" s="15" t="str">
        <f>"378.38"</f>
        <v>378.38</v>
      </c>
      <c r="M179" s="15"/>
      <c r="N179" s="15"/>
      <c r="O179" s="15"/>
      <c r="P179" s="15" t="str">
        <f>"315.75"</f>
        <v>315.75</v>
      </c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 t="str">
        <f>"137.98"</f>
        <v>137.98</v>
      </c>
      <c r="AH179" s="15" t="str">
        <f>"163.83"</f>
        <v>163.83</v>
      </c>
      <c r="AI179" s="15" t="str">
        <f>"137.63"</f>
        <v>137.63</v>
      </c>
    </row>
    <row r="180" spans="1:35">
      <c r="A180" s="14">
        <v>178</v>
      </c>
      <c r="B180" s="14">
        <v>8632</v>
      </c>
      <c r="C180" s="14" t="s">
        <v>284</v>
      </c>
      <c r="D180" s="14" t="s">
        <v>51</v>
      </c>
      <c r="E180" s="15" t="str">
        <f>"137.97"</f>
        <v>137.97</v>
      </c>
      <c r="F180" s="15"/>
      <c r="G180" s="16" t="str">
        <f>"137.97"</f>
        <v>137.97</v>
      </c>
      <c r="H180" s="17">
        <f t="shared" si="2"/>
        <v>129.97</v>
      </c>
      <c r="I180" s="18"/>
      <c r="J180" s="15">
        <v>3</v>
      </c>
      <c r="K180" s="15">
        <v>2016</v>
      </c>
      <c r="L180" s="15" t="str">
        <f>"198.87"</f>
        <v>198.87</v>
      </c>
      <c r="M180" s="15"/>
      <c r="N180" s="15"/>
      <c r="O180" s="15"/>
      <c r="P180" s="15"/>
      <c r="Q180" s="15"/>
      <c r="R180" s="15"/>
      <c r="S180" s="15"/>
      <c r="T180" s="15" t="str">
        <f>"219.94"</f>
        <v>219.94</v>
      </c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 t="str">
        <f>"133.84"</f>
        <v>133.84</v>
      </c>
      <c r="AH180" s="15"/>
      <c r="AI180" s="15" t="str">
        <f>"142.10"</f>
        <v>142.10</v>
      </c>
    </row>
    <row r="181" spans="1:35">
      <c r="A181" s="14">
        <v>179</v>
      </c>
      <c r="B181" s="14">
        <v>1247</v>
      </c>
      <c r="C181" s="14" t="s">
        <v>285</v>
      </c>
      <c r="D181" s="14" t="s">
        <v>286</v>
      </c>
      <c r="E181" s="15" t="str">
        <f>"109.97"</f>
        <v>109.97</v>
      </c>
      <c r="F181" s="15"/>
      <c r="G181" s="16" t="str">
        <f>"137.97"</f>
        <v>137.97</v>
      </c>
      <c r="H181" s="17">
        <f t="shared" si="2"/>
        <v>129.97</v>
      </c>
      <c r="I181" s="18" t="s">
        <v>40</v>
      </c>
      <c r="J181" s="15">
        <v>1</v>
      </c>
      <c r="K181" s="15">
        <v>2016</v>
      </c>
      <c r="L181" s="15" t="str">
        <f>"109.97"</f>
        <v>109.97</v>
      </c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</row>
    <row r="182" spans="1:35">
      <c r="A182" s="14">
        <v>180</v>
      </c>
      <c r="B182" s="14">
        <v>1435</v>
      </c>
      <c r="C182" s="14" t="s">
        <v>287</v>
      </c>
      <c r="D182" s="14" t="s">
        <v>162</v>
      </c>
      <c r="E182" s="15" t="str">
        <f>"139.15"</f>
        <v>139.15</v>
      </c>
      <c r="F182" s="15"/>
      <c r="G182" s="16" t="str">
        <f>"139.15"</f>
        <v>139.15</v>
      </c>
      <c r="H182" s="17">
        <f t="shared" si="2"/>
        <v>131.15</v>
      </c>
      <c r="I182" s="18"/>
      <c r="J182" s="15">
        <v>3</v>
      </c>
      <c r="K182" s="15">
        <v>2016</v>
      </c>
      <c r="L182" s="15" t="str">
        <f>"255.15"</f>
        <v>255.15</v>
      </c>
      <c r="M182" s="15"/>
      <c r="N182" s="15"/>
      <c r="O182" s="15"/>
      <c r="P182" s="15"/>
      <c r="Q182" s="15" t="str">
        <f>"157.40"</f>
        <v>157.40</v>
      </c>
      <c r="R182" s="15"/>
      <c r="S182" s="15"/>
      <c r="T182" s="15"/>
      <c r="U182" s="15"/>
      <c r="V182" s="15"/>
      <c r="W182" s="15"/>
      <c r="X182" s="15"/>
      <c r="Y182" s="15"/>
      <c r="Z182" s="15" t="str">
        <f>"518.11"</f>
        <v>518.11</v>
      </c>
      <c r="AA182" s="15"/>
      <c r="AB182" s="15" t="str">
        <f>"120.90"</f>
        <v>120.90</v>
      </c>
      <c r="AC182" s="15"/>
      <c r="AD182" s="15" t="str">
        <f>"161.52"</f>
        <v>161.52</v>
      </c>
      <c r="AE182" s="15" t="str">
        <f>"191.50"</f>
        <v>191.50</v>
      </c>
      <c r="AF182" s="15"/>
      <c r="AG182" s="15"/>
      <c r="AH182" s="15"/>
      <c r="AI182" s="15"/>
    </row>
    <row r="183" spans="1:35">
      <c r="A183" s="14">
        <v>181</v>
      </c>
      <c r="B183" s="14">
        <v>10224</v>
      </c>
      <c r="C183" s="14" t="s">
        <v>288</v>
      </c>
      <c r="D183" s="14" t="s">
        <v>289</v>
      </c>
      <c r="E183" s="15" t="str">
        <f>"111.32"</f>
        <v>111.32</v>
      </c>
      <c r="F183" s="15"/>
      <c r="G183" s="16" t="str">
        <f>"139.32"</f>
        <v>139.32</v>
      </c>
      <c r="H183" s="17">
        <f t="shared" si="2"/>
        <v>131.32</v>
      </c>
      <c r="I183" s="18" t="s">
        <v>40</v>
      </c>
      <c r="J183" s="15">
        <v>1</v>
      </c>
      <c r="K183" s="15">
        <v>2016</v>
      </c>
      <c r="L183" s="15" t="str">
        <f>"111.32"</f>
        <v>111.32</v>
      </c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</row>
    <row r="184" spans="1:35">
      <c r="A184" s="14">
        <v>182</v>
      </c>
      <c r="B184" s="14">
        <v>4226</v>
      </c>
      <c r="C184" s="14" t="s">
        <v>290</v>
      </c>
      <c r="D184" s="14" t="s">
        <v>291</v>
      </c>
      <c r="E184" s="15" t="str">
        <f>"113.13"</f>
        <v>113.13</v>
      </c>
      <c r="F184" s="15"/>
      <c r="G184" s="16" t="str">
        <f>"141.13"</f>
        <v>141.13</v>
      </c>
      <c r="H184" s="17">
        <f t="shared" si="2"/>
        <v>133.13</v>
      </c>
      <c r="I184" s="18" t="s">
        <v>40</v>
      </c>
      <c r="J184" s="15">
        <v>1</v>
      </c>
      <c r="K184" s="15">
        <v>2016</v>
      </c>
      <c r="L184" s="15" t="str">
        <f>"113.13"</f>
        <v>113.13</v>
      </c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</row>
    <row r="185" spans="1:35">
      <c r="A185" s="14">
        <v>183</v>
      </c>
      <c r="B185" s="14">
        <v>6278</v>
      </c>
      <c r="C185" s="14" t="s">
        <v>292</v>
      </c>
      <c r="D185" s="14" t="s">
        <v>58</v>
      </c>
      <c r="E185" s="15" t="str">
        <f>"116.67"</f>
        <v>116.67</v>
      </c>
      <c r="F185" s="15"/>
      <c r="G185" s="16" t="str">
        <f>"141.66"</f>
        <v>141.66</v>
      </c>
      <c r="H185" s="17">
        <f t="shared" si="2"/>
        <v>133.66</v>
      </c>
      <c r="I185" s="18"/>
      <c r="J185" s="15">
        <v>3</v>
      </c>
      <c r="K185" s="15">
        <v>2016</v>
      </c>
      <c r="L185" s="15" t="str">
        <f>"116.67"</f>
        <v>116.67</v>
      </c>
      <c r="M185" s="15"/>
      <c r="N185" s="15" t="str">
        <f>"122.08"</f>
        <v>122.08</v>
      </c>
      <c r="O185" s="15"/>
      <c r="P185" s="15"/>
      <c r="Q185" s="15"/>
      <c r="R185" s="15"/>
      <c r="S185" s="15"/>
      <c r="T185" s="15"/>
      <c r="U185" s="15" t="str">
        <f>"161.24"</f>
        <v>161.24</v>
      </c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</row>
    <row r="186" spans="1:35">
      <c r="A186" s="14">
        <v>184</v>
      </c>
      <c r="B186" s="14">
        <v>10087</v>
      </c>
      <c r="C186" s="14" t="s">
        <v>293</v>
      </c>
      <c r="D186" s="14" t="s">
        <v>51</v>
      </c>
      <c r="E186" s="15" t="str">
        <f>"141.71"</f>
        <v>141.71</v>
      </c>
      <c r="F186" s="15"/>
      <c r="G186" s="16" t="str">
        <f>"141.71"</f>
        <v>141.71</v>
      </c>
      <c r="H186" s="17">
        <f t="shared" si="2"/>
        <v>133.71</v>
      </c>
      <c r="I186" s="18"/>
      <c r="J186" s="15">
        <v>3</v>
      </c>
      <c r="K186" s="15">
        <v>2016</v>
      </c>
      <c r="L186" s="15" t="str">
        <f>"167.92"</f>
        <v>167.92</v>
      </c>
      <c r="M186" s="15"/>
      <c r="N186" s="15"/>
      <c r="O186" s="15"/>
      <c r="P186" s="15"/>
      <c r="Q186" s="15"/>
      <c r="R186" s="15"/>
      <c r="S186" s="15"/>
      <c r="T186" s="15" t="str">
        <f>"202.29"</f>
        <v>202.29</v>
      </c>
      <c r="U186" s="15"/>
      <c r="V186" s="15"/>
      <c r="W186" s="15"/>
      <c r="X186" s="15"/>
      <c r="Y186" s="15" t="str">
        <f>"149.72"</f>
        <v>149.72</v>
      </c>
      <c r="Z186" s="15" t="str">
        <f>"133.69"</f>
        <v>133.69</v>
      </c>
      <c r="AA186" s="15"/>
      <c r="AB186" s="15"/>
      <c r="AC186" s="15"/>
      <c r="AD186" s="15"/>
      <c r="AE186" s="15"/>
      <c r="AF186" s="15"/>
      <c r="AG186" s="15"/>
      <c r="AH186" s="15"/>
      <c r="AI186" s="15"/>
    </row>
    <row r="187" spans="1:35">
      <c r="A187" s="14">
        <v>185</v>
      </c>
      <c r="B187" s="14">
        <v>6867</v>
      </c>
      <c r="C187" s="14" t="s">
        <v>294</v>
      </c>
      <c r="D187" s="14" t="s">
        <v>119</v>
      </c>
      <c r="E187" s="15" t="str">
        <f>"113.73"</f>
        <v>113.73</v>
      </c>
      <c r="F187" s="15"/>
      <c r="G187" s="16" t="str">
        <f>"141.73"</f>
        <v>141.73</v>
      </c>
      <c r="H187" s="17">
        <f t="shared" si="2"/>
        <v>133.72999999999999</v>
      </c>
      <c r="I187" s="18" t="s">
        <v>40</v>
      </c>
      <c r="J187" s="15">
        <v>1</v>
      </c>
      <c r="K187" s="15">
        <v>2016</v>
      </c>
      <c r="L187" s="15" t="str">
        <f>"113.73"</f>
        <v>113.73</v>
      </c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</row>
    <row r="188" spans="1:35">
      <c r="A188" s="14">
        <v>186</v>
      </c>
      <c r="B188" s="14">
        <v>9965</v>
      </c>
      <c r="C188" s="14" t="s">
        <v>295</v>
      </c>
      <c r="D188" s="14" t="s">
        <v>51</v>
      </c>
      <c r="E188" s="15" t="str">
        <f>"142.09"</f>
        <v>142.09</v>
      </c>
      <c r="F188" s="15"/>
      <c r="G188" s="16" t="str">
        <f>"142.09"</f>
        <v>142.09</v>
      </c>
      <c r="H188" s="17">
        <f t="shared" si="2"/>
        <v>134.09</v>
      </c>
      <c r="I188" s="18"/>
      <c r="J188" s="15">
        <v>3</v>
      </c>
      <c r="K188" s="15">
        <v>2016</v>
      </c>
      <c r="L188" s="15" t="str">
        <f>"173.86"</f>
        <v>173.86</v>
      </c>
      <c r="M188" s="15"/>
      <c r="N188" s="15"/>
      <c r="O188" s="15"/>
      <c r="P188" s="15"/>
      <c r="Q188" s="15"/>
      <c r="R188" s="15"/>
      <c r="S188" s="15"/>
      <c r="T188" s="15" t="str">
        <f>"173.59"</f>
        <v>173.59</v>
      </c>
      <c r="U188" s="15"/>
      <c r="V188" s="15"/>
      <c r="W188" s="15"/>
      <c r="X188" s="15"/>
      <c r="Y188" s="15" t="str">
        <f>"110.59"</f>
        <v>110.59</v>
      </c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</row>
    <row r="189" spans="1:35">
      <c r="A189" s="14">
        <v>187</v>
      </c>
      <c r="B189" s="14">
        <v>8628</v>
      </c>
      <c r="C189" s="14" t="s">
        <v>296</v>
      </c>
      <c r="D189" s="14" t="s">
        <v>51</v>
      </c>
      <c r="E189" s="15" t="str">
        <f>"101.97"</f>
        <v>101.97</v>
      </c>
      <c r="F189" s="15"/>
      <c r="G189" s="16" t="str">
        <f>"142.23"</f>
        <v>142.23</v>
      </c>
      <c r="H189" s="17">
        <f t="shared" si="2"/>
        <v>134.22999999999999</v>
      </c>
      <c r="I189" s="18"/>
      <c r="J189" s="15">
        <v>3</v>
      </c>
      <c r="K189" s="15">
        <v>2016</v>
      </c>
      <c r="L189" s="15" t="str">
        <f>"101.97"</f>
        <v>101.97</v>
      </c>
      <c r="M189" s="15"/>
      <c r="N189" s="15"/>
      <c r="O189" s="15"/>
      <c r="P189" s="15"/>
      <c r="Q189" s="15"/>
      <c r="R189" s="15"/>
      <c r="S189" s="15"/>
      <c r="T189" s="15" t="str">
        <f>"137.51"</f>
        <v>137.51</v>
      </c>
      <c r="U189" s="15"/>
      <c r="V189" s="15" t="str">
        <f>"146.94"</f>
        <v>146.94</v>
      </c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</row>
    <row r="190" spans="1:35">
      <c r="A190" s="14">
        <v>188</v>
      </c>
      <c r="B190" s="14">
        <v>8709</v>
      </c>
      <c r="C190" s="14" t="s">
        <v>297</v>
      </c>
      <c r="D190" s="14" t="s">
        <v>88</v>
      </c>
      <c r="E190" s="15" t="str">
        <f>"115.10"</f>
        <v>115.10</v>
      </c>
      <c r="F190" s="15"/>
      <c r="G190" s="16" t="str">
        <f>"142.81"</f>
        <v>142.81</v>
      </c>
      <c r="H190" s="17">
        <f t="shared" si="2"/>
        <v>134.81</v>
      </c>
      <c r="I190" s="18" t="s">
        <v>43</v>
      </c>
      <c r="J190" s="15">
        <v>2</v>
      </c>
      <c r="K190" s="15">
        <v>2016</v>
      </c>
      <c r="L190" s="15" t="str">
        <f>"115.39"</f>
        <v>115.39</v>
      </c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 t="str">
        <f>"114.81"</f>
        <v>114.81</v>
      </c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</row>
    <row r="191" spans="1:35">
      <c r="A191" s="14">
        <v>189</v>
      </c>
      <c r="B191" s="14">
        <v>6298</v>
      </c>
      <c r="C191" s="14" t="s">
        <v>298</v>
      </c>
      <c r="D191" s="14" t="s">
        <v>299</v>
      </c>
      <c r="E191" s="15" t="str">
        <f>"143.63"</f>
        <v>143.63</v>
      </c>
      <c r="F191" s="15"/>
      <c r="G191" s="16" t="str">
        <f>"143.63"</f>
        <v>143.63</v>
      </c>
      <c r="H191" s="17">
        <f t="shared" si="2"/>
        <v>135.63</v>
      </c>
      <c r="I191" s="18"/>
      <c r="J191" s="15">
        <v>3</v>
      </c>
      <c r="K191" s="15">
        <v>2016</v>
      </c>
      <c r="L191" s="15" t="str">
        <f>"159.92"</f>
        <v>159.92</v>
      </c>
      <c r="M191" s="15"/>
      <c r="N191" s="15"/>
      <c r="O191" s="15" t="str">
        <f>"137.23"</f>
        <v>137.23</v>
      </c>
      <c r="P191" s="15"/>
      <c r="Q191" s="15"/>
      <c r="R191" s="15"/>
      <c r="S191" s="15"/>
      <c r="T191" s="15"/>
      <c r="U191" s="15"/>
      <c r="V191" s="15" t="str">
        <f>"150.02"</f>
        <v>150.02</v>
      </c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</row>
    <row r="192" spans="1:35">
      <c r="A192" s="14">
        <v>190</v>
      </c>
      <c r="B192" s="14">
        <v>10005</v>
      </c>
      <c r="C192" s="14" t="s">
        <v>300</v>
      </c>
      <c r="D192" s="14" t="s">
        <v>51</v>
      </c>
      <c r="E192" s="15" t="str">
        <f>"143.82"</f>
        <v>143.82</v>
      </c>
      <c r="F192" s="15"/>
      <c r="G192" s="16" t="str">
        <f>"143.82"</f>
        <v>143.82</v>
      </c>
      <c r="H192" s="17">
        <f t="shared" si="2"/>
        <v>135.82</v>
      </c>
      <c r="I192" s="18"/>
      <c r="J192" s="15">
        <v>3</v>
      </c>
      <c r="K192" s="15">
        <v>2016</v>
      </c>
      <c r="L192" s="15" t="str">
        <f>"261.69"</f>
        <v>261.69</v>
      </c>
      <c r="M192" s="15"/>
      <c r="N192" s="15"/>
      <c r="O192" s="15"/>
      <c r="P192" s="15"/>
      <c r="Q192" s="15"/>
      <c r="R192" s="15"/>
      <c r="S192" s="15" t="str">
        <f>"130.77"</f>
        <v>130.77</v>
      </c>
      <c r="T192" s="15" t="str">
        <f>"156.86"</f>
        <v>156.86</v>
      </c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</row>
    <row r="193" spans="1:35">
      <c r="A193" s="14">
        <v>191</v>
      </c>
      <c r="B193" s="14">
        <v>10343</v>
      </c>
      <c r="C193" s="14" t="s">
        <v>301</v>
      </c>
      <c r="D193" s="14" t="s">
        <v>51</v>
      </c>
      <c r="E193" s="15" t="str">
        <f>"123.45"</f>
        <v>123.45</v>
      </c>
      <c r="F193" s="15"/>
      <c r="G193" s="16" t="str">
        <f>"144.01"</f>
        <v>144.01</v>
      </c>
      <c r="H193" s="17">
        <f t="shared" si="2"/>
        <v>136.01</v>
      </c>
      <c r="I193" s="18"/>
      <c r="J193" s="15">
        <v>3</v>
      </c>
      <c r="K193" s="15">
        <v>2016</v>
      </c>
      <c r="L193" s="15" t="str">
        <f>"123.45"</f>
        <v>123.45</v>
      </c>
      <c r="M193" s="15"/>
      <c r="N193" s="15"/>
      <c r="O193" s="15"/>
      <c r="P193" s="15"/>
      <c r="Q193" s="15"/>
      <c r="R193" s="15"/>
      <c r="S193" s="15"/>
      <c r="T193" s="15" t="str">
        <f>"147.93"</f>
        <v>147.93</v>
      </c>
      <c r="U193" s="15"/>
      <c r="V193" s="15"/>
      <c r="W193" s="15"/>
      <c r="X193" s="15"/>
      <c r="Y193" s="15" t="str">
        <f>"162.42"</f>
        <v>162.42</v>
      </c>
      <c r="Z193" s="15"/>
      <c r="AA193" s="15"/>
      <c r="AB193" s="15"/>
      <c r="AC193" s="15"/>
      <c r="AD193" s="15"/>
      <c r="AE193" s="15"/>
      <c r="AF193" s="15"/>
      <c r="AG193" s="15"/>
      <c r="AH193" s="15"/>
      <c r="AI193" s="15" t="str">
        <f>"140.09"</f>
        <v>140.09</v>
      </c>
    </row>
    <row r="194" spans="1:35">
      <c r="A194" s="14">
        <v>192</v>
      </c>
      <c r="B194" s="14">
        <v>10382</v>
      </c>
      <c r="C194" s="14" t="s">
        <v>302</v>
      </c>
      <c r="D194" s="14" t="s">
        <v>51</v>
      </c>
      <c r="E194" s="15" t="str">
        <f>"144.58"</f>
        <v>144.58</v>
      </c>
      <c r="F194" s="15"/>
      <c r="G194" s="16" t="str">
        <f>"144.58"</f>
        <v>144.58</v>
      </c>
      <c r="H194" s="17">
        <f t="shared" si="2"/>
        <v>136.58000000000001</v>
      </c>
      <c r="I194" s="18"/>
      <c r="J194" s="15">
        <v>3</v>
      </c>
      <c r="K194" s="15">
        <v>2016</v>
      </c>
      <c r="L194" s="15" t="str">
        <f>"324.81"</f>
        <v>324.81</v>
      </c>
      <c r="M194" s="15"/>
      <c r="N194" s="15"/>
      <c r="O194" s="15"/>
      <c r="P194" s="15"/>
      <c r="Q194" s="15"/>
      <c r="R194" s="15"/>
      <c r="S194" s="15" t="str">
        <f>"241.08"</f>
        <v>241.08</v>
      </c>
      <c r="T194" s="15" t="str">
        <f>"300.88"</f>
        <v>300.88</v>
      </c>
      <c r="U194" s="15"/>
      <c r="V194" s="15"/>
      <c r="W194" s="15"/>
      <c r="X194" s="15"/>
      <c r="Y194" s="15"/>
      <c r="Z194" s="15" t="str">
        <f>"134.66"</f>
        <v>134.66</v>
      </c>
      <c r="AA194" s="15"/>
      <c r="AB194" s="15"/>
      <c r="AC194" s="15"/>
      <c r="AD194" s="15"/>
      <c r="AE194" s="15" t="str">
        <f>"154.49"</f>
        <v>154.49</v>
      </c>
      <c r="AF194" s="15"/>
      <c r="AG194" s="15"/>
      <c r="AH194" s="15"/>
      <c r="AI194" s="15"/>
    </row>
    <row r="195" spans="1:35">
      <c r="A195" s="14">
        <v>193</v>
      </c>
      <c r="B195" s="14">
        <v>6556</v>
      </c>
      <c r="C195" s="14" t="s">
        <v>303</v>
      </c>
      <c r="D195" s="14" t="s">
        <v>146</v>
      </c>
      <c r="E195" s="15" t="str">
        <f>"128.09"</f>
        <v>128.09</v>
      </c>
      <c r="F195" s="15"/>
      <c r="G195" s="16" t="str">
        <f>"144.74"</f>
        <v>144.74</v>
      </c>
      <c r="H195" s="17">
        <f t="shared" ref="H195:H258" si="3">G195-8</f>
        <v>136.74</v>
      </c>
      <c r="I195" s="18" t="s">
        <v>43</v>
      </c>
      <c r="J195" s="15">
        <v>2</v>
      </c>
      <c r="K195" s="15">
        <v>2016</v>
      </c>
      <c r="L195" s="15" t="str">
        <f>"139.43"</f>
        <v>139.43</v>
      </c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 t="str">
        <f>"116.74"</f>
        <v>116.74</v>
      </c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</row>
    <row r="196" spans="1:35">
      <c r="A196" s="14">
        <v>194</v>
      </c>
      <c r="B196" s="14">
        <v>6312</v>
      </c>
      <c r="C196" s="14" t="s">
        <v>304</v>
      </c>
      <c r="D196" s="14" t="s">
        <v>55</v>
      </c>
      <c r="E196" s="15" t="str">
        <f>"145.36"</f>
        <v>145.36</v>
      </c>
      <c r="F196" s="15"/>
      <c r="G196" s="16" t="str">
        <f>"145.36"</f>
        <v>145.36</v>
      </c>
      <c r="H196" s="17">
        <f t="shared" si="3"/>
        <v>137.36000000000001</v>
      </c>
      <c r="I196" s="18"/>
      <c r="J196" s="15">
        <v>3</v>
      </c>
      <c r="K196" s="15">
        <v>2016</v>
      </c>
      <c r="L196" s="15" t="str">
        <f>"162.02"</f>
        <v>162.02</v>
      </c>
      <c r="M196" s="15"/>
      <c r="N196" s="15"/>
      <c r="O196" s="15"/>
      <c r="P196" s="15"/>
      <c r="Q196" s="15"/>
      <c r="R196" s="15" t="str">
        <f>"152.84"</f>
        <v>152.84</v>
      </c>
      <c r="S196" s="15"/>
      <c r="T196" s="15"/>
      <c r="U196" s="15"/>
      <c r="V196" s="15"/>
      <c r="W196" s="15" t="str">
        <f>"154.43"</f>
        <v>154.43</v>
      </c>
      <c r="X196" s="15"/>
      <c r="Y196" s="15"/>
      <c r="Z196" s="15"/>
      <c r="AA196" s="15"/>
      <c r="AB196" s="15" t="str">
        <f>"137.88"</f>
        <v>137.88</v>
      </c>
      <c r="AC196" s="15"/>
      <c r="AD196" s="15" t="str">
        <f>"307.03"</f>
        <v>307.03</v>
      </c>
      <c r="AE196" s="15"/>
      <c r="AF196" s="15"/>
      <c r="AG196" s="15"/>
      <c r="AH196" s="15"/>
      <c r="AI196" s="15"/>
    </row>
    <row r="197" spans="1:35">
      <c r="A197" s="14">
        <v>195</v>
      </c>
      <c r="B197" s="14">
        <v>5749</v>
      </c>
      <c r="C197" s="14" t="s">
        <v>305</v>
      </c>
      <c r="D197" s="14" t="s">
        <v>306</v>
      </c>
      <c r="E197" s="15" t="str">
        <f>"117.41"</f>
        <v>117.41</v>
      </c>
      <c r="F197" s="15"/>
      <c r="G197" s="16" t="str">
        <f>"145.41"</f>
        <v>145.41</v>
      </c>
      <c r="H197" s="17">
        <f t="shared" si="3"/>
        <v>137.41</v>
      </c>
      <c r="I197" s="18" t="s">
        <v>40</v>
      </c>
      <c r="J197" s="15">
        <v>1</v>
      </c>
      <c r="K197" s="15">
        <v>2016</v>
      </c>
      <c r="L197" s="15" t="str">
        <f>"117.41"</f>
        <v>117.41</v>
      </c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</row>
    <row r="198" spans="1:35">
      <c r="A198" s="14">
        <v>196</v>
      </c>
      <c r="B198" s="14">
        <v>2769</v>
      </c>
      <c r="C198" s="14" t="s">
        <v>307</v>
      </c>
      <c r="D198" s="14" t="s">
        <v>131</v>
      </c>
      <c r="E198" s="15" t="str">
        <f>"100.66"</f>
        <v>100.66</v>
      </c>
      <c r="F198" s="15"/>
      <c r="G198" s="16" t="str">
        <f>"145.86"</f>
        <v>145.86</v>
      </c>
      <c r="H198" s="17">
        <f t="shared" si="3"/>
        <v>137.86000000000001</v>
      </c>
      <c r="I198" s="18"/>
      <c r="J198" s="15">
        <v>3</v>
      </c>
      <c r="K198" s="15">
        <v>2016</v>
      </c>
      <c r="L198" s="15" t="str">
        <f>"103.51"</f>
        <v>103.51</v>
      </c>
      <c r="M198" s="15"/>
      <c r="N198" s="15"/>
      <c r="O198" s="15"/>
      <c r="P198" s="15"/>
      <c r="Q198" s="15"/>
      <c r="R198" s="15" t="str">
        <f>"97.80"</f>
        <v>97.80</v>
      </c>
      <c r="S198" s="15"/>
      <c r="T198" s="15"/>
      <c r="U198" s="15"/>
      <c r="V198" s="15"/>
      <c r="W198" s="15"/>
      <c r="X198" s="15"/>
      <c r="Y198" s="15"/>
      <c r="Z198" s="15" t="str">
        <f>"193.92"</f>
        <v>193.92</v>
      </c>
      <c r="AA198" s="15"/>
      <c r="AB198" s="15"/>
      <c r="AC198" s="15"/>
      <c r="AD198" s="15"/>
      <c r="AE198" s="15"/>
      <c r="AF198" s="15"/>
      <c r="AG198" s="15"/>
      <c r="AH198" s="15"/>
      <c r="AI198" s="15"/>
    </row>
    <row r="199" spans="1:35">
      <c r="A199" s="14">
        <v>197</v>
      </c>
      <c r="B199" s="14">
        <v>10064</v>
      </c>
      <c r="C199" s="14" t="s">
        <v>308</v>
      </c>
      <c r="D199" s="14" t="s">
        <v>51</v>
      </c>
      <c r="E199" s="15" t="str">
        <f>"146.06"</f>
        <v>146.06</v>
      </c>
      <c r="F199" s="15"/>
      <c r="G199" s="16" t="str">
        <f>"146.06"</f>
        <v>146.06</v>
      </c>
      <c r="H199" s="17">
        <f t="shared" si="3"/>
        <v>138.06</v>
      </c>
      <c r="I199" s="18"/>
      <c r="J199" s="15">
        <v>3</v>
      </c>
      <c r="K199" s="15">
        <v>2016</v>
      </c>
      <c r="L199" s="15" t="str">
        <f>"177.68"</f>
        <v>177.68</v>
      </c>
      <c r="M199" s="15"/>
      <c r="N199" s="15"/>
      <c r="O199" s="15"/>
      <c r="P199" s="15"/>
      <c r="Q199" s="15"/>
      <c r="R199" s="15"/>
      <c r="S199" s="15"/>
      <c r="T199" s="15" t="str">
        <f>"147.51"</f>
        <v>147.51</v>
      </c>
      <c r="U199" s="15"/>
      <c r="V199" s="15"/>
      <c r="W199" s="15"/>
      <c r="X199" s="15"/>
      <c r="Y199" s="15" t="str">
        <f>"144.60"</f>
        <v>144.60</v>
      </c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</row>
    <row r="200" spans="1:35">
      <c r="A200" s="14">
        <v>198</v>
      </c>
      <c r="B200" s="14">
        <v>1937</v>
      </c>
      <c r="C200" s="14" t="s">
        <v>309</v>
      </c>
      <c r="D200" s="14" t="s">
        <v>51</v>
      </c>
      <c r="E200" s="15" t="str">
        <f>"146.40"</f>
        <v>146.40</v>
      </c>
      <c r="F200" s="15"/>
      <c r="G200" s="16" t="str">
        <f>"146.40"</f>
        <v>146.40</v>
      </c>
      <c r="H200" s="17">
        <f t="shared" si="3"/>
        <v>138.4</v>
      </c>
      <c r="I200" s="18"/>
      <c r="J200" s="15">
        <v>3</v>
      </c>
      <c r="K200" s="15">
        <v>2016</v>
      </c>
      <c r="L200" s="15" t="str">
        <f>"169.71"</f>
        <v>169.71</v>
      </c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 t="str">
        <f>"160.31"</f>
        <v>160.31</v>
      </c>
      <c r="Z200" s="15"/>
      <c r="AA200" s="15"/>
      <c r="AB200" s="15"/>
      <c r="AC200" s="15" t="str">
        <f>"132.48"</f>
        <v>132.48</v>
      </c>
      <c r="AD200" s="15"/>
      <c r="AE200" s="15"/>
      <c r="AF200" s="15"/>
      <c r="AG200" s="15"/>
      <c r="AH200" s="15"/>
      <c r="AI200" s="15"/>
    </row>
    <row r="201" spans="1:35">
      <c r="A201" s="14">
        <v>199</v>
      </c>
      <c r="B201" s="14">
        <v>7806</v>
      </c>
      <c r="C201" s="14" t="s">
        <v>310</v>
      </c>
      <c r="D201" s="14" t="s">
        <v>254</v>
      </c>
      <c r="E201" s="15" t="str">
        <f>"118.87"</f>
        <v>118.87</v>
      </c>
      <c r="F201" s="15"/>
      <c r="G201" s="16" t="str">
        <f>"146.87"</f>
        <v>146.87</v>
      </c>
      <c r="H201" s="17">
        <f t="shared" si="3"/>
        <v>138.87</v>
      </c>
      <c r="I201" s="18" t="s">
        <v>40</v>
      </c>
      <c r="J201" s="15">
        <v>1</v>
      </c>
      <c r="K201" s="15">
        <v>2016</v>
      </c>
      <c r="L201" s="15" t="str">
        <f>"118.87"</f>
        <v>118.87</v>
      </c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</row>
    <row r="202" spans="1:35">
      <c r="A202" s="14">
        <v>200</v>
      </c>
      <c r="B202" s="14">
        <v>10273</v>
      </c>
      <c r="C202" s="14" t="s">
        <v>311</v>
      </c>
      <c r="D202" s="14" t="s">
        <v>119</v>
      </c>
      <c r="E202" s="15" t="str">
        <f>"146.97"</f>
        <v>146.97</v>
      </c>
      <c r="F202" s="15"/>
      <c r="G202" s="16" t="str">
        <f>"146.97"</f>
        <v>146.97</v>
      </c>
      <c r="H202" s="17">
        <f t="shared" si="3"/>
        <v>138.97</v>
      </c>
      <c r="I202" s="18"/>
      <c r="J202" s="15">
        <v>3</v>
      </c>
      <c r="K202" s="15">
        <v>2016</v>
      </c>
      <c r="L202" s="15" t="str">
        <f>"295.28"</f>
        <v>295.28</v>
      </c>
      <c r="M202" s="15" t="str">
        <f>"152.09"</f>
        <v>152.09</v>
      </c>
      <c r="N202" s="15"/>
      <c r="O202" s="15" t="str">
        <f>"141.84"</f>
        <v>141.84</v>
      </c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</row>
    <row r="203" spans="1:35">
      <c r="A203" s="14">
        <v>201</v>
      </c>
      <c r="B203" s="14">
        <v>5679</v>
      </c>
      <c r="C203" s="14" t="s">
        <v>312</v>
      </c>
      <c r="D203" s="14" t="s">
        <v>45</v>
      </c>
      <c r="E203" s="15" t="str">
        <f>"134.68"</f>
        <v>134.68</v>
      </c>
      <c r="F203" s="15"/>
      <c r="G203" s="16" t="str">
        <f>"147.74"</f>
        <v>147.74</v>
      </c>
      <c r="H203" s="17">
        <f t="shared" si="3"/>
        <v>139.74</v>
      </c>
      <c r="I203" s="18"/>
      <c r="J203" s="15">
        <v>3</v>
      </c>
      <c r="K203" s="15">
        <v>2016</v>
      </c>
      <c r="L203" s="15" t="str">
        <f>"143.15"</f>
        <v>143.15</v>
      </c>
      <c r="M203" s="15"/>
      <c r="N203" s="15"/>
      <c r="O203" s="15"/>
      <c r="P203" s="15"/>
      <c r="Q203" s="15" t="str">
        <f>"126.21"</f>
        <v>126.21</v>
      </c>
      <c r="R203" s="15"/>
      <c r="S203" s="15"/>
      <c r="T203" s="15"/>
      <c r="U203" s="15"/>
      <c r="V203" s="15" t="str">
        <f>"193.83"</f>
        <v>193.83</v>
      </c>
      <c r="W203" s="15"/>
      <c r="X203" s="15"/>
      <c r="Y203" s="15"/>
      <c r="Z203" s="15" t="str">
        <f>"169.26"</f>
        <v>169.26</v>
      </c>
      <c r="AA203" s="15"/>
      <c r="AB203" s="15"/>
      <c r="AC203" s="15"/>
      <c r="AD203" s="15"/>
      <c r="AE203" s="15" t="str">
        <f>"236.91"</f>
        <v>236.91</v>
      </c>
      <c r="AF203" s="15"/>
      <c r="AG203" s="15"/>
      <c r="AH203" s="15"/>
      <c r="AI203" s="15"/>
    </row>
    <row r="204" spans="1:35">
      <c r="A204" s="14">
        <v>202</v>
      </c>
      <c r="B204" s="14">
        <v>3662</v>
      </c>
      <c r="C204" s="14" t="s">
        <v>313</v>
      </c>
      <c r="D204" s="14" t="s">
        <v>192</v>
      </c>
      <c r="E204" s="15" t="str">
        <f>"148.09"</f>
        <v>148.09</v>
      </c>
      <c r="F204" s="15"/>
      <c r="G204" s="16" t="str">
        <f>"148.09"</f>
        <v>148.09</v>
      </c>
      <c r="H204" s="17">
        <f t="shared" si="3"/>
        <v>140.09</v>
      </c>
      <c r="I204" s="18"/>
      <c r="J204" s="15">
        <v>3</v>
      </c>
      <c r="K204" s="15">
        <v>2016</v>
      </c>
      <c r="L204" s="15" t="str">
        <f>"172.69"</f>
        <v>172.69</v>
      </c>
      <c r="M204" s="15"/>
      <c r="N204" s="15"/>
      <c r="O204" s="15"/>
      <c r="P204" s="15"/>
      <c r="Q204" s="15"/>
      <c r="R204" s="15" t="str">
        <f>"137.65"</f>
        <v>137.65</v>
      </c>
      <c r="S204" s="15"/>
      <c r="T204" s="15"/>
      <c r="U204" s="15"/>
      <c r="V204" s="15"/>
      <c r="W204" s="15"/>
      <c r="X204" s="15"/>
      <c r="Y204" s="15"/>
      <c r="Z204" s="15"/>
      <c r="AA204" s="15"/>
      <c r="AB204" s="15" t="str">
        <f>"158.53"</f>
        <v>158.53</v>
      </c>
      <c r="AC204" s="15"/>
      <c r="AD204" s="15" t="str">
        <f>"183.24"</f>
        <v>183.24</v>
      </c>
      <c r="AE204" s="15"/>
      <c r="AF204" s="15"/>
      <c r="AG204" s="15"/>
      <c r="AH204" s="15"/>
      <c r="AI204" s="15"/>
    </row>
    <row r="205" spans="1:35">
      <c r="A205" s="14">
        <v>203</v>
      </c>
      <c r="B205" s="14">
        <v>8438</v>
      </c>
      <c r="C205" s="14" t="s">
        <v>314</v>
      </c>
      <c r="D205" s="14" t="s">
        <v>168</v>
      </c>
      <c r="E205" s="15" t="str">
        <f>"126.24"</f>
        <v>126.24</v>
      </c>
      <c r="F205" s="15"/>
      <c r="G205" s="16" t="str">
        <f>"148.23"</f>
        <v>148.23</v>
      </c>
      <c r="H205" s="17">
        <f t="shared" si="3"/>
        <v>140.22999999999999</v>
      </c>
      <c r="I205" s="18"/>
      <c r="J205" s="15">
        <v>3</v>
      </c>
      <c r="K205" s="15">
        <v>2016</v>
      </c>
      <c r="L205" s="15" t="str">
        <f>"138.41"</f>
        <v>138.41</v>
      </c>
      <c r="M205" s="15"/>
      <c r="N205" s="15"/>
      <c r="O205" s="15"/>
      <c r="P205" s="15"/>
      <c r="Q205" s="15"/>
      <c r="R205" s="15"/>
      <c r="S205" s="15"/>
      <c r="T205" s="15"/>
      <c r="U205" s="15"/>
      <c r="V205" s="15" t="str">
        <f>"182.40"</f>
        <v>182.40</v>
      </c>
      <c r="W205" s="15"/>
      <c r="X205" s="15"/>
      <c r="Y205" s="15"/>
      <c r="Z205" s="15"/>
      <c r="AA205" s="15"/>
      <c r="AB205" s="15" t="str">
        <f>"114.06"</f>
        <v>114.06</v>
      </c>
      <c r="AC205" s="15"/>
      <c r="AD205" s="15" t="str">
        <f>"295.46"</f>
        <v>295.46</v>
      </c>
      <c r="AE205" s="15"/>
      <c r="AF205" s="15"/>
      <c r="AG205" s="15"/>
      <c r="AH205" s="15"/>
      <c r="AI205" s="15"/>
    </row>
    <row r="206" spans="1:35">
      <c r="A206" s="14">
        <v>204</v>
      </c>
      <c r="B206" s="14">
        <v>1426</v>
      </c>
      <c r="C206" s="14" t="s">
        <v>315</v>
      </c>
      <c r="D206" s="14" t="s">
        <v>316</v>
      </c>
      <c r="E206" s="15" t="str">
        <f>"120.33"</f>
        <v>120.33</v>
      </c>
      <c r="F206" s="15"/>
      <c r="G206" s="16" t="str">
        <f>"148.33"</f>
        <v>148.33</v>
      </c>
      <c r="H206" s="17">
        <f t="shared" si="3"/>
        <v>140.33000000000001</v>
      </c>
      <c r="I206" s="18" t="s">
        <v>40</v>
      </c>
      <c r="J206" s="15">
        <v>1</v>
      </c>
      <c r="K206" s="15">
        <v>2016</v>
      </c>
      <c r="L206" s="15" t="str">
        <f>"120.33"</f>
        <v>120.33</v>
      </c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</row>
    <row r="207" spans="1:35">
      <c r="A207" s="14">
        <v>205</v>
      </c>
      <c r="B207" s="14">
        <v>10690</v>
      </c>
      <c r="C207" s="14" t="s">
        <v>317</v>
      </c>
      <c r="D207" s="14" t="s">
        <v>45</v>
      </c>
      <c r="E207" s="15" t="str">
        <f>"149.06"</f>
        <v>149.06</v>
      </c>
      <c r="F207" s="15"/>
      <c r="G207" s="16" t="str">
        <f>"149.06"</f>
        <v>149.06</v>
      </c>
      <c r="H207" s="17">
        <f t="shared" si="3"/>
        <v>141.06</v>
      </c>
      <c r="I207" s="18"/>
      <c r="J207" s="15">
        <v>3</v>
      </c>
      <c r="K207" s="15">
        <v>2016</v>
      </c>
      <c r="L207" s="15" t="str">
        <f>"352.79"</f>
        <v>352.79</v>
      </c>
      <c r="M207" s="15"/>
      <c r="N207" s="15"/>
      <c r="O207" s="15"/>
      <c r="P207" s="15"/>
      <c r="Q207" s="15"/>
      <c r="R207" s="15"/>
      <c r="S207" s="15"/>
      <c r="T207" s="15"/>
      <c r="U207" s="15"/>
      <c r="V207" s="15" t="str">
        <f>"232.14"</f>
        <v>232.14</v>
      </c>
      <c r="W207" s="15"/>
      <c r="X207" s="15"/>
      <c r="Y207" s="15"/>
      <c r="Z207" s="15" t="str">
        <f>"160.90"</f>
        <v>160.90</v>
      </c>
      <c r="AA207" s="15"/>
      <c r="AB207" s="15"/>
      <c r="AC207" s="15"/>
      <c r="AD207" s="15"/>
      <c r="AE207" s="15" t="str">
        <f>"137.21"</f>
        <v>137.21</v>
      </c>
      <c r="AF207" s="15"/>
      <c r="AG207" s="15"/>
      <c r="AH207" s="15"/>
      <c r="AI207" s="15"/>
    </row>
    <row r="208" spans="1:35">
      <c r="A208" s="14">
        <v>206</v>
      </c>
      <c r="B208" s="14">
        <v>2247</v>
      </c>
      <c r="C208" s="14" t="s">
        <v>318</v>
      </c>
      <c r="D208" s="14" t="s">
        <v>51</v>
      </c>
      <c r="E208" s="15" t="str">
        <f>"149.09"</f>
        <v>149.09</v>
      </c>
      <c r="F208" s="15"/>
      <c r="G208" s="16" t="str">
        <f>"149.09"</f>
        <v>149.09</v>
      </c>
      <c r="H208" s="17">
        <f t="shared" si="3"/>
        <v>141.09</v>
      </c>
      <c r="I208" s="18"/>
      <c r="J208" s="15">
        <v>3</v>
      </c>
      <c r="K208" s="15">
        <v>2016</v>
      </c>
      <c r="L208" s="15" t="str">
        <f>"166.42"</f>
        <v>166.42</v>
      </c>
      <c r="M208" s="15"/>
      <c r="N208" s="15"/>
      <c r="O208" s="15"/>
      <c r="P208" s="15"/>
      <c r="Q208" s="15"/>
      <c r="R208" s="15"/>
      <c r="S208" s="15"/>
      <c r="T208" s="15" t="str">
        <f>"158.42"</f>
        <v>158.42</v>
      </c>
      <c r="U208" s="15"/>
      <c r="V208" s="15"/>
      <c r="W208" s="15"/>
      <c r="X208" s="15"/>
      <c r="Y208" s="15" t="str">
        <f>"145.09"</f>
        <v>145.09</v>
      </c>
      <c r="Z208" s="15"/>
      <c r="AA208" s="15"/>
      <c r="AB208" s="15"/>
      <c r="AC208" s="15"/>
      <c r="AD208" s="15"/>
      <c r="AE208" s="15"/>
      <c r="AF208" s="15"/>
      <c r="AG208" s="15" t="str">
        <f>"153.09"</f>
        <v>153.09</v>
      </c>
      <c r="AH208" s="15"/>
      <c r="AI208" s="15" t="str">
        <f>"154.58"</f>
        <v>154.58</v>
      </c>
    </row>
    <row r="209" spans="1:35">
      <c r="A209" s="14">
        <v>207</v>
      </c>
      <c r="B209" s="14">
        <v>4407</v>
      </c>
      <c r="C209" s="14" t="s">
        <v>319</v>
      </c>
      <c r="D209" s="14" t="s">
        <v>110</v>
      </c>
      <c r="E209" s="15" t="str">
        <f>"57.63"</f>
        <v>57.63</v>
      </c>
      <c r="F209" s="15"/>
      <c r="G209" s="16" t="str">
        <f>"149.38"</f>
        <v>149.38</v>
      </c>
      <c r="H209" s="17">
        <f t="shared" si="3"/>
        <v>141.38</v>
      </c>
      <c r="I209" s="18"/>
      <c r="J209" s="15">
        <v>3</v>
      </c>
      <c r="K209" s="15">
        <v>2016</v>
      </c>
      <c r="L209" s="15" t="str">
        <f>"57.63"</f>
        <v>57.63</v>
      </c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 t="str">
        <f>"121.47"</f>
        <v>121.47</v>
      </c>
      <c r="AA209" s="15"/>
      <c r="AB209" s="15"/>
      <c r="AC209" s="15"/>
      <c r="AD209" s="15"/>
      <c r="AE209" s="15" t="str">
        <f>"177.28"</f>
        <v>177.28</v>
      </c>
      <c r="AF209" s="15"/>
      <c r="AG209" s="15"/>
      <c r="AH209" s="15"/>
      <c r="AI209" s="15"/>
    </row>
    <row r="210" spans="1:35">
      <c r="A210" s="14">
        <v>208</v>
      </c>
      <c r="B210" s="14">
        <v>7834</v>
      </c>
      <c r="C210" s="14" t="s">
        <v>320</v>
      </c>
      <c r="D210" s="14" t="s">
        <v>58</v>
      </c>
      <c r="E210" s="15" t="str">
        <f>"141.92"</f>
        <v>141.92</v>
      </c>
      <c r="F210" s="15"/>
      <c r="G210" s="16" t="str">
        <f>"150.23"</f>
        <v>150.23</v>
      </c>
      <c r="H210" s="17">
        <f t="shared" si="3"/>
        <v>142.22999999999999</v>
      </c>
      <c r="I210" s="18"/>
      <c r="J210" s="15">
        <v>3</v>
      </c>
      <c r="K210" s="15">
        <v>2016</v>
      </c>
      <c r="L210" s="15" t="str">
        <f>"149.02"</f>
        <v>149.02</v>
      </c>
      <c r="M210" s="15"/>
      <c r="N210" s="15" t="str">
        <f>"134.82"</f>
        <v>134.82</v>
      </c>
      <c r="O210" s="15"/>
      <c r="P210" s="15"/>
      <c r="Q210" s="15"/>
      <c r="R210" s="15"/>
      <c r="S210" s="15"/>
      <c r="T210" s="15"/>
      <c r="U210" s="15" t="str">
        <f>"165.64"</f>
        <v>165.64</v>
      </c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</row>
    <row r="211" spans="1:35">
      <c r="A211" s="14">
        <v>209</v>
      </c>
      <c r="B211" s="14">
        <v>4377</v>
      </c>
      <c r="C211" s="14" t="s">
        <v>321</v>
      </c>
      <c r="D211" s="14" t="s">
        <v>162</v>
      </c>
      <c r="E211" s="15" t="str">
        <f>"150.37"</f>
        <v>150.37</v>
      </c>
      <c r="F211" s="15"/>
      <c r="G211" s="16" t="str">
        <f>"150.37"</f>
        <v>150.37</v>
      </c>
      <c r="H211" s="17">
        <f t="shared" si="3"/>
        <v>142.37</v>
      </c>
      <c r="I211" s="18"/>
      <c r="J211" s="15">
        <v>3</v>
      </c>
      <c r="K211" s="15">
        <v>2016</v>
      </c>
      <c r="L211" s="15" t="str">
        <f>"198.55"</f>
        <v>198.55</v>
      </c>
      <c r="M211" s="15"/>
      <c r="N211" s="15"/>
      <c r="O211" s="15"/>
      <c r="P211" s="15"/>
      <c r="Q211" s="15" t="str">
        <f>"165.40"</f>
        <v>165.40</v>
      </c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 t="str">
        <f>"146.75"</f>
        <v>146.75</v>
      </c>
      <c r="AC211" s="15"/>
      <c r="AD211" s="15" t="str">
        <f>"153.98"</f>
        <v>153.98</v>
      </c>
      <c r="AE211" s="15"/>
      <c r="AF211" s="15"/>
      <c r="AG211" s="15"/>
      <c r="AH211" s="15"/>
      <c r="AI211" s="15"/>
    </row>
    <row r="212" spans="1:35">
      <c r="A212" s="14">
        <v>210</v>
      </c>
      <c r="B212" s="14">
        <v>8472</v>
      </c>
      <c r="C212" s="14" t="s">
        <v>322</v>
      </c>
      <c r="D212" s="14" t="s">
        <v>51</v>
      </c>
      <c r="E212" s="15" t="str">
        <f>"128.86"</f>
        <v>128.86</v>
      </c>
      <c r="F212" s="15"/>
      <c r="G212" s="16" t="str">
        <f>"150.63"</f>
        <v>150.63</v>
      </c>
      <c r="H212" s="17">
        <f t="shared" si="3"/>
        <v>142.63</v>
      </c>
      <c r="I212" s="18" t="s">
        <v>43</v>
      </c>
      <c r="J212" s="15">
        <v>2</v>
      </c>
      <c r="K212" s="15">
        <v>2016</v>
      </c>
      <c r="L212" s="15" t="str">
        <f>"135.09"</f>
        <v>135.09</v>
      </c>
      <c r="M212" s="15"/>
      <c r="N212" s="15"/>
      <c r="O212" s="15"/>
      <c r="P212" s="15"/>
      <c r="Q212" s="15"/>
      <c r="R212" s="15"/>
      <c r="S212" s="15"/>
      <c r="T212" s="15" t="str">
        <f>"122.63"</f>
        <v>122.63</v>
      </c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</row>
    <row r="213" spans="1:35">
      <c r="A213" s="14">
        <v>211</v>
      </c>
      <c r="B213" s="14">
        <v>2239</v>
      </c>
      <c r="C213" s="14" t="s">
        <v>323</v>
      </c>
      <c r="D213" s="14" t="s">
        <v>51</v>
      </c>
      <c r="E213" s="15" t="str">
        <f>"150.92"</f>
        <v>150.92</v>
      </c>
      <c r="F213" s="15"/>
      <c r="G213" s="16" t="str">
        <f>"150.92"</f>
        <v>150.92</v>
      </c>
      <c r="H213" s="17">
        <f t="shared" si="3"/>
        <v>142.91999999999999</v>
      </c>
      <c r="I213" s="18"/>
      <c r="J213" s="15">
        <v>3</v>
      </c>
      <c r="K213" s="15">
        <v>2016</v>
      </c>
      <c r="L213" s="15" t="str">
        <f>"245.57"</f>
        <v>245.57</v>
      </c>
      <c r="M213" s="15"/>
      <c r="N213" s="15"/>
      <c r="O213" s="15"/>
      <c r="P213" s="15"/>
      <c r="Q213" s="15"/>
      <c r="R213" s="15"/>
      <c r="S213" s="15" t="str">
        <f>"144.78"</f>
        <v>144.78</v>
      </c>
      <c r="T213" s="15" t="str">
        <f>"170.40"</f>
        <v>170.40</v>
      </c>
      <c r="U213" s="15"/>
      <c r="V213" s="15"/>
      <c r="W213" s="15"/>
      <c r="X213" s="15" t="str">
        <f>"230.12"</f>
        <v>230.12</v>
      </c>
      <c r="Y213" s="15"/>
      <c r="Z213" s="15"/>
      <c r="AA213" s="15"/>
      <c r="AB213" s="15"/>
      <c r="AC213" s="15"/>
      <c r="AD213" s="15"/>
      <c r="AE213" s="15"/>
      <c r="AF213" s="15"/>
      <c r="AG213" s="15" t="str">
        <f>"169.47"</f>
        <v>169.47</v>
      </c>
      <c r="AH213" s="15" t="str">
        <f>"157.05"</f>
        <v>157.05</v>
      </c>
      <c r="AI213" s="15" t="str">
        <f>"174.01"</f>
        <v>174.01</v>
      </c>
    </row>
    <row r="214" spans="1:35">
      <c r="A214" s="14">
        <v>212</v>
      </c>
      <c r="B214" s="14">
        <v>7609</v>
      </c>
      <c r="C214" s="14" t="s">
        <v>324</v>
      </c>
      <c r="D214" s="14" t="s">
        <v>254</v>
      </c>
      <c r="E214" s="15" t="str">
        <f>"125.87"</f>
        <v>125.87</v>
      </c>
      <c r="F214" s="15"/>
      <c r="G214" s="16" t="str">
        <f>"151.86"</f>
        <v>151.86</v>
      </c>
      <c r="H214" s="17">
        <f t="shared" si="3"/>
        <v>143.86000000000001</v>
      </c>
      <c r="I214" s="18"/>
      <c r="J214" s="15">
        <v>3</v>
      </c>
      <c r="K214" s="15">
        <v>2016</v>
      </c>
      <c r="L214" s="15" t="str">
        <f>"129.93"</f>
        <v>129.93</v>
      </c>
      <c r="M214" s="15"/>
      <c r="N214" s="15"/>
      <c r="O214" s="15"/>
      <c r="P214" s="15"/>
      <c r="Q214" s="15" t="str">
        <f>"121.81"</f>
        <v>121.81</v>
      </c>
      <c r="R214" s="15"/>
      <c r="S214" s="15"/>
      <c r="T214" s="15"/>
      <c r="U214" s="15"/>
      <c r="V214" s="15"/>
      <c r="W214" s="15"/>
      <c r="X214" s="15"/>
      <c r="Y214" s="15"/>
      <c r="Z214" s="15" t="str">
        <f>"181.90"</f>
        <v>181.90</v>
      </c>
      <c r="AA214" s="15"/>
      <c r="AB214" s="15"/>
      <c r="AC214" s="15"/>
      <c r="AD214" s="15"/>
      <c r="AE214" s="15"/>
      <c r="AF214" s="15"/>
      <c r="AG214" s="15"/>
      <c r="AH214" s="15"/>
      <c r="AI214" s="15"/>
    </row>
    <row r="215" spans="1:35">
      <c r="A215" s="14">
        <v>213</v>
      </c>
      <c r="B215" s="14">
        <v>6324</v>
      </c>
      <c r="C215" s="14" t="s">
        <v>325</v>
      </c>
      <c r="D215" s="14" t="s">
        <v>112</v>
      </c>
      <c r="E215" s="15" t="str">
        <f>"123.88"</f>
        <v>123.88</v>
      </c>
      <c r="F215" s="15"/>
      <c r="G215" s="16" t="str">
        <f>"151.88"</f>
        <v>151.88</v>
      </c>
      <c r="H215" s="17">
        <f t="shared" si="3"/>
        <v>143.88</v>
      </c>
      <c r="I215" s="18" t="s">
        <v>40</v>
      </c>
      <c r="J215" s="15">
        <v>1</v>
      </c>
      <c r="K215" s="15">
        <v>2016</v>
      </c>
      <c r="L215" s="15" t="str">
        <f>"123.88"</f>
        <v>123.88</v>
      </c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</row>
    <row r="216" spans="1:35">
      <c r="A216" s="14">
        <v>214</v>
      </c>
      <c r="B216" s="14">
        <v>9209</v>
      </c>
      <c r="C216" s="14" t="s">
        <v>326</v>
      </c>
      <c r="D216" s="14" t="s">
        <v>291</v>
      </c>
      <c r="E216" s="15" t="str">
        <f>"122.23"</f>
        <v>122.23</v>
      </c>
      <c r="F216" s="15"/>
      <c r="G216" s="16" t="str">
        <f>"152.37"</f>
        <v>152.37</v>
      </c>
      <c r="H216" s="17">
        <f t="shared" si="3"/>
        <v>144.37</v>
      </c>
      <c r="I216" s="18" t="s">
        <v>43</v>
      </c>
      <c r="J216" s="15">
        <v>2</v>
      </c>
      <c r="K216" s="15">
        <v>2016</v>
      </c>
      <c r="L216" s="15" t="str">
        <f>"122.23"</f>
        <v>122.23</v>
      </c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 t="str">
        <f>"124.37"</f>
        <v>124.37</v>
      </c>
      <c r="AA216" s="15"/>
      <c r="AB216" s="15"/>
      <c r="AC216" s="15"/>
      <c r="AD216" s="15"/>
      <c r="AE216" s="15"/>
      <c r="AF216" s="15"/>
      <c r="AG216" s="15"/>
      <c r="AH216" s="15"/>
      <c r="AI216" s="15"/>
    </row>
    <row r="217" spans="1:35">
      <c r="A217" s="14">
        <v>215</v>
      </c>
      <c r="B217" s="14">
        <v>5238</v>
      </c>
      <c r="C217" s="14" t="s">
        <v>327</v>
      </c>
      <c r="D217" s="14" t="s">
        <v>58</v>
      </c>
      <c r="E217" s="15" t="str">
        <f>"130.35"</f>
        <v>130.35</v>
      </c>
      <c r="F217" s="15"/>
      <c r="G217" s="16" t="str">
        <f>"152.88"</f>
        <v>152.88</v>
      </c>
      <c r="H217" s="17">
        <f t="shared" si="3"/>
        <v>144.88</v>
      </c>
      <c r="I217" s="18"/>
      <c r="J217" s="15">
        <v>3</v>
      </c>
      <c r="K217" s="15">
        <v>2016</v>
      </c>
      <c r="L217" s="15" t="str">
        <f>"139.29"</f>
        <v>139.29</v>
      </c>
      <c r="M217" s="15"/>
      <c r="N217" s="15"/>
      <c r="O217" s="15"/>
      <c r="P217" s="15" t="str">
        <f>"184.35"</f>
        <v>184.35</v>
      </c>
      <c r="Q217" s="15"/>
      <c r="R217" s="15"/>
      <c r="S217" s="15"/>
      <c r="T217" s="15"/>
      <c r="U217" s="15" t="str">
        <f>"290.64"</f>
        <v>290.64</v>
      </c>
      <c r="V217" s="15"/>
      <c r="W217" s="15"/>
      <c r="X217" s="15"/>
      <c r="Y217" s="15"/>
      <c r="Z217" s="15" t="str">
        <f>"121.40"</f>
        <v>121.40</v>
      </c>
      <c r="AA217" s="15"/>
      <c r="AB217" s="15"/>
      <c r="AC217" s="15"/>
      <c r="AD217" s="15"/>
      <c r="AE217" s="15"/>
      <c r="AF217" s="15"/>
      <c r="AG217" s="15"/>
      <c r="AH217" s="15"/>
      <c r="AI217" s="15"/>
    </row>
    <row r="218" spans="1:35">
      <c r="A218" s="14">
        <v>216</v>
      </c>
      <c r="B218" s="14">
        <v>4005</v>
      </c>
      <c r="C218" s="14" t="s">
        <v>328</v>
      </c>
      <c r="D218" s="14" t="s">
        <v>79</v>
      </c>
      <c r="E218" s="15" t="str">
        <f>"140.11"</f>
        <v>140.11</v>
      </c>
      <c r="F218" s="15"/>
      <c r="G218" s="16" t="str">
        <f>"153.39"</f>
        <v>153.39</v>
      </c>
      <c r="H218" s="17">
        <f t="shared" si="3"/>
        <v>145.38999999999999</v>
      </c>
      <c r="I218" s="18"/>
      <c r="J218" s="15">
        <v>3</v>
      </c>
      <c r="K218" s="15">
        <v>2016</v>
      </c>
      <c r="L218" s="15" t="str">
        <f>"149.16"</f>
        <v>149.16</v>
      </c>
      <c r="M218" s="15"/>
      <c r="N218" s="15"/>
      <c r="O218" s="15"/>
      <c r="P218" s="15"/>
      <c r="Q218" s="15" t="str">
        <f>"131.06"</f>
        <v>131.06</v>
      </c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 t="str">
        <f>"175.71"</f>
        <v>175.71</v>
      </c>
      <c r="AF218" s="15"/>
      <c r="AG218" s="15"/>
      <c r="AH218" s="15"/>
      <c r="AI218" s="15"/>
    </row>
    <row r="219" spans="1:35">
      <c r="A219" s="14">
        <v>217</v>
      </c>
      <c r="B219" s="14">
        <v>4366</v>
      </c>
      <c r="C219" s="14" t="s">
        <v>329</v>
      </c>
      <c r="D219" s="14" t="s">
        <v>100</v>
      </c>
      <c r="E219" s="15" t="str">
        <f>"128.71"</f>
        <v>128.71</v>
      </c>
      <c r="F219" s="15"/>
      <c r="G219" s="16" t="str">
        <f>"153.91"</f>
        <v>153.91</v>
      </c>
      <c r="H219" s="17">
        <f t="shared" si="3"/>
        <v>145.91</v>
      </c>
      <c r="I219" s="18"/>
      <c r="J219" s="15">
        <v>3</v>
      </c>
      <c r="K219" s="15">
        <v>2016</v>
      </c>
      <c r="L219" s="15" t="str">
        <f>"128.71"</f>
        <v>128.71</v>
      </c>
      <c r="M219" s="15"/>
      <c r="N219" s="15"/>
      <c r="O219" s="15"/>
      <c r="P219" s="15"/>
      <c r="Q219" s="15" t="str">
        <f>"145.66"</f>
        <v>145.66</v>
      </c>
      <c r="R219" s="15"/>
      <c r="S219" s="15"/>
      <c r="T219" s="15"/>
      <c r="U219" s="15"/>
      <c r="V219" s="15"/>
      <c r="W219" s="15"/>
      <c r="X219" s="15"/>
      <c r="Y219" s="15"/>
      <c r="Z219" s="15" t="str">
        <f>"162.15"</f>
        <v>162.15</v>
      </c>
      <c r="AA219" s="15" t="str">
        <f>"189.65"</f>
        <v>189.65</v>
      </c>
      <c r="AB219" s="15"/>
      <c r="AC219" s="15" t="str">
        <f>"184.48"</f>
        <v>184.48</v>
      </c>
      <c r="AD219" s="15"/>
      <c r="AE219" s="15" t="str">
        <f>"177.28"</f>
        <v>177.28</v>
      </c>
      <c r="AF219" s="15"/>
      <c r="AG219" s="15"/>
      <c r="AH219" s="15"/>
      <c r="AI219" s="15"/>
    </row>
    <row r="220" spans="1:35">
      <c r="A220" s="14">
        <v>218</v>
      </c>
      <c r="B220" s="14">
        <v>3630</v>
      </c>
      <c r="C220" s="14" t="s">
        <v>330</v>
      </c>
      <c r="D220" s="14" t="s">
        <v>45</v>
      </c>
      <c r="E220" s="15" t="str">
        <f>"154.21"</f>
        <v>154.21</v>
      </c>
      <c r="F220" s="15"/>
      <c r="G220" s="16" t="str">
        <f>"154.21"</f>
        <v>154.21</v>
      </c>
      <c r="H220" s="17">
        <f t="shared" si="3"/>
        <v>146.21</v>
      </c>
      <c r="I220" s="18" t="s">
        <v>43</v>
      </c>
      <c r="J220" s="15">
        <v>4</v>
      </c>
      <c r="K220" s="15">
        <v>2016</v>
      </c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 t="str">
        <f>"126.21"</f>
        <v>126.21</v>
      </c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</row>
    <row r="221" spans="1:35">
      <c r="A221" s="14">
        <v>219</v>
      </c>
      <c r="B221" s="14">
        <v>4365</v>
      </c>
      <c r="C221" s="14" t="s">
        <v>331</v>
      </c>
      <c r="D221" s="14" t="s">
        <v>332</v>
      </c>
      <c r="E221" s="15" t="str">
        <f>"127.51"</f>
        <v>127.51</v>
      </c>
      <c r="F221" s="15"/>
      <c r="G221" s="16" t="str">
        <f>"155.51"</f>
        <v>155.51</v>
      </c>
      <c r="H221" s="17">
        <f t="shared" si="3"/>
        <v>147.51</v>
      </c>
      <c r="I221" s="18" t="s">
        <v>40</v>
      </c>
      <c r="J221" s="15">
        <v>1</v>
      </c>
      <c r="K221" s="15">
        <v>2016</v>
      </c>
      <c r="L221" s="15" t="str">
        <f>"127.51"</f>
        <v>127.51</v>
      </c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</row>
    <row r="222" spans="1:35">
      <c r="A222" s="14">
        <v>220</v>
      </c>
      <c r="B222" s="14">
        <v>2317</v>
      </c>
      <c r="C222" s="14" t="s">
        <v>333</v>
      </c>
      <c r="D222" s="14" t="s">
        <v>51</v>
      </c>
      <c r="E222" s="15" t="str">
        <f>"155.68"</f>
        <v>155.68</v>
      </c>
      <c r="F222" s="15"/>
      <c r="G222" s="16" t="str">
        <f>"155.68"</f>
        <v>155.68</v>
      </c>
      <c r="H222" s="17">
        <f t="shared" si="3"/>
        <v>147.68</v>
      </c>
      <c r="I222" s="18"/>
      <c r="J222" s="15">
        <v>3</v>
      </c>
      <c r="K222" s="15">
        <v>2016</v>
      </c>
      <c r="L222" s="15" t="str">
        <f>"212.26"</f>
        <v>212.26</v>
      </c>
      <c r="M222" s="15"/>
      <c r="N222" s="15"/>
      <c r="O222" s="15"/>
      <c r="P222" s="15"/>
      <c r="Q222" s="15"/>
      <c r="R222" s="15"/>
      <c r="S222" s="15" t="str">
        <f>"326.21"</f>
        <v>326.21</v>
      </c>
      <c r="T222" s="15" t="str">
        <f>"197.61"</f>
        <v>197.61</v>
      </c>
      <c r="U222" s="15"/>
      <c r="V222" s="15"/>
      <c r="W222" s="15"/>
      <c r="X222" s="15" t="str">
        <f>"164.87"</f>
        <v>164.87</v>
      </c>
      <c r="Y222" s="15" t="str">
        <f>"174.06"</f>
        <v>174.06</v>
      </c>
      <c r="Z222" s="15"/>
      <c r="AA222" s="15"/>
      <c r="AB222" s="15"/>
      <c r="AC222" s="15"/>
      <c r="AD222" s="15"/>
      <c r="AE222" s="15"/>
      <c r="AF222" s="15"/>
      <c r="AG222" s="15" t="str">
        <f>"181.40"</f>
        <v>181.40</v>
      </c>
      <c r="AH222" s="15" t="str">
        <f>"146.49"</f>
        <v>146.49</v>
      </c>
      <c r="AI222" s="15" t="str">
        <f>"173.55"</f>
        <v>173.55</v>
      </c>
    </row>
    <row r="223" spans="1:35">
      <c r="A223" s="14">
        <v>221</v>
      </c>
      <c r="B223" s="14">
        <v>10342</v>
      </c>
      <c r="C223" s="14" t="s">
        <v>334</v>
      </c>
      <c r="D223" s="14" t="s">
        <v>51</v>
      </c>
      <c r="E223" s="15" t="str">
        <f>"141.95"</f>
        <v>141.95</v>
      </c>
      <c r="F223" s="15"/>
      <c r="G223" s="16" t="str">
        <f>"155.79"</f>
        <v>155.79</v>
      </c>
      <c r="H223" s="17">
        <f t="shared" si="3"/>
        <v>147.79</v>
      </c>
      <c r="I223" s="18"/>
      <c r="J223" s="15">
        <v>3</v>
      </c>
      <c r="K223" s="15">
        <v>2016</v>
      </c>
      <c r="L223" s="15" t="str">
        <f>"141.95"</f>
        <v>141.95</v>
      </c>
      <c r="M223" s="15"/>
      <c r="N223" s="15"/>
      <c r="O223" s="15"/>
      <c r="P223" s="15"/>
      <c r="Q223" s="15"/>
      <c r="R223" s="15"/>
      <c r="S223" s="15"/>
      <c r="T223" s="15" t="str">
        <f>"230.14"</f>
        <v>230.14</v>
      </c>
      <c r="U223" s="15"/>
      <c r="V223" s="15"/>
      <c r="W223" s="15"/>
      <c r="X223" s="15"/>
      <c r="Y223" s="15"/>
      <c r="Z223" s="15"/>
      <c r="AA223" s="15"/>
      <c r="AB223" s="15"/>
      <c r="AC223" s="15" t="str">
        <f>"176.67"</f>
        <v>176.67</v>
      </c>
      <c r="AD223" s="15"/>
      <c r="AE223" s="15" t="str">
        <f>"147.90"</f>
        <v>147.90</v>
      </c>
      <c r="AF223" s="15"/>
      <c r="AG223" s="15"/>
      <c r="AH223" s="15"/>
      <c r="AI223" s="15" t="str">
        <f>"163.68"</f>
        <v>163.68</v>
      </c>
    </row>
    <row r="224" spans="1:35">
      <c r="A224" s="14">
        <v>222</v>
      </c>
      <c r="B224" s="14">
        <v>7866</v>
      </c>
      <c r="C224" s="14" t="s">
        <v>335</v>
      </c>
      <c r="D224" s="14" t="s">
        <v>58</v>
      </c>
      <c r="E224" s="15" t="str">
        <f>"127.86"</f>
        <v>127.86</v>
      </c>
      <c r="F224" s="15"/>
      <c r="G224" s="16" t="str">
        <f>"155.86"</f>
        <v>155.86</v>
      </c>
      <c r="H224" s="17">
        <f t="shared" si="3"/>
        <v>147.86000000000001</v>
      </c>
      <c r="I224" s="18" t="s">
        <v>40</v>
      </c>
      <c r="J224" s="15">
        <v>1</v>
      </c>
      <c r="K224" s="15">
        <v>2016</v>
      </c>
      <c r="L224" s="15" t="str">
        <f>"127.86"</f>
        <v>127.86</v>
      </c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</row>
    <row r="225" spans="1:35">
      <c r="A225" s="14">
        <v>223</v>
      </c>
      <c r="B225" s="14">
        <v>2243</v>
      </c>
      <c r="C225" s="14" t="s">
        <v>336</v>
      </c>
      <c r="D225" s="14" t="s">
        <v>51</v>
      </c>
      <c r="E225" s="15" t="str">
        <f>"151.21"</f>
        <v>151.21</v>
      </c>
      <c r="F225" s="15"/>
      <c r="G225" s="16" t="str">
        <f>"156.48"</f>
        <v>156.48</v>
      </c>
      <c r="H225" s="17">
        <f t="shared" si="3"/>
        <v>148.47999999999999</v>
      </c>
      <c r="I225" s="18"/>
      <c r="J225" s="15">
        <v>3</v>
      </c>
      <c r="K225" s="15">
        <v>2016</v>
      </c>
      <c r="L225" s="15" t="str">
        <f>"159.51"</f>
        <v>159.51</v>
      </c>
      <c r="M225" s="15"/>
      <c r="N225" s="15"/>
      <c r="O225" s="15"/>
      <c r="P225" s="15"/>
      <c r="Q225" s="15"/>
      <c r="R225" s="15"/>
      <c r="S225" s="15"/>
      <c r="T225" s="15" t="str">
        <f>"170.04"</f>
        <v>170.04</v>
      </c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 t="str">
        <f>"142.91"</f>
        <v>142.91</v>
      </c>
      <c r="AH225" s="15"/>
      <c r="AI225" s="15" t="str">
        <f>"209.01"</f>
        <v>209.01</v>
      </c>
    </row>
    <row r="226" spans="1:35">
      <c r="A226" s="14">
        <v>224</v>
      </c>
      <c r="B226" s="14">
        <v>7891</v>
      </c>
      <c r="C226" s="14" t="s">
        <v>337</v>
      </c>
      <c r="D226" s="14" t="s">
        <v>74</v>
      </c>
      <c r="E226" s="15" t="str">
        <f>"121.11"</f>
        <v>121.11</v>
      </c>
      <c r="F226" s="15"/>
      <c r="G226" s="16" t="str">
        <f>"156.74"</f>
        <v>156.74</v>
      </c>
      <c r="H226" s="17">
        <f t="shared" si="3"/>
        <v>148.74</v>
      </c>
      <c r="I226" s="18"/>
      <c r="J226" s="15">
        <v>3</v>
      </c>
      <c r="K226" s="15">
        <v>2016</v>
      </c>
      <c r="L226" s="15" t="str">
        <f>"121.11"</f>
        <v>121.11</v>
      </c>
      <c r="M226" s="15"/>
      <c r="N226" s="15"/>
      <c r="O226" s="15"/>
      <c r="P226" s="15"/>
      <c r="Q226" s="15"/>
      <c r="R226" s="15"/>
      <c r="S226" s="15"/>
      <c r="T226" s="15"/>
      <c r="U226" s="15"/>
      <c r="V226" s="15" t="str">
        <f>"157.27"</f>
        <v>157.27</v>
      </c>
      <c r="W226" s="15"/>
      <c r="X226" s="15"/>
      <c r="Y226" s="15"/>
      <c r="Z226" s="15"/>
      <c r="AA226" s="15"/>
      <c r="AB226" s="15"/>
      <c r="AC226" s="15" t="str">
        <f>"156.20"</f>
        <v>156.20</v>
      </c>
      <c r="AD226" s="15"/>
      <c r="AE226" s="15"/>
      <c r="AF226" s="15"/>
      <c r="AG226" s="15"/>
      <c r="AH226" s="15"/>
      <c r="AI226" s="15"/>
    </row>
    <row r="227" spans="1:35">
      <c r="A227" s="14">
        <v>225</v>
      </c>
      <c r="B227" s="14">
        <v>467</v>
      </c>
      <c r="C227" s="14" t="s">
        <v>338</v>
      </c>
      <c r="D227" s="14" t="s">
        <v>168</v>
      </c>
      <c r="E227" s="15" t="str">
        <f>"112.59"</f>
        <v>112.59</v>
      </c>
      <c r="F227" s="15"/>
      <c r="G227" s="16" t="str">
        <f>"157.02"</f>
        <v>157.02</v>
      </c>
      <c r="H227" s="17">
        <f t="shared" si="3"/>
        <v>149.02000000000001</v>
      </c>
      <c r="I227" s="18"/>
      <c r="J227" s="15">
        <v>3</v>
      </c>
      <c r="K227" s="15">
        <v>2016</v>
      </c>
      <c r="L227" s="15" t="str">
        <f>"112.59"</f>
        <v>112.59</v>
      </c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 t="str">
        <f>"160.04"</f>
        <v>160.04</v>
      </c>
      <c r="AB227" s="15"/>
      <c r="AC227" s="15" t="str">
        <f>"153.99"</f>
        <v>153.99</v>
      </c>
      <c r="AD227" s="15"/>
      <c r="AE227" s="15"/>
      <c r="AF227" s="15"/>
      <c r="AG227" s="15"/>
      <c r="AH227" s="15"/>
      <c r="AI227" s="15"/>
    </row>
    <row r="228" spans="1:35">
      <c r="A228" s="14">
        <v>226</v>
      </c>
      <c r="B228" s="14">
        <v>4253</v>
      </c>
      <c r="C228" s="14" t="s">
        <v>339</v>
      </c>
      <c r="D228" s="14" t="s">
        <v>131</v>
      </c>
      <c r="E228" s="15" t="str">
        <f>"162.53"</f>
        <v>162.53</v>
      </c>
      <c r="F228" s="15"/>
      <c r="G228" s="16" t="str">
        <f>"158.03"</f>
        <v>158.03</v>
      </c>
      <c r="H228" s="17">
        <f t="shared" si="3"/>
        <v>150.03</v>
      </c>
      <c r="I228" s="18" t="s">
        <v>43</v>
      </c>
      <c r="J228" s="15">
        <v>2</v>
      </c>
      <c r="K228" s="15">
        <v>2016</v>
      </c>
      <c r="L228" s="15" t="str">
        <f>"195.02"</f>
        <v>195.02</v>
      </c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 t="str">
        <f>"130.03"</f>
        <v>130.03</v>
      </c>
      <c r="AA228" s="15"/>
      <c r="AB228" s="15"/>
      <c r="AC228" s="15"/>
      <c r="AD228" s="15"/>
      <c r="AE228" s="15"/>
      <c r="AF228" s="15"/>
      <c r="AG228" s="15"/>
      <c r="AH228" s="15"/>
      <c r="AI228" s="15"/>
    </row>
    <row r="229" spans="1:35">
      <c r="A229" s="14">
        <v>227</v>
      </c>
      <c r="B229" s="14">
        <v>1844</v>
      </c>
      <c r="C229" s="14" t="s">
        <v>340</v>
      </c>
      <c r="D229" s="14" t="s">
        <v>245</v>
      </c>
      <c r="E229" s="15" t="str">
        <f>"130.25"</f>
        <v>130.25</v>
      </c>
      <c r="F229" s="15"/>
      <c r="G229" s="16" t="str">
        <f>"158.25"</f>
        <v>158.25</v>
      </c>
      <c r="H229" s="17">
        <f t="shared" si="3"/>
        <v>150.25</v>
      </c>
      <c r="I229" s="18" t="s">
        <v>40</v>
      </c>
      <c r="J229" s="15">
        <v>1</v>
      </c>
      <c r="K229" s="15">
        <v>2016</v>
      </c>
      <c r="L229" s="15" t="str">
        <f>"130.25"</f>
        <v>130.25</v>
      </c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</row>
    <row r="230" spans="1:35">
      <c r="A230" s="14">
        <v>228</v>
      </c>
      <c r="B230" s="14">
        <v>10686</v>
      </c>
      <c r="C230" s="14" t="s">
        <v>341</v>
      </c>
      <c r="D230" s="14" t="s">
        <v>265</v>
      </c>
      <c r="E230" s="15" t="str">
        <f>"158.46"</f>
        <v>158.46</v>
      </c>
      <c r="F230" s="15"/>
      <c r="G230" s="16" t="str">
        <f>"158.46"</f>
        <v>158.46</v>
      </c>
      <c r="H230" s="17">
        <f t="shared" si="3"/>
        <v>150.46</v>
      </c>
      <c r="I230" s="18"/>
      <c r="J230" s="15">
        <v>3</v>
      </c>
      <c r="K230" s="15">
        <v>2016</v>
      </c>
      <c r="L230" s="15" t="str">
        <f>"316.12"</f>
        <v>316.12</v>
      </c>
      <c r="M230" s="15" t="str">
        <f>"189.89"</f>
        <v>189.89</v>
      </c>
      <c r="N230" s="15"/>
      <c r="O230" s="15" t="str">
        <f>"127.02"</f>
        <v>127.02</v>
      </c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</row>
    <row r="231" spans="1:35">
      <c r="A231" s="14">
        <v>229</v>
      </c>
      <c r="B231" s="14">
        <v>2017</v>
      </c>
      <c r="C231" s="14" t="s">
        <v>342</v>
      </c>
      <c r="D231" s="14" t="s">
        <v>343</v>
      </c>
      <c r="E231" s="15" t="str">
        <f>"110.75"</f>
        <v>110.75</v>
      </c>
      <c r="F231" s="15"/>
      <c r="G231" s="16" t="str">
        <f>"158.84"</f>
        <v>158.84</v>
      </c>
      <c r="H231" s="17">
        <f t="shared" si="3"/>
        <v>150.84</v>
      </c>
      <c r="I231" s="18"/>
      <c r="J231" s="15">
        <v>3</v>
      </c>
      <c r="K231" s="15">
        <v>2016</v>
      </c>
      <c r="L231" s="15" t="str">
        <f>"110.75"</f>
        <v>110.75</v>
      </c>
      <c r="M231" s="15"/>
      <c r="N231" s="15"/>
      <c r="O231" s="15"/>
      <c r="P231" s="15"/>
      <c r="Q231" s="15"/>
      <c r="R231" s="15"/>
      <c r="S231" s="15"/>
      <c r="T231" s="15"/>
      <c r="U231" s="15"/>
      <c r="V231" s="15" t="str">
        <f>"161.67"</f>
        <v>161.67</v>
      </c>
      <c r="W231" s="15"/>
      <c r="X231" s="15"/>
      <c r="Y231" s="15"/>
      <c r="Z231" s="15"/>
      <c r="AA231" s="15"/>
      <c r="AB231" s="15" t="str">
        <f>"156.00"</f>
        <v>156.00</v>
      </c>
      <c r="AC231" s="15"/>
      <c r="AD231" s="15"/>
      <c r="AE231" s="15"/>
      <c r="AF231" s="15"/>
      <c r="AG231" s="15"/>
      <c r="AH231" s="15"/>
      <c r="AI231" s="15"/>
    </row>
    <row r="232" spans="1:35">
      <c r="A232" s="14">
        <v>230</v>
      </c>
      <c r="B232" s="14">
        <v>10278</v>
      </c>
      <c r="C232" s="14" t="s">
        <v>344</v>
      </c>
      <c r="D232" s="14" t="s">
        <v>119</v>
      </c>
      <c r="E232" s="15" t="str">
        <f>"320.64"</f>
        <v>320.64</v>
      </c>
      <c r="F232" s="15"/>
      <c r="G232" s="16" t="str">
        <f>"159.64"</f>
        <v>159.64</v>
      </c>
      <c r="H232" s="17">
        <f t="shared" si="3"/>
        <v>151.63999999999999</v>
      </c>
      <c r="I232" s="18" t="s">
        <v>43</v>
      </c>
      <c r="J232" s="15">
        <v>2</v>
      </c>
      <c r="K232" s="15">
        <v>2016</v>
      </c>
      <c r="L232" s="15" t="str">
        <f>"509.63"</f>
        <v>509.63</v>
      </c>
      <c r="M232" s="15"/>
      <c r="N232" s="15"/>
      <c r="O232" s="15"/>
      <c r="P232" s="15"/>
      <c r="Q232" s="15" t="str">
        <f>"131.64"</f>
        <v>131.64</v>
      </c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</row>
    <row r="233" spans="1:35">
      <c r="A233" s="14">
        <v>231</v>
      </c>
      <c r="B233" s="14">
        <v>8486</v>
      </c>
      <c r="C233" s="14" t="s">
        <v>345</v>
      </c>
      <c r="D233" s="14" t="s">
        <v>51</v>
      </c>
      <c r="E233" s="15" t="str">
        <f>"159.66"</f>
        <v>159.66</v>
      </c>
      <c r="F233" s="15"/>
      <c r="G233" s="16" t="str">
        <f>"159.66"</f>
        <v>159.66</v>
      </c>
      <c r="H233" s="17">
        <f t="shared" si="3"/>
        <v>151.66</v>
      </c>
      <c r="I233" s="18"/>
      <c r="J233" s="15">
        <v>3</v>
      </c>
      <c r="K233" s="15">
        <v>2016</v>
      </c>
      <c r="L233" s="15" t="str">
        <f>"243.86"</f>
        <v>243.86</v>
      </c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 t="str">
        <f>"245.16"</f>
        <v>245.16</v>
      </c>
      <c r="Y233" s="15"/>
      <c r="Z233" s="15"/>
      <c r="AA233" s="15"/>
      <c r="AB233" s="15"/>
      <c r="AC233" s="15"/>
      <c r="AD233" s="15"/>
      <c r="AE233" s="15" t="str">
        <f>"197.71"</f>
        <v>197.71</v>
      </c>
      <c r="AF233" s="15"/>
      <c r="AG233" s="15" t="str">
        <f>"155.79"</f>
        <v>155.79</v>
      </c>
      <c r="AH233" s="15" t="str">
        <f>"163.52"</f>
        <v>163.52</v>
      </c>
      <c r="AI233" s="15"/>
    </row>
    <row r="234" spans="1:35">
      <c r="A234" s="14">
        <v>232</v>
      </c>
      <c r="B234" s="14">
        <v>10107</v>
      </c>
      <c r="C234" s="14" t="s">
        <v>346</v>
      </c>
      <c r="D234" s="14" t="s">
        <v>51</v>
      </c>
      <c r="E234" s="15" t="str">
        <f>"132.12"</f>
        <v>132.12</v>
      </c>
      <c r="F234" s="15"/>
      <c r="G234" s="16" t="str">
        <f>"160.12"</f>
        <v>160.12</v>
      </c>
      <c r="H234" s="17">
        <f t="shared" si="3"/>
        <v>152.12</v>
      </c>
      <c r="I234" s="18" t="s">
        <v>40</v>
      </c>
      <c r="J234" s="15">
        <v>1</v>
      </c>
      <c r="K234" s="15">
        <v>2016</v>
      </c>
      <c r="L234" s="15" t="str">
        <f>"132.12"</f>
        <v>132.12</v>
      </c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</row>
    <row r="235" spans="1:35">
      <c r="A235" s="14">
        <v>233</v>
      </c>
      <c r="B235" s="14">
        <v>3996</v>
      </c>
      <c r="C235" s="14" t="s">
        <v>347</v>
      </c>
      <c r="D235" s="14" t="s">
        <v>245</v>
      </c>
      <c r="E235" s="15" t="str">
        <f>"160.16"</f>
        <v>160.16</v>
      </c>
      <c r="F235" s="15"/>
      <c r="G235" s="16" t="str">
        <f>"160.16"</f>
        <v>160.16</v>
      </c>
      <c r="H235" s="17">
        <f t="shared" si="3"/>
        <v>152.16</v>
      </c>
      <c r="I235" s="18" t="s">
        <v>43</v>
      </c>
      <c r="J235" s="15">
        <v>4</v>
      </c>
      <c r="K235" s="15">
        <v>2016</v>
      </c>
      <c r="L235" s="15"/>
      <c r="M235" s="15"/>
      <c r="N235" s="15"/>
      <c r="O235" s="15"/>
      <c r="P235" s="15"/>
      <c r="Q235" s="15" t="str">
        <f>"132.16"</f>
        <v>132.16</v>
      </c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</row>
    <row r="236" spans="1:35">
      <c r="A236" s="14">
        <v>234</v>
      </c>
      <c r="B236" s="14">
        <v>3623</v>
      </c>
      <c r="C236" s="14" t="s">
        <v>348</v>
      </c>
      <c r="D236" s="14" t="s">
        <v>70</v>
      </c>
      <c r="E236" s="15" t="str">
        <f>"132.30"</f>
        <v>132.30</v>
      </c>
      <c r="F236" s="15"/>
      <c r="G236" s="16" t="str">
        <f>"160.30"</f>
        <v>160.30</v>
      </c>
      <c r="H236" s="17">
        <f t="shared" si="3"/>
        <v>152.30000000000001</v>
      </c>
      <c r="I236" s="18" t="s">
        <v>40</v>
      </c>
      <c r="J236" s="15">
        <v>1</v>
      </c>
      <c r="K236" s="15">
        <v>2016</v>
      </c>
      <c r="L236" s="15" t="str">
        <f>"132.30"</f>
        <v>132.30</v>
      </c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</row>
    <row r="237" spans="1:35">
      <c r="A237" s="14">
        <v>235</v>
      </c>
      <c r="B237" s="14">
        <v>7594</v>
      </c>
      <c r="C237" s="14" t="s">
        <v>349</v>
      </c>
      <c r="D237" s="14" t="s">
        <v>88</v>
      </c>
      <c r="E237" s="15" t="str">
        <f>"151.78"</f>
        <v>151.78</v>
      </c>
      <c r="F237" s="15"/>
      <c r="G237" s="16" t="str">
        <f>"161.58"</f>
        <v>161.58</v>
      </c>
      <c r="H237" s="17">
        <f t="shared" si="3"/>
        <v>153.58000000000001</v>
      </c>
      <c r="I237" s="18" t="s">
        <v>43</v>
      </c>
      <c r="J237" s="15">
        <v>2</v>
      </c>
      <c r="K237" s="15">
        <v>2016</v>
      </c>
      <c r="L237" s="15" t="str">
        <f>"169.97"</f>
        <v>169.97</v>
      </c>
      <c r="M237" s="15"/>
      <c r="N237" s="15"/>
      <c r="O237" s="15"/>
      <c r="P237" s="15"/>
      <c r="Q237" s="15"/>
      <c r="R237" s="15" t="str">
        <f>"133.58"</f>
        <v>133.58</v>
      </c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</row>
    <row r="238" spans="1:35">
      <c r="A238" s="14">
        <v>236</v>
      </c>
      <c r="B238" s="14">
        <v>8468</v>
      </c>
      <c r="C238" s="14" t="s">
        <v>350</v>
      </c>
      <c r="D238" s="14" t="s">
        <v>51</v>
      </c>
      <c r="E238" s="15" t="str">
        <f>"134.05"</f>
        <v>134.05</v>
      </c>
      <c r="F238" s="15"/>
      <c r="G238" s="16" t="str">
        <f>"162.05"</f>
        <v>162.05</v>
      </c>
      <c r="H238" s="17">
        <f t="shared" si="3"/>
        <v>154.05000000000001</v>
      </c>
      <c r="I238" s="18" t="s">
        <v>40</v>
      </c>
      <c r="J238" s="15">
        <v>1</v>
      </c>
      <c r="K238" s="15">
        <v>2016</v>
      </c>
      <c r="L238" s="15" t="str">
        <f>"134.05"</f>
        <v>134.05</v>
      </c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</row>
    <row r="239" spans="1:35">
      <c r="A239" s="14">
        <v>237</v>
      </c>
      <c r="B239" s="14">
        <v>3039</v>
      </c>
      <c r="C239" s="14" t="s">
        <v>351</v>
      </c>
      <c r="D239" s="14" t="s">
        <v>55</v>
      </c>
      <c r="E239" s="15" t="str">
        <f>"152.01"</f>
        <v>152.01</v>
      </c>
      <c r="F239" s="15"/>
      <c r="G239" s="16" t="str">
        <f>"162.09"</f>
        <v>162.09</v>
      </c>
      <c r="H239" s="17">
        <f t="shared" si="3"/>
        <v>154.09</v>
      </c>
      <c r="I239" s="18" t="s">
        <v>43</v>
      </c>
      <c r="J239" s="15">
        <v>2</v>
      </c>
      <c r="K239" s="15">
        <v>2016</v>
      </c>
      <c r="L239" s="15" t="str">
        <f>"169.92"</f>
        <v>169.92</v>
      </c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 t="str">
        <f>"134.09"</f>
        <v>134.09</v>
      </c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</row>
    <row r="240" spans="1:35">
      <c r="A240" s="14">
        <v>238</v>
      </c>
      <c r="B240" s="14">
        <v>3987</v>
      </c>
      <c r="C240" s="14" t="s">
        <v>352</v>
      </c>
      <c r="D240" s="14" t="s">
        <v>353</v>
      </c>
      <c r="E240" s="15" t="str">
        <f>"148.64"</f>
        <v>148.64</v>
      </c>
      <c r="F240" s="15"/>
      <c r="G240" s="16" t="str">
        <f>"162.37"</f>
        <v>162.37</v>
      </c>
      <c r="H240" s="17">
        <f t="shared" si="3"/>
        <v>154.37</v>
      </c>
      <c r="I240" s="18"/>
      <c r="J240" s="15">
        <v>3</v>
      </c>
      <c r="K240" s="15">
        <v>2016</v>
      </c>
      <c r="L240" s="15" t="str">
        <f>"148.64"</f>
        <v>148.64</v>
      </c>
      <c r="M240" s="15"/>
      <c r="N240" s="15"/>
      <c r="O240" s="15"/>
      <c r="P240" s="15"/>
      <c r="Q240" s="15"/>
      <c r="R240" s="15"/>
      <c r="S240" s="15"/>
      <c r="T240" s="15"/>
      <c r="U240" s="15"/>
      <c r="V240" s="15" t="str">
        <f>"164.67"</f>
        <v>164.67</v>
      </c>
      <c r="W240" s="15"/>
      <c r="X240" s="15"/>
      <c r="Y240" s="15"/>
      <c r="Z240" s="15" t="str">
        <f>"160.07"</f>
        <v>160.07</v>
      </c>
      <c r="AA240" s="15"/>
      <c r="AB240" s="15"/>
      <c r="AC240" s="15"/>
      <c r="AD240" s="15"/>
      <c r="AE240" s="15"/>
      <c r="AF240" s="15"/>
      <c r="AG240" s="15"/>
      <c r="AH240" s="15"/>
      <c r="AI240" s="15"/>
    </row>
    <row r="241" spans="1:35">
      <c r="A241" s="14">
        <v>239</v>
      </c>
      <c r="B241" s="14">
        <v>1911</v>
      </c>
      <c r="C241" s="14" t="s">
        <v>354</v>
      </c>
      <c r="D241" s="14" t="s">
        <v>343</v>
      </c>
      <c r="E241" s="15" t="str">
        <f>"151.27"</f>
        <v>151.27</v>
      </c>
      <c r="F241" s="15"/>
      <c r="G241" s="16" t="str">
        <f>"162.65"</f>
        <v>162.65</v>
      </c>
      <c r="H241" s="17">
        <f t="shared" si="3"/>
        <v>154.65</v>
      </c>
      <c r="I241" s="18" t="s">
        <v>43</v>
      </c>
      <c r="J241" s="15">
        <v>2</v>
      </c>
      <c r="K241" s="15">
        <v>2016</v>
      </c>
      <c r="L241" s="15" t="str">
        <f>"167.88"</f>
        <v>167.88</v>
      </c>
      <c r="M241" s="15"/>
      <c r="N241" s="15"/>
      <c r="O241" s="15"/>
      <c r="P241" s="15"/>
      <c r="Q241" s="15"/>
      <c r="R241" s="15" t="str">
        <f>"134.65"</f>
        <v>134.65</v>
      </c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</row>
    <row r="242" spans="1:35">
      <c r="A242" s="14">
        <v>240</v>
      </c>
      <c r="B242" s="14">
        <v>8090</v>
      </c>
      <c r="C242" s="14" t="s">
        <v>355</v>
      </c>
      <c r="D242" s="14" t="s">
        <v>98</v>
      </c>
      <c r="E242" s="15" t="str">
        <f>"127.66"</f>
        <v>127.66</v>
      </c>
      <c r="F242" s="15"/>
      <c r="G242" s="16" t="str">
        <f>"162.70"</f>
        <v>162.70</v>
      </c>
      <c r="H242" s="17">
        <f t="shared" si="3"/>
        <v>154.69999999999999</v>
      </c>
      <c r="I242" s="18"/>
      <c r="J242" s="15">
        <v>3</v>
      </c>
      <c r="K242" s="15">
        <v>2016</v>
      </c>
      <c r="L242" s="15" t="str">
        <f>"131.78"</f>
        <v>131.78</v>
      </c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 t="str">
        <f>"201.86"</f>
        <v>201.86</v>
      </c>
      <c r="AA242" s="15"/>
      <c r="AB242" s="15"/>
      <c r="AC242" s="15"/>
      <c r="AD242" s="15"/>
      <c r="AE242" s="15" t="str">
        <f>"123.54"</f>
        <v>123.54</v>
      </c>
      <c r="AF242" s="15"/>
      <c r="AG242" s="15"/>
      <c r="AH242" s="15"/>
      <c r="AI242" s="15"/>
    </row>
    <row r="243" spans="1:35">
      <c r="A243" s="14">
        <v>241</v>
      </c>
      <c r="B243" s="14">
        <v>3908</v>
      </c>
      <c r="C243" s="14" t="s">
        <v>356</v>
      </c>
      <c r="D243" s="14" t="s">
        <v>131</v>
      </c>
      <c r="E243" s="15" t="str">
        <f>"134.98"</f>
        <v>134.98</v>
      </c>
      <c r="F243" s="15"/>
      <c r="G243" s="16" t="str">
        <f>"162.98"</f>
        <v>162.98</v>
      </c>
      <c r="H243" s="17">
        <f t="shared" si="3"/>
        <v>154.97999999999999</v>
      </c>
      <c r="I243" s="18" t="s">
        <v>40</v>
      </c>
      <c r="J243" s="15">
        <v>1</v>
      </c>
      <c r="K243" s="15">
        <v>2016</v>
      </c>
      <c r="L243" s="15" t="str">
        <f>"134.98"</f>
        <v>134.98</v>
      </c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</row>
    <row r="244" spans="1:35">
      <c r="A244" s="14">
        <v>242</v>
      </c>
      <c r="B244" s="14">
        <v>3008</v>
      </c>
      <c r="C244" s="14" t="s">
        <v>357</v>
      </c>
      <c r="D244" s="14" t="s">
        <v>146</v>
      </c>
      <c r="E244" s="15" t="str">
        <f>"134.98"</f>
        <v>134.98</v>
      </c>
      <c r="F244" s="15"/>
      <c r="G244" s="16" t="str">
        <f>"162.98"</f>
        <v>162.98</v>
      </c>
      <c r="H244" s="17">
        <f t="shared" si="3"/>
        <v>154.97999999999999</v>
      </c>
      <c r="I244" s="18" t="s">
        <v>40</v>
      </c>
      <c r="J244" s="15">
        <v>1</v>
      </c>
      <c r="K244" s="15">
        <v>2016</v>
      </c>
      <c r="L244" s="15" t="str">
        <f>"134.98"</f>
        <v>134.98</v>
      </c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</row>
    <row r="245" spans="1:35">
      <c r="A245" s="14">
        <v>243</v>
      </c>
      <c r="B245" s="14">
        <v>5493</v>
      </c>
      <c r="C245" s="14" t="s">
        <v>358</v>
      </c>
      <c r="D245" s="14" t="s">
        <v>66</v>
      </c>
      <c r="E245" s="15" t="str">
        <f>"163.10"</f>
        <v>163.10</v>
      </c>
      <c r="F245" s="15"/>
      <c r="G245" s="16" t="str">
        <f>"163.10"</f>
        <v>163.10</v>
      </c>
      <c r="H245" s="17">
        <f t="shared" si="3"/>
        <v>155.1</v>
      </c>
      <c r="I245" s="18"/>
      <c r="J245" s="15">
        <v>3</v>
      </c>
      <c r="K245" s="15">
        <v>2016</v>
      </c>
      <c r="L245" s="15" t="str">
        <f>"228.93"</f>
        <v>228.93</v>
      </c>
      <c r="M245" s="15"/>
      <c r="N245" s="15"/>
      <c r="O245" s="15"/>
      <c r="P245" s="15"/>
      <c r="Q245" s="15" t="str">
        <f>"165.03"</f>
        <v>165.03</v>
      </c>
      <c r="R245" s="15"/>
      <c r="S245" s="15"/>
      <c r="T245" s="15"/>
      <c r="U245" s="15"/>
      <c r="V245" s="15"/>
      <c r="W245" s="15"/>
      <c r="X245" s="15"/>
      <c r="Y245" s="15"/>
      <c r="Z245" s="15" t="str">
        <f>"214.77"</f>
        <v>214.77</v>
      </c>
      <c r="AA245" s="15"/>
      <c r="AB245" s="15"/>
      <c r="AC245" s="15"/>
      <c r="AD245" s="15"/>
      <c r="AE245" s="15" t="str">
        <f>"161.17"</f>
        <v>161.17</v>
      </c>
      <c r="AF245" s="15"/>
      <c r="AG245" s="15"/>
      <c r="AH245" s="15"/>
      <c r="AI245" s="15"/>
    </row>
    <row r="246" spans="1:35">
      <c r="A246" s="14">
        <v>244</v>
      </c>
      <c r="B246" s="14">
        <v>1342</v>
      </c>
      <c r="C246" s="14" t="s">
        <v>359</v>
      </c>
      <c r="D246" s="14" t="s">
        <v>168</v>
      </c>
      <c r="E246" s="15" t="str">
        <f>"123.59"</f>
        <v>123.59</v>
      </c>
      <c r="F246" s="15"/>
      <c r="G246" s="16" t="str">
        <f>"163.42"</f>
        <v>163.42</v>
      </c>
      <c r="H246" s="17">
        <f t="shared" si="3"/>
        <v>155.41999999999999</v>
      </c>
      <c r="I246" s="18" t="s">
        <v>43</v>
      </c>
      <c r="J246" s="15">
        <v>2</v>
      </c>
      <c r="K246" s="15">
        <v>2016</v>
      </c>
      <c r="L246" s="15" t="str">
        <f>"123.59"</f>
        <v>123.59</v>
      </c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 t="str">
        <f>"135.42"</f>
        <v>135.42</v>
      </c>
      <c r="AA246" s="15"/>
      <c r="AB246" s="15"/>
      <c r="AC246" s="15"/>
      <c r="AD246" s="15"/>
      <c r="AE246" s="15"/>
      <c r="AF246" s="15"/>
      <c r="AG246" s="15"/>
      <c r="AH246" s="15"/>
      <c r="AI246" s="15"/>
    </row>
    <row r="247" spans="1:35">
      <c r="A247" s="14">
        <v>245</v>
      </c>
      <c r="B247" s="14">
        <v>8488</v>
      </c>
      <c r="C247" s="14" t="s">
        <v>360</v>
      </c>
      <c r="D247" s="14" t="s">
        <v>51</v>
      </c>
      <c r="E247" s="15" t="str">
        <f>"160.67"</f>
        <v>160.67</v>
      </c>
      <c r="F247" s="15"/>
      <c r="G247" s="16" t="str">
        <f>"163.48"</f>
        <v>163.48</v>
      </c>
      <c r="H247" s="17">
        <f t="shared" si="3"/>
        <v>155.47999999999999</v>
      </c>
      <c r="I247" s="18"/>
      <c r="J247" s="15">
        <v>3</v>
      </c>
      <c r="K247" s="15">
        <v>2016</v>
      </c>
      <c r="L247" s="15" t="str">
        <f>"173.64"</f>
        <v>173.64</v>
      </c>
      <c r="M247" s="15"/>
      <c r="N247" s="15"/>
      <c r="O247" s="15"/>
      <c r="P247" s="15"/>
      <c r="Q247" s="15"/>
      <c r="R247" s="15"/>
      <c r="S247" s="15"/>
      <c r="T247" s="15" t="str">
        <f>"179.26"</f>
        <v>179.26</v>
      </c>
      <c r="U247" s="15"/>
      <c r="V247" s="15"/>
      <c r="W247" s="15"/>
      <c r="X247" s="15"/>
      <c r="Y247" s="15" t="str">
        <f>"147.69"</f>
        <v>147.69</v>
      </c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</row>
    <row r="248" spans="1:35">
      <c r="A248" s="14">
        <v>246</v>
      </c>
      <c r="B248" s="14">
        <v>10988</v>
      </c>
      <c r="C248" s="14" t="s">
        <v>361</v>
      </c>
      <c r="D248" s="14" t="s">
        <v>106</v>
      </c>
      <c r="E248" s="15" t="str">
        <f>"163.84"</f>
        <v>163.84</v>
      </c>
      <c r="F248" s="15"/>
      <c r="G248" s="16" t="str">
        <f>"163.84"</f>
        <v>163.84</v>
      </c>
      <c r="H248" s="17">
        <f t="shared" si="3"/>
        <v>155.84</v>
      </c>
      <c r="I248" s="18"/>
      <c r="J248" s="15">
        <v>5</v>
      </c>
      <c r="K248" s="15">
        <v>2016</v>
      </c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 t="str">
        <f>"163.38"</f>
        <v>163.38</v>
      </c>
      <c r="AB248" s="15"/>
      <c r="AC248" s="15" t="str">
        <f>"164.30"</f>
        <v>164.30</v>
      </c>
      <c r="AD248" s="15"/>
      <c r="AE248" s="15"/>
      <c r="AF248" s="15"/>
      <c r="AG248" s="15"/>
      <c r="AH248" s="15"/>
      <c r="AI248" s="15"/>
    </row>
    <row r="249" spans="1:35">
      <c r="A249" s="14">
        <v>247</v>
      </c>
      <c r="B249" s="14">
        <v>6842</v>
      </c>
      <c r="C249" s="14" t="s">
        <v>362</v>
      </c>
      <c r="D249" s="14" t="s">
        <v>289</v>
      </c>
      <c r="E249" s="15" t="str">
        <f>"140.72"</f>
        <v>140.72</v>
      </c>
      <c r="F249" s="15"/>
      <c r="G249" s="16" t="str">
        <f>"165.53"</f>
        <v>165.53</v>
      </c>
      <c r="H249" s="17">
        <f t="shared" si="3"/>
        <v>157.53</v>
      </c>
      <c r="I249" s="18"/>
      <c r="J249" s="15">
        <v>3</v>
      </c>
      <c r="K249" s="15">
        <v>2016</v>
      </c>
      <c r="L249" s="15" t="str">
        <f>"144.91"</f>
        <v>144.91</v>
      </c>
      <c r="M249" s="15"/>
      <c r="N249" s="15"/>
      <c r="O249" s="15"/>
      <c r="P249" s="15"/>
      <c r="Q249" s="15"/>
      <c r="R249" s="15" t="str">
        <f>"136.52"</f>
        <v>136.52</v>
      </c>
      <c r="S249" s="15"/>
      <c r="T249" s="15"/>
      <c r="U249" s="15"/>
      <c r="V249" s="15"/>
      <c r="W249" s="15" t="str">
        <f>"194.53"</f>
        <v>194.53</v>
      </c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</row>
    <row r="250" spans="1:35">
      <c r="A250" s="14">
        <v>248</v>
      </c>
      <c r="B250" s="14">
        <v>8682</v>
      </c>
      <c r="C250" s="14" t="s">
        <v>363</v>
      </c>
      <c r="D250" s="14" t="s">
        <v>136</v>
      </c>
      <c r="E250" s="15" t="str">
        <f>"148.87"</f>
        <v>148.87</v>
      </c>
      <c r="F250" s="15"/>
      <c r="G250" s="16" t="str">
        <f>"166.17"</f>
        <v>166.17</v>
      </c>
      <c r="H250" s="17">
        <f t="shared" si="3"/>
        <v>158.16999999999999</v>
      </c>
      <c r="I250" s="18"/>
      <c r="J250" s="15">
        <v>3</v>
      </c>
      <c r="K250" s="15">
        <v>2016</v>
      </c>
      <c r="L250" s="15" t="str">
        <f>"149.35"</f>
        <v>149.35</v>
      </c>
      <c r="M250" s="15"/>
      <c r="N250" s="15"/>
      <c r="O250" s="15"/>
      <c r="P250" s="15"/>
      <c r="Q250" s="15" t="str">
        <f>"148.38"</f>
        <v>148.38</v>
      </c>
      <c r="R250" s="15"/>
      <c r="S250" s="15"/>
      <c r="T250" s="15"/>
      <c r="U250" s="15"/>
      <c r="V250" s="15"/>
      <c r="W250" s="15"/>
      <c r="X250" s="15"/>
      <c r="Y250" s="15"/>
      <c r="Z250" s="15" t="str">
        <f>"208.49"</f>
        <v>208.49</v>
      </c>
      <c r="AA250" s="15"/>
      <c r="AB250" s="15"/>
      <c r="AC250" s="15" t="str">
        <f>"248.26"</f>
        <v>248.26</v>
      </c>
      <c r="AD250" s="15"/>
      <c r="AE250" s="15" t="str">
        <f>"183.96"</f>
        <v>183.96</v>
      </c>
      <c r="AF250" s="15"/>
      <c r="AG250" s="15"/>
      <c r="AH250" s="15"/>
      <c r="AI250" s="15"/>
    </row>
    <row r="251" spans="1:35">
      <c r="A251" s="14">
        <v>249</v>
      </c>
      <c r="B251" s="14">
        <v>7851</v>
      </c>
      <c r="C251" s="14" t="s">
        <v>364</v>
      </c>
      <c r="D251" s="14" t="s">
        <v>58</v>
      </c>
      <c r="E251" s="15" t="str">
        <f>"124.54"</f>
        <v>124.54</v>
      </c>
      <c r="F251" s="15"/>
      <c r="G251" s="16" t="str">
        <f>"166.35"</f>
        <v>166.35</v>
      </c>
      <c r="H251" s="17">
        <f t="shared" si="3"/>
        <v>158.35</v>
      </c>
      <c r="I251" s="18"/>
      <c r="J251" s="15">
        <v>3</v>
      </c>
      <c r="K251" s="15">
        <v>2016</v>
      </c>
      <c r="L251" s="15" t="str">
        <f>"124.54"</f>
        <v>124.54</v>
      </c>
      <c r="M251" s="15"/>
      <c r="N251" s="15" t="str">
        <f>"146.67"</f>
        <v>146.67</v>
      </c>
      <c r="O251" s="15"/>
      <c r="P251" s="15"/>
      <c r="Q251" s="15"/>
      <c r="R251" s="15"/>
      <c r="S251" s="15"/>
      <c r="T251" s="15"/>
      <c r="U251" s="15" t="str">
        <f>"186.02"</f>
        <v>186.02</v>
      </c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</row>
    <row r="252" spans="1:35">
      <c r="A252" s="14">
        <v>250</v>
      </c>
      <c r="B252" s="14">
        <v>8332</v>
      </c>
      <c r="C252" s="14" t="s">
        <v>365</v>
      </c>
      <c r="D252" s="14" t="s">
        <v>119</v>
      </c>
      <c r="E252" s="15" t="str">
        <f>"159.61"</f>
        <v>159.61</v>
      </c>
      <c r="F252" s="15"/>
      <c r="G252" s="16" t="str">
        <f>"166.60"</f>
        <v>166.60</v>
      </c>
      <c r="H252" s="17">
        <f t="shared" si="3"/>
        <v>158.6</v>
      </c>
      <c r="I252" s="18"/>
      <c r="J252" s="15">
        <v>3</v>
      </c>
      <c r="K252" s="15">
        <v>2016</v>
      </c>
      <c r="L252" s="15" t="str">
        <f>"181.76"</f>
        <v>181.76</v>
      </c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 t="str">
        <f>"195.74"</f>
        <v>195.74</v>
      </c>
      <c r="AB252" s="15"/>
      <c r="AC252" s="15"/>
      <c r="AD252" s="15"/>
      <c r="AE252" s="15" t="str">
        <f>"137.45"</f>
        <v>137.45</v>
      </c>
      <c r="AF252" s="15"/>
      <c r="AG252" s="15"/>
      <c r="AH252" s="15"/>
      <c r="AI252" s="15"/>
    </row>
    <row r="253" spans="1:35">
      <c r="A253" s="14">
        <v>251</v>
      </c>
      <c r="B253" s="14">
        <v>10314</v>
      </c>
      <c r="C253" s="14" t="s">
        <v>366</v>
      </c>
      <c r="D253" s="14" t="s">
        <v>92</v>
      </c>
      <c r="E253" s="15" t="str">
        <f>"138.96"</f>
        <v>138.96</v>
      </c>
      <c r="F253" s="15"/>
      <c r="G253" s="16" t="str">
        <f>"166.96"</f>
        <v>166.96</v>
      </c>
      <c r="H253" s="17">
        <f t="shared" si="3"/>
        <v>158.96</v>
      </c>
      <c r="I253" s="18" t="s">
        <v>40</v>
      </c>
      <c r="J253" s="15">
        <v>1</v>
      </c>
      <c r="K253" s="15">
        <v>2016</v>
      </c>
      <c r="L253" s="15" t="str">
        <f>"138.96"</f>
        <v>138.96</v>
      </c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</row>
    <row r="254" spans="1:35">
      <c r="A254" s="14">
        <v>252</v>
      </c>
      <c r="B254" s="14">
        <v>2214</v>
      </c>
      <c r="C254" s="14" t="s">
        <v>367</v>
      </c>
      <c r="D254" s="14" t="s">
        <v>289</v>
      </c>
      <c r="E254" s="15" t="str">
        <f>"139.61"</f>
        <v>139.61</v>
      </c>
      <c r="F254" s="15"/>
      <c r="G254" s="16" t="str">
        <f>"167.61"</f>
        <v>167.61</v>
      </c>
      <c r="H254" s="17">
        <f t="shared" si="3"/>
        <v>159.61000000000001</v>
      </c>
      <c r="I254" s="18" t="s">
        <v>40</v>
      </c>
      <c r="J254" s="15">
        <v>1</v>
      </c>
      <c r="K254" s="15">
        <v>2016</v>
      </c>
      <c r="L254" s="15" t="str">
        <f>"139.61"</f>
        <v>139.61</v>
      </c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</row>
    <row r="255" spans="1:35">
      <c r="A255" s="14">
        <v>253</v>
      </c>
      <c r="B255" s="14">
        <v>4225</v>
      </c>
      <c r="C255" s="14" t="s">
        <v>368</v>
      </c>
      <c r="D255" s="14" t="s">
        <v>155</v>
      </c>
      <c r="E255" s="15" t="str">
        <f>"144.86"</f>
        <v>144.86</v>
      </c>
      <c r="F255" s="15"/>
      <c r="G255" s="16" t="str">
        <f>"167.90"</f>
        <v>167.90</v>
      </c>
      <c r="H255" s="17">
        <f t="shared" si="3"/>
        <v>159.9</v>
      </c>
      <c r="I255" s="18"/>
      <c r="J255" s="15">
        <v>3</v>
      </c>
      <c r="K255" s="15">
        <v>2016</v>
      </c>
      <c r="L255" s="15" t="str">
        <f>"144.86"</f>
        <v>144.86</v>
      </c>
      <c r="M255" s="15"/>
      <c r="N255" s="15"/>
      <c r="O255" s="15"/>
      <c r="P255" s="15"/>
      <c r="Q255" s="15"/>
      <c r="R255" s="15" t="str">
        <f>"163.23"</f>
        <v>163.23</v>
      </c>
      <c r="S255" s="15"/>
      <c r="T255" s="15"/>
      <c r="U255" s="15"/>
      <c r="V255" s="15"/>
      <c r="W255" s="15" t="str">
        <f>"176.80"</f>
        <v>176.80</v>
      </c>
      <c r="X255" s="15"/>
      <c r="Y255" s="15"/>
      <c r="Z255" s="15"/>
      <c r="AA255" s="15"/>
      <c r="AB255" s="15" t="str">
        <f>"173.10"</f>
        <v>173.10</v>
      </c>
      <c r="AC255" s="15"/>
      <c r="AD255" s="15" t="str">
        <f>"172.57"</f>
        <v>172.57</v>
      </c>
      <c r="AE255" s="15"/>
      <c r="AF255" s="15"/>
      <c r="AG255" s="15"/>
      <c r="AH255" s="15"/>
      <c r="AI255" s="15"/>
    </row>
    <row r="256" spans="1:35">
      <c r="A256" s="14">
        <v>254</v>
      </c>
      <c r="B256" s="14">
        <v>2982</v>
      </c>
      <c r="C256" s="14" t="s">
        <v>369</v>
      </c>
      <c r="D256" s="14" t="s">
        <v>316</v>
      </c>
      <c r="E256" s="15" t="str">
        <f>"140.77"</f>
        <v>140.77</v>
      </c>
      <c r="F256" s="15"/>
      <c r="G256" s="16" t="str">
        <f>"168.77"</f>
        <v>168.77</v>
      </c>
      <c r="H256" s="17">
        <f t="shared" si="3"/>
        <v>160.77000000000001</v>
      </c>
      <c r="I256" s="18" t="s">
        <v>40</v>
      </c>
      <c r="J256" s="15">
        <v>1</v>
      </c>
      <c r="K256" s="15">
        <v>2016</v>
      </c>
      <c r="L256" s="15" t="str">
        <f>"140.77"</f>
        <v>140.77</v>
      </c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</row>
    <row r="257" spans="1:35">
      <c r="A257" s="14">
        <v>255</v>
      </c>
      <c r="B257" s="14">
        <v>3372</v>
      </c>
      <c r="C257" s="14" t="s">
        <v>370</v>
      </c>
      <c r="D257" s="14" t="s">
        <v>371</v>
      </c>
      <c r="E257" s="15" t="str">
        <f>"141.00"</f>
        <v>141.00</v>
      </c>
      <c r="F257" s="15"/>
      <c r="G257" s="16" t="str">
        <f>"169.00"</f>
        <v>169.00</v>
      </c>
      <c r="H257" s="17">
        <f t="shared" si="3"/>
        <v>161</v>
      </c>
      <c r="I257" s="18" t="s">
        <v>40</v>
      </c>
      <c r="J257" s="15">
        <v>1</v>
      </c>
      <c r="K257" s="15">
        <v>2016</v>
      </c>
      <c r="L257" s="15" t="str">
        <f>"141.00"</f>
        <v>141.00</v>
      </c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</row>
    <row r="258" spans="1:35">
      <c r="A258" s="14">
        <v>256</v>
      </c>
      <c r="B258" s="14">
        <v>8483</v>
      </c>
      <c r="C258" s="14" t="s">
        <v>372</v>
      </c>
      <c r="D258" s="14" t="s">
        <v>51</v>
      </c>
      <c r="E258" s="15" t="str">
        <f>"167.97"</f>
        <v>167.97</v>
      </c>
      <c r="F258" s="15"/>
      <c r="G258" s="16" t="str">
        <f>"169.45"</f>
        <v>169.45</v>
      </c>
      <c r="H258" s="17">
        <f t="shared" si="3"/>
        <v>161.44999999999999</v>
      </c>
      <c r="I258" s="18"/>
      <c r="J258" s="15">
        <v>3</v>
      </c>
      <c r="K258" s="15">
        <v>2016</v>
      </c>
      <c r="L258" s="15" t="str">
        <f>"170.71"</f>
        <v>170.71</v>
      </c>
      <c r="M258" s="15"/>
      <c r="N258" s="15"/>
      <c r="O258" s="15"/>
      <c r="P258" s="15"/>
      <c r="Q258" s="15"/>
      <c r="R258" s="15"/>
      <c r="S258" s="15"/>
      <c r="T258" s="15" t="str">
        <f>"216.11"</f>
        <v>216.11</v>
      </c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 t="str">
        <f>"173.67"</f>
        <v>173.67</v>
      </c>
      <c r="AF258" s="15"/>
      <c r="AG258" s="15" t="str">
        <f>"197.30"</f>
        <v>197.30</v>
      </c>
      <c r="AH258" s="15"/>
      <c r="AI258" s="15" t="str">
        <f>"165.22"</f>
        <v>165.22</v>
      </c>
    </row>
    <row r="259" spans="1:35">
      <c r="A259" s="14">
        <v>257</v>
      </c>
      <c r="B259" s="14">
        <v>7354</v>
      </c>
      <c r="C259" s="14" t="s">
        <v>373</v>
      </c>
      <c r="D259" s="14" t="s">
        <v>139</v>
      </c>
      <c r="E259" s="15" t="str">
        <f>"106.16"</f>
        <v>106.16</v>
      </c>
      <c r="F259" s="15"/>
      <c r="G259" s="16" t="str">
        <f>"169.77"</f>
        <v>169.77</v>
      </c>
      <c r="H259" s="17">
        <f t="shared" ref="H259:H322" si="4">G259-8</f>
        <v>161.77000000000001</v>
      </c>
      <c r="I259" s="18" t="s">
        <v>43</v>
      </c>
      <c r="J259" s="15">
        <v>2</v>
      </c>
      <c r="K259" s="15">
        <v>2016</v>
      </c>
      <c r="L259" s="15" t="str">
        <f>"106.16"</f>
        <v>106.16</v>
      </c>
      <c r="M259" s="15"/>
      <c r="N259" s="15"/>
      <c r="O259" s="15"/>
      <c r="P259" s="15"/>
      <c r="Q259" s="15" t="str">
        <f>"141.77"</f>
        <v>141.77</v>
      </c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</row>
    <row r="260" spans="1:35">
      <c r="A260" s="14">
        <v>258</v>
      </c>
      <c r="B260" s="14">
        <v>1820</v>
      </c>
      <c r="C260" s="14" t="s">
        <v>374</v>
      </c>
      <c r="D260" s="14" t="s">
        <v>51</v>
      </c>
      <c r="E260" s="15" t="str">
        <f>"142.06"</f>
        <v>142.06</v>
      </c>
      <c r="F260" s="15"/>
      <c r="G260" s="16" t="str">
        <f>"170.06"</f>
        <v>170.06</v>
      </c>
      <c r="H260" s="17">
        <f t="shared" si="4"/>
        <v>162.06</v>
      </c>
      <c r="I260" s="18" t="s">
        <v>40</v>
      </c>
      <c r="J260" s="15">
        <v>1</v>
      </c>
      <c r="K260" s="15">
        <v>2016</v>
      </c>
      <c r="L260" s="15" t="str">
        <f>"142.06"</f>
        <v>142.06</v>
      </c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</row>
    <row r="261" spans="1:35">
      <c r="A261" s="14">
        <v>259</v>
      </c>
      <c r="B261" s="14">
        <v>7504</v>
      </c>
      <c r="C261" s="14" t="s">
        <v>375</v>
      </c>
      <c r="D261" s="14" t="s">
        <v>106</v>
      </c>
      <c r="E261" s="15" t="str">
        <f>"170.10"</f>
        <v>170.10</v>
      </c>
      <c r="F261" s="15"/>
      <c r="G261" s="16" t="str">
        <f>"170.10"</f>
        <v>170.10</v>
      </c>
      <c r="H261" s="17">
        <f t="shared" si="4"/>
        <v>162.1</v>
      </c>
      <c r="I261" s="18"/>
      <c r="J261" s="15">
        <v>3</v>
      </c>
      <c r="K261" s="15">
        <v>2016</v>
      </c>
      <c r="L261" s="15" t="str">
        <f>"207.55"</f>
        <v>207.55</v>
      </c>
      <c r="M261" s="15"/>
      <c r="N261" s="15"/>
      <c r="O261" s="15"/>
      <c r="P261" s="15"/>
      <c r="Q261" s="15" t="str">
        <f>"170.54"</f>
        <v>170.54</v>
      </c>
      <c r="R261" s="15"/>
      <c r="S261" s="15"/>
      <c r="T261" s="15"/>
      <c r="U261" s="15"/>
      <c r="V261" s="15" t="str">
        <f>"242.25"</f>
        <v>242.25</v>
      </c>
      <c r="W261" s="15"/>
      <c r="X261" s="15"/>
      <c r="Y261" s="15"/>
      <c r="Z261" s="15"/>
      <c r="AA261" s="15"/>
      <c r="AB261" s="15"/>
      <c r="AC261" s="15"/>
      <c r="AD261" s="15"/>
      <c r="AE261" s="15" t="str">
        <f>"169.66"</f>
        <v>169.66</v>
      </c>
      <c r="AF261" s="15"/>
      <c r="AG261" s="15"/>
      <c r="AH261" s="15"/>
      <c r="AI261" s="15"/>
    </row>
    <row r="262" spans="1:35">
      <c r="A262" s="14">
        <v>260</v>
      </c>
      <c r="B262" s="14">
        <v>5234</v>
      </c>
      <c r="C262" s="14" t="s">
        <v>376</v>
      </c>
      <c r="D262" s="14" t="s">
        <v>100</v>
      </c>
      <c r="E262" s="15" t="str">
        <f>"125.87"</f>
        <v>125.87</v>
      </c>
      <c r="F262" s="15"/>
      <c r="G262" s="16" t="str">
        <f>"171.39"</f>
        <v>171.39</v>
      </c>
      <c r="H262" s="17">
        <f t="shared" si="4"/>
        <v>163.38999999999999</v>
      </c>
      <c r="I262" s="18"/>
      <c r="J262" s="15">
        <v>3</v>
      </c>
      <c r="K262" s="15">
        <v>2016</v>
      </c>
      <c r="L262" s="15" t="str">
        <f>"125.87"</f>
        <v>125.87</v>
      </c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 t="str">
        <f>"198.34"</f>
        <v>198.34</v>
      </c>
      <c r="AA262" s="15" t="str">
        <f>"211.70"</f>
        <v>211.70</v>
      </c>
      <c r="AB262" s="15"/>
      <c r="AC262" s="15" t="str">
        <f>"202.89"</f>
        <v>202.89</v>
      </c>
      <c r="AD262" s="15"/>
      <c r="AE262" s="15" t="str">
        <f>"144.44"</f>
        <v>144.44</v>
      </c>
      <c r="AF262" s="15"/>
      <c r="AG262" s="15"/>
      <c r="AH262" s="15"/>
      <c r="AI262" s="15"/>
    </row>
    <row r="263" spans="1:35">
      <c r="A263" s="14">
        <v>261</v>
      </c>
      <c r="B263" s="14">
        <v>7050</v>
      </c>
      <c r="C263" s="14" t="s">
        <v>377</v>
      </c>
      <c r="D263" s="14" t="s">
        <v>155</v>
      </c>
      <c r="E263" s="15" t="str">
        <f>"147.58"</f>
        <v>147.58</v>
      </c>
      <c r="F263" s="15"/>
      <c r="G263" s="16" t="str">
        <f>"171.83"</f>
        <v>171.83</v>
      </c>
      <c r="H263" s="17">
        <f t="shared" si="4"/>
        <v>163.83000000000001</v>
      </c>
      <c r="I263" s="18"/>
      <c r="J263" s="15">
        <v>3</v>
      </c>
      <c r="K263" s="15">
        <v>2016</v>
      </c>
      <c r="L263" s="15" t="str">
        <f>"149.72"</f>
        <v>149.72</v>
      </c>
      <c r="M263" s="15"/>
      <c r="N263" s="15"/>
      <c r="O263" s="15"/>
      <c r="P263" s="15"/>
      <c r="Q263" s="15" t="str">
        <f>"145.44"</f>
        <v>145.44</v>
      </c>
      <c r="R263" s="15"/>
      <c r="S263" s="15"/>
      <c r="T263" s="15"/>
      <c r="U263" s="15"/>
      <c r="V263" s="15" t="str">
        <f>"310.01"</f>
        <v>310.01</v>
      </c>
      <c r="W263" s="15"/>
      <c r="X263" s="15"/>
      <c r="Y263" s="15"/>
      <c r="Z263" s="15"/>
      <c r="AA263" s="15" t="str">
        <f>"198.21"</f>
        <v>198.21</v>
      </c>
      <c r="AB263" s="15"/>
      <c r="AC263" s="15"/>
      <c r="AD263" s="15"/>
      <c r="AE263" s="15"/>
      <c r="AF263" s="15"/>
      <c r="AG263" s="15"/>
      <c r="AH263" s="15"/>
      <c r="AI263" s="15"/>
    </row>
    <row r="264" spans="1:35">
      <c r="A264" s="14">
        <v>262</v>
      </c>
      <c r="B264" s="14">
        <v>6369</v>
      </c>
      <c r="C264" s="14" t="s">
        <v>378</v>
      </c>
      <c r="D264" s="14" t="s">
        <v>379</v>
      </c>
      <c r="E264" s="15" t="str">
        <f>"128.82"</f>
        <v>128.82</v>
      </c>
      <c r="F264" s="15"/>
      <c r="G264" s="16" t="str">
        <f>"172.69"</f>
        <v>172.69</v>
      </c>
      <c r="H264" s="17">
        <f t="shared" si="4"/>
        <v>164.69</v>
      </c>
      <c r="I264" s="18" t="s">
        <v>43</v>
      </c>
      <c r="J264" s="15">
        <v>2</v>
      </c>
      <c r="K264" s="15">
        <v>2016</v>
      </c>
      <c r="L264" s="15" t="str">
        <f>"128.82"</f>
        <v>128.82</v>
      </c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 t="str">
        <f>"144.69"</f>
        <v>144.69</v>
      </c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</row>
    <row r="265" spans="1:35">
      <c r="A265" s="14">
        <v>263</v>
      </c>
      <c r="B265" s="14">
        <v>10277</v>
      </c>
      <c r="C265" s="14" t="s">
        <v>380</v>
      </c>
      <c r="D265" s="14" t="s">
        <v>58</v>
      </c>
      <c r="E265" s="15" t="str">
        <f>"164.52"</f>
        <v>164.52</v>
      </c>
      <c r="F265" s="15"/>
      <c r="G265" s="16" t="str">
        <f>"172.88"</f>
        <v>172.88</v>
      </c>
      <c r="H265" s="17">
        <f t="shared" si="4"/>
        <v>164.88</v>
      </c>
      <c r="I265" s="18"/>
      <c r="J265" s="15">
        <v>3</v>
      </c>
      <c r="K265" s="15">
        <v>2016</v>
      </c>
      <c r="L265" s="15" t="str">
        <f>"164.52"</f>
        <v>164.52</v>
      </c>
      <c r="M265" s="15"/>
      <c r="N265" s="15" t="str">
        <f>"181.24"</f>
        <v>181.24</v>
      </c>
      <c r="O265" s="15"/>
      <c r="P265" s="15"/>
      <c r="Q265" s="15"/>
      <c r="R265" s="15"/>
      <c r="S265" s="15"/>
      <c r="T265" s="15"/>
      <c r="U265" s="15" t="str">
        <f>"232.28"</f>
        <v>232.28</v>
      </c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 t="str">
        <f>"164.51"</f>
        <v>164.51</v>
      </c>
      <c r="AG265" s="15"/>
      <c r="AH265" s="15"/>
      <c r="AI265" s="15"/>
    </row>
    <row r="266" spans="1:35">
      <c r="A266" s="14">
        <v>264</v>
      </c>
      <c r="B266" s="14">
        <v>8645</v>
      </c>
      <c r="C266" s="14" t="s">
        <v>381</v>
      </c>
      <c r="D266" s="14" t="s">
        <v>51</v>
      </c>
      <c r="E266" s="15" t="str">
        <f>"122.59"</f>
        <v>122.59</v>
      </c>
      <c r="F266" s="15"/>
      <c r="G266" s="16" t="str">
        <f>"173.52"</f>
        <v>173.52</v>
      </c>
      <c r="H266" s="17">
        <f t="shared" si="4"/>
        <v>165.52</v>
      </c>
      <c r="I266" s="18" t="s">
        <v>43</v>
      </c>
      <c r="J266" s="15">
        <v>2</v>
      </c>
      <c r="K266" s="15">
        <v>2016</v>
      </c>
      <c r="L266" s="15" t="str">
        <f>"122.59"</f>
        <v>122.59</v>
      </c>
      <c r="M266" s="15"/>
      <c r="N266" s="15"/>
      <c r="O266" s="15"/>
      <c r="P266" s="15"/>
      <c r="Q266" s="15"/>
      <c r="R266" s="15"/>
      <c r="S266" s="15"/>
      <c r="T266" s="15" t="str">
        <f>"145.52"</f>
        <v>145.52</v>
      </c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</row>
    <row r="267" spans="1:35">
      <c r="A267" s="14">
        <v>265</v>
      </c>
      <c r="B267" s="14">
        <v>10334</v>
      </c>
      <c r="C267" s="14" t="s">
        <v>382</v>
      </c>
      <c r="D267" s="14" t="s">
        <v>58</v>
      </c>
      <c r="E267" s="15" t="str">
        <f>"145.20"</f>
        <v>145.20</v>
      </c>
      <c r="F267" s="15"/>
      <c r="G267" s="16" t="str">
        <f>"173.71"</f>
        <v>173.71</v>
      </c>
      <c r="H267" s="17">
        <f t="shared" si="4"/>
        <v>165.71</v>
      </c>
      <c r="I267" s="18"/>
      <c r="J267" s="15">
        <v>3</v>
      </c>
      <c r="K267" s="15">
        <v>2016</v>
      </c>
      <c r="L267" s="15" t="str">
        <f>"147.17"</f>
        <v>147.17</v>
      </c>
      <c r="M267" s="15"/>
      <c r="N267" s="15" t="str">
        <f>"143.22"</f>
        <v>143.22</v>
      </c>
      <c r="O267" s="15"/>
      <c r="P267" s="15"/>
      <c r="Q267" s="15"/>
      <c r="R267" s="15"/>
      <c r="S267" s="15"/>
      <c r="T267" s="15"/>
      <c r="U267" s="15" t="str">
        <f>"204.20"</f>
        <v>204.20</v>
      </c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</row>
    <row r="268" spans="1:35">
      <c r="A268" s="14">
        <v>266</v>
      </c>
      <c r="B268" s="14">
        <v>10618</v>
      </c>
      <c r="C268" s="14" t="s">
        <v>383</v>
      </c>
      <c r="D268" s="14" t="s">
        <v>51</v>
      </c>
      <c r="E268" s="15" t="str">
        <f>"173.75"</f>
        <v>173.75</v>
      </c>
      <c r="F268" s="15"/>
      <c r="G268" s="16" t="str">
        <f>"173.75"</f>
        <v>173.75</v>
      </c>
      <c r="H268" s="17">
        <f t="shared" si="4"/>
        <v>165.75</v>
      </c>
      <c r="I268" s="18"/>
      <c r="J268" s="15">
        <v>3</v>
      </c>
      <c r="K268" s="15">
        <v>2016</v>
      </c>
      <c r="L268" s="15" t="str">
        <f>"229.89"</f>
        <v>229.89</v>
      </c>
      <c r="M268" s="15"/>
      <c r="N268" s="15"/>
      <c r="O268" s="15"/>
      <c r="P268" s="15"/>
      <c r="Q268" s="15"/>
      <c r="R268" s="15"/>
      <c r="S268" s="15" t="str">
        <f>"140.34"</f>
        <v>140.34</v>
      </c>
      <c r="T268" s="15" t="str">
        <f>"269.34"</f>
        <v>269.34</v>
      </c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 t="str">
        <f>"207.16"</f>
        <v>207.16</v>
      </c>
      <c r="AH268" s="15" t="str">
        <f>"487.32"</f>
        <v>487.32</v>
      </c>
      <c r="AI268" s="15"/>
    </row>
    <row r="269" spans="1:35">
      <c r="A269" s="14">
        <v>267</v>
      </c>
      <c r="B269" s="14">
        <v>3338</v>
      </c>
      <c r="C269" s="14" t="s">
        <v>384</v>
      </c>
      <c r="D269" s="14" t="s">
        <v>88</v>
      </c>
      <c r="E269" s="15" t="str">
        <f>"91.51"</f>
        <v>91.51</v>
      </c>
      <c r="F269" s="15"/>
      <c r="G269" s="16" t="str">
        <f>"173.81"</f>
        <v>173.81</v>
      </c>
      <c r="H269" s="17">
        <f t="shared" si="4"/>
        <v>165.81</v>
      </c>
      <c r="I269" s="18"/>
      <c r="J269" s="15">
        <v>3</v>
      </c>
      <c r="K269" s="15">
        <v>2016</v>
      </c>
      <c r="L269" s="15" t="str">
        <f>"91.51"</f>
        <v>91.51</v>
      </c>
      <c r="M269" s="15"/>
      <c r="N269" s="15"/>
      <c r="O269" s="15"/>
      <c r="P269" s="15"/>
      <c r="Q269" s="15" t="str">
        <f>"141.62"</f>
        <v>141.62</v>
      </c>
      <c r="R269" s="15"/>
      <c r="S269" s="15"/>
      <c r="T269" s="15"/>
      <c r="U269" s="15"/>
      <c r="V269" s="15" t="str">
        <f>"205.99"</f>
        <v>205.99</v>
      </c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</row>
    <row r="270" spans="1:35">
      <c r="A270" s="14">
        <v>268</v>
      </c>
      <c r="B270" s="14">
        <v>2155</v>
      </c>
      <c r="C270" s="14" t="s">
        <v>385</v>
      </c>
      <c r="D270" s="14" t="s">
        <v>51</v>
      </c>
      <c r="E270" s="15" t="str">
        <f>"146.42"</f>
        <v>146.42</v>
      </c>
      <c r="F270" s="15"/>
      <c r="G270" s="16" t="str">
        <f>"174.42"</f>
        <v>174.42</v>
      </c>
      <c r="H270" s="17">
        <f t="shared" si="4"/>
        <v>166.42</v>
      </c>
      <c r="I270" s="18" t="s">
        <v>40</v>
      </c>
      <c r="J270" s="15">
        <v>1</v>
      </c>
      <c r="K270" s="15">
        <v>2016</v>
      </c>
      <c r="L270" s="15" t="str">
        <f>"146.42"</f>
        <v>146.42</v>
      </c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</row>
    <row r="271" spans="1:35">
      <c r="A271" s="14">
        <v>269</v>
      </c>
      <c r="B271" s="14">
        <v>3312</v>
      </c>
      <c r="C271" s="14" t="s">
        <v>386</v>
      </c>
      <c r="D271" s="14" t="s">
        <v>51</v>
      </c>
      <c r="E271" s="15" t="str">
        <f>"110.69"</f>
        <v>110.69</v>
      </c>
      <c r="F271" s="15"/>
      <c r="G271" s="16" t="str">
        <f>"175.81"</f>
        <v>175.81</v>
      </c>
      <c r="H271" s="17">
        <f t="shared" si="4"/>
        <v>167.81</v>
      </c>
      <c r="I271" s="18"/>
      <c r="J271" s="15">
        <v>3</v>
      </c>
      <c r="K271" s="15">
        <v>2016</v>
      </c>
      <c r="L271" s="15" t="str">
        <f>"110.69"</f>
        <v>110.69</v>
      </c>
      <c r="M271" s="15"/>
      <c r="N271" s="15"/>
      <c r="O271" s="15"/>
      <c r="P271" s="15"/>
      <c r="Q271" s="15"/>
      <c r="R271" s="15"/>
      <c r="S271" s="15"/>
      <c r="T271" s="15" t="str">
        <f>"177.42"</f>
        <v>177.42</v>
      </c>
      <c r="U271" s="15"/>
      <c r="V271" s="15"/>
      <c r="W271" s="15"/>
      <c r="X271" s="15"/>
      <c r="Y271" s="15" t="str">
        <f>"174.20"</f>
        <v>174.20</v>
      </c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</row>
    <row r="272" spans="1:35">
      <c r="A272" s="14">
        <v>270</v>
      </c>
      <c r="B272" s="14">
        <v>1349</v>
      </c>
      <c r="C272" s="14" t="s">
        <v>387</v>
      </c>
      <c r="D272" s="14" t="s">
        <v>79</v>
      </c>
      <c r="E272" s="15" t="str">
        <f>"173.01"</f>
        <v>173.01</v>
      </c>
      <c r="F272" s="15"/>
      <c r="G272" s="16" t="str">
        <f>"176.45"</f>
        <v>176.45</v>
      </c>
      <c r="H272" s="17">
        <f t="shared" si="4"/>
        <v>168.45</v>
      </c>
      <c r="I272" s="18"/>
      <c r="J272" s="15">
        <v>3</v>
      </c>
      <c r="K272" s="15">
        <v>2016</v>
      </c>
      <c r="L272" s="15" t="str">
        <f>"176.40"</f>
        <v>176.40</v>
      </c>
      <c r="M272" s="15"/>
      <c r="N272" s="15"/>
      <c r="O272" s="15"/>
      <c r="P272" s="15"/>
      <c r="Q272" s="15"/>
      <c r="R272" s="15" t="str">
        <f>"183.29"</f>
        <v>183.29</v>
      </c>
      <c r="S272" s="15"/>
      <c r="T272" s="15"/>
      <c r="U272" s="15"/>
      <c r="V272" s="15"/>
      <c r="W272" s="15" t="str">
        <f>"169.61"</f>
        <v>169.61</v>
      </c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</row>
    <row r="273" spans="1:35">
      <c r="A273" s="14">
        <v>271</v>
      </c>
      <c r="B273" s="14">
        <v>7883</v>
      </c>
      <c r="C273" s="14" t="s">
        <v>388</v>
      </c>
      <c r="D273" s="14" t="s">
        <v>45</v>
      </c>
      <c r="E273" s="15" t="str">
        <f>"169.68"</f>
        <v>169.68</v>
      </c>
      <c r="F273" s="15"/>
      <c r="G273" s="16" t="str">
        <f>"176.48"</f>
        <v>176.48</v>
      </c>
      <c r="H273" s="17">
        <f t="shared" si="4"/>
        <v>168.48</v>
      </c>
      <c r="I273" s="18" t="s">
        <v>43</v>
      </c>
      <c r="J273" s="15">
        <v>2</v>
      </c>
      <c r="K273" s="15">
        <v>2016</v>
      </c>
      <c r="L273" s="15" t="str">
        <f>"190.87"</f>
        <v>190.87</v>
      </c>
      <c r="M273" s="15"/>
      <c r="N273" s="15"/>
      <c r="O273" s="15"/>
      <c r="P273" s="15"/>
      <c r="Q273" s="15"/>
      <c r="R273" s="15"/>
      <c r="S273" s="15"/>
      <c r="T273" s="15"/>
      <c r="U273" s="15"/>
      <c r="V273" s="15" t="str">
        <f>"148.48"</f>
        <v>148.48</v>
      </c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</row>
    <row r="274" spans="1:35">
      <c r="A274" s="14">
        <v>272</v>
      </c>
      <c r="B274" s="14">
        <v>8378</v>
      </c>
      <c r="C274" s="14" t="s">
        <v>389</v>
      </c>
      <c r="D274" s="14" t="s">
        <v>390</v>
      </c>
      <c r="E274" s="15" t="str">
        <f>"163.06"</f>
        <v>163.06</v>
      </c>
      <c r="F274" s="15"/>
      <c r="G274" s="16">
        <v>177.06</v>
      </c>
      <c r="H274" s="17">
        <f t="shared" si="4"/>
        <v>169.06</v>
      </c>
      <c r="I274" s="18" t="s">
        <v>67</v>
      </c>
      <c r="J274" s="15">
        <v>1</v>
      </c>
      <c r="K274" s="15">
        <v>2016</v>
      </c>
      <c r="L274" s="15" t="str">
        <f>"163.06"</f>
        <v>163.06</v>
      </c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</row>
    <row r="275" spans="1:35">
      <c r="A275" s="14">
        <v>273</v>
      </c>
      <c r="B275" s="14">
        <v>5072</v>
      </c>
      <c r="C275" s="14" t="s">
        <v>391</v>
      </c>
      <c r="D275" s="14" t="s">
        <v>392</v>
      </c>
      <c r="E275" s="15" t="str">
        <f>"149.10"</f>
        <v>149.10</v>
      </c>
      <c r="F275" s="15"/>
      <c r="G275" s="16" t="str">
        <f>"177.10"</f>
        <v>177.10</v>
      </c>
      <c r="H275" s="17">
        <f t="shared" si="4"/>
        <v>169.1</v>
      </c>
      <c r="I275" s="18" t="s">
        <v>40</v>
      </c>
      <c r="J275" s="15">
        <v>1</v>
      </c>
      <c r="K275" s="15">
        <v>2016</v>
      </c>
      <c r="L275" s="15" t="str">
        <f>"149.10"</f>
        <v>149.10</v>
      </c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</row>
    <row r="276" spans="1:35">
      <c r="A276" s="14">
        <v>274</v>
      </c>
      <c r="B276" s="14">
        <v>742</v>
      </c>
      <c r="C276" s="14" t="s">
        <v>393</v>
      </c>
      <c r="D276" s="14" t="s">
        <v>45</v>
      </c>
      <c r="E276" s="15" t="str">
        <f>"187.74"</f>
        <v>187.74</v>
      </c>
      <c r="F276" s="15"/>
      <c r="G276" s="16" t="str">
        <f>"178.42"</f>
        <v>178.42</v>
      </c>
      <c r="H276" s="17">
        <f t="shared" si="4"/>
        <v>170.42</v>
      </c>
      <c r="I276" s="18" t="s">
        <v>43</v>
      </c>
      <c r="J276" s="15">
        <v>2</v>
      </c>
      <c r="K276" s="15">
        <v>2016</v>
      </c>
      <c r="L276" s="15" t="str">
        <f>"225.06"</f>
        <v>225.06</v>
      </c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 t="str">
        <f>"150.42"</f>
        <v>150.42</v>
      </c>
      <c r="AC276" s="15"/>
      <c r="AD276" s="15"/>
      <c r="AE276" s="15"/>
      <c r="AF276" s="15"/>
      <c r="AG276" s="15"/>
      <c r="AH276" s="15"/>
      <c r="AI276" s="15"/>
    </row>
    <row r="277" spans="1:35">
      <c r="A277" s="14">
        <v>275</v>
      </c>
      <c r="B277" s="14">
        <v>8630</v>
      </c>
      <c r="C277" s="14" t="s">
        <v>394</v>
      </c>
      <c r="D277" s="14" t="s">
        <v>51</v>
      </c>
      <c r="E277" s="15" t="str">
        <f>"179.12"</f>
        <v>179.12</v>
      </c>
      <c r="F277" s="15"/>
      <c r="G277" s="16" t="str">
        <f>"179.12"</f>
        <v>179.12</v>
      </c>
      <c r="H277" s="17">
        <f t="shared" si="4"/>
        <v>171.12</v>
      </c>
      <c r="I277" s="18"/>
      <c r="J277" s="15">
        <v>3</v>
      </c>
      <c r="K277" s="15">
        <v>2016</v>
      </c>
      <c r="L277" s="15" t="str">
        <f>"228.53"</f>
        <v>228.53</v>
      </c>
      <c r="M277" s="15"/>
      <c r="N277" s="15"/>
      <c r="O277" s="15"/>
      <c r="P277" s="15"/>
      <c r="Q277" s="15"/>
      <c r="R277" s="15"/>
      <c r="S277" s="15" t="str">
        <f>"176.01"</f>
        <v>176.01</v>
      </c>
      <c r="T277" s="15" t="str">
        <f>"182.23"</f>
        <v>182.23</v>
      </c>
      <c r="U277" s="15"/>
      <c r="V277" s="15"/>
      <c r="W277" s="15"/>
      <c r="X277" s="15" t="str">
        <f>"182.67"</f>
        <v>182.67</v>
      </c>
      <c r="Y277" s="15" t="str">
        <f>"223.85"</f>
        <v>223.85</v>
      </c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</row>
    <row r="278" spans="1:35">
      <c r="A278" s="14">
        <v>276</v>
      </c>
      <c r="B278" s="14">
        <v>5722</v>
      </c>
      <c r="C278" s="14" t="s">
        <v>395</v>
      </c>
      <c r="D278" s="14" t="s">
        <v>58</v>
      </c>
      <c r="E278" s="15" t="str">
        <f>"179.65"</f>
        <v>179.65</v>
      </c>
      <c r="F278" s="15"/>
      <c r="G278" s="16" t="str">
        <f>"179.65"</f>
        <v>179.65</v>
      </c>
      <c r="H278" s="17">
        <f t="shared" si="4"/>
        <v>171.65</v>
      </c>
      <c r="I278" s="18"/>
      <c r="J278" s="15">
        <v>3</v>
      </c>
      <c r="K278" s="15">
        <v>2016</v>
      </c>
      <c r="L278" s="15" t="str">
        <f>"192.21"</f>
        <v>192.21</v>
      </c>
      <c r="M278" s="15"/>
      <c r="N278" s="15"/>
      <c r="O278" s="15"/>
      <c r="P278" s="15"/>
      <c r="Q278" s="15"/>
      <c r="R278" s="15"/>
      <c r="S278" s="15"/>
      <c r="T278" s="15"/>
      <c r="U278" s="15" t="str">
        <f>"333.06"</f>
        <v>333.06</v>
      </c>
      <c r="V278" s="15"/>
      <c r="W278" s="15"/>
      <c r="X278" s="15"/>
      <c r="Y278" s="15"/>
      <c r="Z278" s="15" t="str">
        <f>"177.06"</f>
        <v>177.06</v>
      </c>
      <c r="AA278" s="15"/>
      <c r="AB278" s="15"/>
      <c r="AC278" s="15"/>
      <c r="AD278" s="15"/>
      <c r="AE278" s="15"/>
      <c r="AF278" s="15" t="str">
        <f>"182.23"</f>
        <v>182.23</v>
      </c>
      <c r="AG278" s="15"/>
      <c r="AH278" s="15"/>
      <c r="AI278" s="15"/>
    </row>
    <row r="279" spans="1:35">
      <c r="A279" s="14">
        <v>277</v>
      </c>
      <c r="B279" s="14">
        <v>11085</v>
      </c>
      <c r="C279" s="14" t="s">
        <v>396</v>
      </c>
      <c r="D279" s="14" t="s">
        <v>397</v>
      </c>
      <c r="E279" s="15" t="str">
        <f>"179.90"</f>
        <v>179.90</v>
      </c>
      <c r="F279" s="15"/>
      <c r="G279" s="16" t="str">
        <f>"179.90"</f>
        <v>179.90</v>
      </c>
      <c r="H279" s="17">
        <f t="shared" si="4"/>
        <v>171.9</v>
      </c>
      <c r="I279" s="18" t="s">
        <v>43</v>
      </c>
      <c r="J279" s="15">
        <v>4</v>
      </c>
      <c r="K279" s="15">
        <v>2016</v>
      </c>
      <c r="L279" s="15"/>
      <c r="M279" s="15"/>
      <c r="N279" s="15"/>
      <c r="O279" s="15"/>
      <c r="P279" s="15"/>
      <c r="Q279" s="15" t="str">
        <f>"151.90"</f>
        <v>151.90</v>
      </c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</row>
    <row r="280" spans="1:35">
      <c r="A280" s="14">
        <v>278</v>
      </c>
      <c r="B280" s="14">
        <v>9134</v>
      </c>
      <c r="C280" s="14" t="s">
        <v>398</v>
      </c>
      <c r="D280" s="14" t="s">
        <v>174</v>
      </c>
      <c r="E280" s="15" t="str">
        <f>"180.48"</f>
        <v>180.48</v>
      </c>
      <c r="F280" s="15"/>
      <c r="G280" s="16" t="str">
        <f>"180.48"</f>
        <v>180.48</v>
      </c>
      <c r="H280" s="17">
        <f t="shared" si="4"/>
        <v>172.48</v>
      </c>
      <c r="I280" s="18"/>
      <c r="J280" s="15">
        <v>3</v>
      </c>
      <c r="K280" s="15">
        <v>2016</v>
      </c>
      <c r="L280" s="15" t="str">
        <f>"307.14"</f>
        <v>307.14</v>
      </c>
      <c r="M280" s="15"/>
      <c r="N280" s="15"/>
      <c r="O280" s="15"/>
      <c r="P280" s="15"/>
      <c r="Q280" s="15" t="str">
        <f>"155.71"</f>
        <v>155.71</v>
      </c>
      <c r="R280" s="15"/>
      <c r="S280" s="15"/>
      <c r="T280" s="15"/>
      <c r="U280" s="15"/>
      <c r="V280" s="15" t="str">
        <f>"211.70"</f>
        <v>211.70</v>
      </c>
      <c r="W280" s="15"/>
      <c r="X280" s="15"/>
      <c r="Y280" s="15"/>
      <c r="Z280" s="15"/>
      <c r="AA280" s="15" t="str">
        <f>"216.93"</f>
        <v>216.93</v>
      </c>
      <c r="AB280" s="15"/>
      <c r="AC280" s="15" t="str">
        <f>"205.25"</f>
        <v>205.25</v>
      </c>
      <c r="AD280" s="15"/>
      <c r="AE280" s="15"/>
      <c r="AF280" s="15"/>
      <c r="AG280" s="15"/>
      <c r="AH280" s="15"/>
      <c r="AI280" s="15"/>
    </row>
    <row r="281" spans="1:35">
      <c r="A281" s="14">
        <v>279</v>
      </c>
      <c r="B281" s="14">
        <v>5871</v>
      </c>
      <c r="C281" s="14" t="s">
        <v>399</v>
      </c>
      <c r="D281" s="14" t="s">
        <v>400</v>
      </c>
      <c r="E281" s="15" t="str">
        <f>"180.71"</f>
        <v>180.71</v>
      </c>
      <c r="F281" s="15"/>
      <c r="G281" s="16" t="str">
        <f>"180.71"</f>
        <v>180.71</v>
      </c>
      <c r="H281" s="17">
        <f t="shared" si="4"/>
        <v>172.71</v>
      </c>
      <c r="I281" s="18"/>
      <c r="J281" s="15">
        <v>3</v>
      </c>
      <c r="K281" s="15">
        <v>2016</v>
      </c>
      <c r="L281" s="15" t="str">
        <f>"185.51"</f>
        <v>185.51</v>
      </c>
      <c r="M281" s="15"/>
      <c r="N281" s="15"/>
      <c r="O281" s="15"/>
      <c r="P281" s="15"/>
      <c r="Q281" s="15"/>
      <c r="R281" s="15"/>
      <c r="S281" s="15"/>
      <c r="T281" s="15"/>
      <c r="U281" s="15"/>
      <c r="V281" s="15" t="str">
        <f>"177.86"</f>
        <v>177.86</v>
      </c>
      <c r="W281" s="15"/>
      <c r="X281" s="15"/>
      <c r="Y281" s="15"/>
      <c r="Z281" s="15" t="str">
        <f>"183.56"</f>
        <v>183.56</v>
      </c>
      <c r="AA281" s="15"/>
      <c r="AB281" s="15"/>
      <c r="AC281" s="15"/>
      <c r="AD281" s="15"/>
      <c r="AE281" s="15"/>
      <c r="AF281" s="15"/>
      <c r="AG281" s="15"/>
      <c r="AH281" s="15"/>
      <c r="AI281" s="15"/>
    </row>
    <row r="282" spans="1:35">
      <c r="A282" s="14">
        <v>280</v>
      </c>
      <c r="B282" s="14">
        <v>8362</v>
      </c>
      <c r="C282" s="14" t="s">
        <v>401</v>
      </c>
      <c r="D282" s="14" t="s">
        <v>58</v>
      </c>
      <c r="E282" s="15" t="str">
        <f>"130.12"</f>
        <v>130.12</v>
      </c>
      <c r="F282" s="15"/>
      <c r="G282" s="16" t="str">
        <f>"181.02"</f>
        <v>181.02</v>
      </c>
      <c r="H282" s="17">
        <f t="shared" si="4"/>
        <v>173.02</v>
      </c>
      <c r="I282" s="18"/>
      <c r="J282" s="15">
        <v>3</v>
      </c>
      <c r="K282" s="15">
        <v>2016</v>
      </c>
      <c r="L282" s="15" t="str">
        <f>"130.12"</f>
        <v>130.12</v>
      </c>
      <c r="M282" s="15"/>
      <c r="N282" s="15" t="str">
        <f>"152.33"</f>
        <v>152.33</v>
      </c>
      <c r="O282" s="15"/>
      <c r="P282" s="15"/>
      <c r="Q282" s="15"/>
      <c r="R282" s="15"/>
      <c r="S282" s="15"/>
      <c r="T282" s="15"/>
      <c r="U282" s="15" t="str">
        <f>"209.70"</f>
        <v>209.70</v>
      </c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</row>
    <row r="283" spans="1:35">
      <c r="A283" s="14">
        <v>281</v>
      </c>
      <c r="B283" s="14">
        <v>5292</v>
      </c>
      <c r="C283" s="14" t="s">
        <v>402</v>
      </c>
      <c r="D283" s="14" t="s">
        <v>403</v>
      </c>
      <c r="E283" s="15" t="str">
        <f>"175.58"</f>
        <v>175.58</v>
      </c>
      <c r="F283" s="15"/>
      <c r="G283" s="16" t="str">
        <f>"181.04"</f>
        <v>181.04</v>
      </c>
      <c r="H283" s="17">
        <f t="shared" si="4"/>
        <v>173.04</v>
      </c>
      <c r="I283" s="18"/>
      <c r="J283" s="15">
        <v>3</v>
      </c>
      <c r="K283" s="15">
        <v>2016</v>
      </c>
      <c r="L283" s="15" t="str">
        <f>"175.58"</f>
        <v>175.58</v>
      </c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 t="str">
        <f>"181.02"</f>
        <v>181.02</v>
      </c>
      <c r="X283" s="15"/>
      <c r="Y283" s="15"/>
      <c r="Z283" s="15"/>
      <c r="AA283" s="15"/>
      <c r="AB283" s="15"/>
      <c r="AC283" s="15"/>
      <c r="AD283" s="15"/>
      <c r="AE283" s="15" t="str">
        <f>"181.05"</f>
        <v>181.05</v>
      </c>
      <c r="AF283" s="15"/>
      <c r="AG283" s="15"/>
      <c r="AH283" s="15"/>
      <c r="AI283" s="15"/>
    </row>
    <row r="284" spans="1:35">
      <c r="A284" s="14">
        <v>282</v>
      </c>
      <c r="B284" s="14">
        <v>2540</v>
      </c>
      <c r="C284" s="14" t="s">
        <v>404</v>
      </c>
      <c r="D284" s="14" t="s">
        <v>189</v>
      </c>
      <c r="E284" s="15" t="str">
        <f>"153.06"</f>
        <v>153.06</v>
      </c>
      <c r="F284" s="15"/>
      <c r="G284" s="16" t="str">
        <f>"181.06"</f>
        <v>181.06</v>
      </c>
      <c r="H284" s="17">
        <f t="shared" si="4"/>
        <v>173.06</v>
      </c>
      <c r="I284" s="18" t="s">
        <v>40</v>
      </c>
      <c r="J284" s="15">
        <v>1</v>
      </c>
      <c r="K284" s="15">
        <v>2016</v>
      </c>
      <c r="L284" s="15" t="str">
        <f>"153.06"</f>
        <v>153.06</v>
      </c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</row>
    <row r="285" spans="1:35">
      <c r="A285" s="14">
        <v>283</v>
      </c>
      <c r="B285" s="14">
        <v>6595</v>
      </c>
      <c r="C285" s="14" t="s">
        <v>405</v>
      </c>
      <c r="D285" s="14" t="s">
        <v>187</v>
      </c>
      <c r="E285" s="15" t="str">
        <f>"153.45"</f>
        <v>153.45</v>
      </c>
      <c r="F285" s="15"/>
      <c r="G285" s="16" t="str">
        <f>"181.45"</f>
        <v>181.45</v>
      </c>
      <c r="H285" s="17">
        <f t="shared" si="4"/>
        <v>173.45</v>
      </c>
      <c r="I285" s="18" t="s">
        <v>40</v>
      </c>
      <c r="J285" s="15">
        <v>1</v>
      </c>
      <c r="K285" s="15">
        <v>2016</v>
      </c>
      <c r="L285" s="15" t="str">
        <f>"153.45"</f>
        <v>153.45</v>
      </c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</row>
    <row r="286" spans="1:35">
      <c r="A286" s="14">
        <v>284</v>
      </c>
      <c r="B286" s="14">
        <v>6971</v>
      </c>
      <c r="C286" s="14" t="s">
        <v>406</v>
      </c>
      <c r="D286" s="14" t="s">
        <v>168</v>
      </c>
      <c r="E286" s="15" t="str">
        <f>"124.10"</f>
        <v>124.10</v>
      </c>
      <c r="F286" s="15"/>
      <c r="G286" s="16" t="str">
        <f>"181.49"</f>
        <v>181.49</v>
      </c>
      <c r="H286" s="17">
        <f t="shared" si="4"/>
        <v>173.49</v>
      </c>
      <c r="I286" s="18"/>
      <c r="J286" s="15">
        <v>3</v>
      </c>
      <c r="K286" s="15">
        <v>2016</v>
      </c>
      <c r="L286" s="15" t="str">
        <f>"124.10"</f>
        <v>124.10</v>
      </c>
      <c r="M286" s="15"/>
      <c r="N286" s="15"/>
      <c r="O286" s="15"/>
      <c r="P286" s="15"/>
      <c r="Q286" s="15"/>
      <c r="R286" s="15"/>
      <c r="S286" s="15"/>
      <c r="T286" s="15"/>
      <c r="U286" s="15"/>
      <c r="V286" s="15" t="str">
        <f>"282.17"</f>
        <v>282.17</v>
      </c>
      <c r="W286" s="15"/>
      <c r="X286" s="15"/>
      <c r="Y286" s="15"/>
      <c r="Z286" s="15"/>
      <c r="AA286" s="15"/>
      <c r="AB286" s="15" t="str">
        <f>"133.57"</f>
        <v>133.57</v>
      </c>
      <c r="AC286" s="15"/>
      <c r="AD286" s="15" t="str">
        <f>"229.40"</f>
        <v>229.40</v>
      </c>
      <c r="AE286" s="15"/>
      <c r="AF286" s="15"/>
      <c r="AG286" s="15"/>
      <c r="AH286" s="15"/>
      <c r="AI286" s="15"/>
    </row>
    <row r="287" spans="1:35">
      <c r="A287" s="14">
        <v>285</v>
      </c>
      <c r="B287" s="14">
        <v>6370</v>
      </c>
      <c r="C287" s="14" t="s">
        <v>407</v>
      </c>
      <c r="D287" s="14" t="s">
        <v>379</v>
      </c>
      <c r="E287" s="15" t="str">
        <f>"120.54"</f>
        <v>120.54</v>
      </c>
      <c r="F287" s="15"/>
      <c r="G287" s="16" t="str">
        <f>"182.05"</f>
        <v>182.05</v>
      </c>
      <c r="H287" s="17">
        <f t="shared" si="4"/>
        <v>174.05</v>
      </c>
      <c r="I287" s="18" t="s">
        <v>43</v>
      </c>
      <c r="J287" s="15">
        <v>2</v>
      </c>
      <c r="K287" s="15">
        <v>2016</v>
      </c>
      <c r="L287" s="15" t="str">
        <f>"120.54"</f>
        <v>120.54</v>
      </c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 t="str">
        <f>"154.05"</f>
        <v>154.05</v>
      </c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</row>
    <row r="288" spans="1:35">
      <c r="A288" s="14">
        <v>286</v>
      </c>
      <c r="B288" s="14">
        <v>1707</v>
      </c>
      <c r="C288" s="14" t="s">
        <v>408</v>
      </c>
      <c r="D288" s="14" t="s">
        <v>51</v>
      </c>
      <c r="E288" s="15" t="str">
        <f>"154.15"</f>
        <v>154.15</v>
      </c>
      <c r="F288" s="15"/>
      <c r="G288" s="16" t="str">
        <f>"182.15"</f>
        <v>182.15</v>
      </c>
      <c r="H288" s="17">
        <f t="shared" si="4"/>
        <v>174.15</v>
      </c>
      <c r="I288" s="18" t="s">
        <v>40</v>
      </c>
      <c r="J288" s="15">
        <v>1</v>
      </c>
      <c r="K288" s="15">
        <v>2016</v>
      </c>
      <c r="L288" s="15" t="str">
        <f>"154.15"</f>
        <v>154.15</v>
      </c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</row>
    <row r="289" spans="1:35">
      <c r="A289" s="14">
        <v>287</v>
      </c>
      <c r="B289" s="14">
        <v>5353</v>
      </c>
      <c r="C289" s="14" t="s">
        <v>409</v>
      </c>
      <c r="D289" s="14" t="s">
        <v>45</v>
      </c>
      <c r="E289" s="15" t="str">
        <f>"182.18"</f>
        <v>182.18</v>
      </c>
      <c r="F289" s="15"/>
      <c r="G289" s="16" t="str">
        <f>"182.18"</f>
        <v>182.18</v>
      </c>
      <c r="H289" s="17">
        <f t="shared" si="4"/>
        <v>174.18</v>
      </c>
      <c r="I289" s="18"/>
      <c r="J289" s="15">
        <v>3</v>
      </c>
      <c r="K289" s="15">
        <v>2016</v>
      </c>
      <c r="L289" s="15" t="str">
        <f>"252.98"</f>
        <v>252.98</v>
      </c>
      <c r="M289" s="15" t="str">
        <f>"207.63"</f>
        <v>207.63</v>
      </c>
      <c r="N289" s="15"/>
      <c r="O289" s="15" t="str">
        <f>"156.73"</f>
        <v>156.73</v>
      </c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</row>
    <row r="290" spans="1:35">
      <c r="A290" s="14">
        <v>288</v>
      </c>
      <c r="B290" s="14">
        <v>7854</v>
      </c>
      <c r="C290" s="14" t="s">
        <v>410</v>
      </c>
      <c r="D290" s="14" t="s">
        <v>58</v>
      </c>
      <c r="E290" s="15" t="str">
        <f>"159.69"</f>
        <v>159.69</v>
      </c>
      <c r="F290" s="15"/>
      <c r="G290" s="16" t="str">
        <f>"182.72"</f>
        <v>182.72</v>
      </c>
      <c r="H290" s="17">
        <f t="shared" si="4"/>
        <v>174.72</v>
      </c>
      <c r="I290" s="18"/>
      <c r="J290" s="15">
        <v>3</v>
      </c>
      <c r="K290" s="15">
        <v>2016</v>
      </c>
      <c r="L290" s="15" t="str">
        <f>"161.57"</f>
        <v>161.57</v>
      </c>
      <c r="M290" s="15"/>
      <c r="N290" s="15" t="str">
        <f>"157.81"</f>
        <v>157.81</v>
      </c>
      <c r="O290" s="15"/>
      <c r="P290" s="15" t="str">
        <f>"207.63"</f>
        <v>207.63</v>
      </c>
      <c r="Q290" s="15"/>
      <c r="R290" s="15"/>
      <c r="S290" s="15"/>
      <c r="T290" s="15"/>
      <c r="U290" s="15" t="str">
        <f>"1626.02"</f>
        <v>1626.02</v>
      </c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</row>
    <row r="291" spans="1:35">
      <c r="A291" s="14">
        <v>289</v>
      </c>
      <c r="B291" s="14">
        <v>1428</v>
      </c>
      <c r="C291" s="14" t="s">
        <v>411</v>
      </c>
      <c r="D291" s="14" t="s">
        <v>412</v>
      </c>
      <c r="E291" s="15" t="str">
        <f>"155.29"</f>
        <v>155.29</v>
      </c>
      <c r="F291" s="15"/>
      <c r="G291" s="16" t="str">
        <f>"183.29"</f>
        <v>183.29</v>
      </c>
      <c r="H291" s="17">
        <f t="shared" si="4"/>
        <v>175.29</v>
      </c>
      <c r="I291" s="18" t="s">
        <v>40</v>
      </c>
      <c r="J291" s="15">
        <v>1</v>
      </c>
      <c r="K291" s="15">
        <v>2016</v>
      </c>
      <c r="L291" s="15" t="str">
        <f>"155.29"</f>
        <v>155.29</v>
      </c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</row>
    <row r="292" spans="1:35">
      <c r="A292" s="14">
        <v>290</v>
      </c>
      <c r="B292" s="14">
        <v>4409</v>
      </c>
      <c r="C292" s="14" t="s">
        <v>413</v>
      </c>
      <c r="D292" s="14" t="s">
        <v>45</v>
      </c>
      <c r="E292" s="15" t="str">
        <f>"155.53"</f>
        <v>155.53</v>
      </c>
      <c r="F292" s="15"/>
      <c r="G292" s="16" t="str">
        <f>"183.53"</f>
        <v>183.53</v>
      </c>
      <c r="H292" s="17">
        <f t="shared" si="4"/>
        <v>175.53</v>
      </c>
      <c r="I292" s="18" t="s">
        <v>40</v>
      </c>
      <c r="J292" s="15">
        <v>1</v>
      </c>
      <c r="K292" s="15">
        <v>2016</v>
      </c>
      <c r="L292" s="15" t="str">
        <f>"155.53"</f>
        <v>155.53</v>
      </c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</row>
    <row r="293" spans="1:35">
      <c r="A293" s="14">
        <v>291</v>
      </c>
      <c r="B293" s="14">
        <v>2450</v>
      </c>
      <c r="C293" s="14" t="s">
        <v>414</v>
      </c>
      <c r="D293" s="14" t="s">
        <v>390</v>
      </c>
      <c r="E293" s="15" t="str">
        <f>"155.61"</f>
        <v>155.61</v>
      </c>
      <c r="F293" s="15"/>
      <c r="G293" s="16" t="str">
        <f>"183.61"</f>
        <v>183.61</v>
      </c>
      <c r="H293" s="17">
        <f t="shared" si="4"/>
        <v>175.61</v>
      </c>
      <c r="I293" s="18" t="s">
        <v>40</v>
      </c>
      <c r="J293" s="15">
        <v>1</v>
      </c>
      <c r="K293" s="15">
        <v>2016</v>
      </c>
      <c r="L293" s="15" t="str">
        <f>"155.61"</f>
        <v>155.61</v>
      </c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</row>
    <row r="294" spans="1:35">
      <c r="A294" s="14">
        <v>292</v>
      </c>
      <c r="B294" s="14">
        <v>756</v>
      </c>
      <c r="C294" s="14" t="s">
        <v>415</v>
      </c>
      <c r="D294" s="14" t="s">
        <v>189</v>
      </c>
      <c r="E294" s="15" t="str">
        <f>"156.37"</f>
        <v>156.37</v>
      </c>
      <c r="F294" s="15"/>
      <c r="G294" s="16" t="str">
        <f>"184.37"</f>
        <v>184.37</v>
      </c>
      <c r="H294" s="17">
        <f t="shared" si="4"/>
        <v>176.37</v>
      </c>
      <c r="I294" s="18" t="s">
        <v>40</v>
      </c>
      <c r="J294" s="15">
        <v>1</v>
      </c>
      <c r="K294" s="15">
        <v>2016</v>
      </c>
      <c r="L294" s="15" t="str">
        <f>"156.37"</f>
        <v>156.37</v>
      </c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</row>
    <row r="295" spans="1:35">
      <c r="A295" s="14">
        <v>293</v>
      </c>
      <c r="B295" s="14">
        <v>10499</v>
      </c>
      <c r="C295" s="14" t="s">
        <v>416</v>
      </c>
      <c r="D295" s="14" t="s">
        <v>58</v>
      </c>
      <c r="E295" s="15" t="str">
        <f>"184.38"</f>
        <v>184.38</v>
      </c>
      <c r="F295" s="15"/>
      <c r="G295" s="16" t="str">
        <f>"184.38"</f>
        <v>184.38</v>
      </c>
      <c r="H295" s="17">
        <f t="shared" si="4"/>
        <v>176.38</v>
      </c>
      <c r="I295" s="18"/>
      <c r="J295" s="15">
        <v>5</v>
      </c>
      <c r="K295" s="15">
        <v>2016</v>
      </c>
      <c r="L295" s="15"/>
      <c r="M295" s="15"/>
      <c r="N295" s="15"/>
      <c r="O295" s="15"/>
      <c r="P295" s="15" t="str">
        <f>"236.50"</f>
        <v>236.50</v>
      </c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 t="str">
        <f>"184.42"</f>
        <v>184.42</v>
      </c>
      <c r="AH295" s="15" t="str">
        <f>"184.34"</f>
        <v>184.34</v>
      </c>
      <c r="AI295" s="15"/>
    </row>
    <row r="296" spans="1:35">
      <c r="A296" s="14">
        <v>294</v>
      </c>
      <c r="B296" s="14">
        <v>1405</v>
      </c>
      <c r="C296" s="14" t="s">
        <v>417</v>
      </c>
      <c r="D296" s="14" t="s">
        <v>230</v>
      </c>
      <c r="E296" s="15" t="str">
        <f>"157.07"</f>
        <v>157.07</v>
      </c>
      <c r="F296" s="15"/>
      <c r="G296" s="16" t="str">
        <f>"185.07"</f>
        <v>185.07</v>
      </c>
      <c r="H296" s="17">
        <f t="shared" si="4"/>
        <v>177.07</v>
      </c>
      <c r="I296" s="18" t="s">
        <v>40</v>
      </c>
      <c r="J296" s="15">
        <v>1</v>
      </c>
      <c r="K296" s="15">
        <v>2016</v>
      </c>
      <c r="L296" s="15" t="str">
        <f>"157.07"</f>
        <v>157.07</v>
      </c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</row>
    <row r="297" spans="1:35">
      <c r="A297" s="14">
        <v>295</v>
      </c>
      <c r="B297" s="14">
        <v>7633</v>
      </c>
      <c r="C297" s="14" t="s">
        <v>418</v>
      </c>
      <c r="D297" s="14" t="s">
        <v>419</v>
      </c>
      <c r="E297" s="15" t="str">
        <f>"157.16"</f>
        <v>157.16</v>
      </c>
      <c r="F297" s="15"/>
      <c r="G297" s="16" t="str">
        <f>"185.16"</f>
        <v>185.16</v>
      </c>
      <c r="H297" s="17">
        <f t="shared" si="4"/>
        <v>177.16</v>
      </c>
      <c r="I297" s="18" t="s">
        <v>40</v>
      </c>
      <c r="J297" s="15">
        <v>1</v>
      </c>
      <c r="K297" s="15">
        <v>2016</v>
      </c>
      <c r="L297" s="15" t="str">
        <f>"157.16"</f>
        <v>157.16</v>
      </c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</row>
    <row r="298" spans="1:35">
      <c r="A298" s="14">
        <v>296</v>
      </c>
      <c r="B298" s="14">
        <v>6314</v>
      </c>
      <c r="C298" s="14" t="s">
        <v>420</v>
      </c>
      <c r="D298" s="14" t="s">
        <v>421</v>
      </c>
      <c r="E298" s="15" t="str">
        <f>"171.91"</f>
        <v>171.91</v>
      </c>
      <c r="F298" s="15"/>
      <c r="G298" s="16" t="str">
        <f>"185.26"</f>
        <v>185.26</v>
      </c>
      <c r="H298" s="17">
        <f t="shared" si="4"/>
        <v>177.26</v>
      </c>
      <c r="I298" s="18"/>
      <c r="J298" s="15">
        <v>3</v>
      </c>
      <c r="K298" s="15">
        <v>2016</v>
      </c>
      <c r="L298" s="15" t="str">
        <f>"171.91"</f>
        <v>171.91</v>
      </c>
      <c r="M298" s="15"/>
      <c r="N298" s="15"/>
      <c r="O298" s="15"/>
      <c r="P298" s="15"/>
      <c r="Q298" s="15" t="str">
        <f>"187.78"</f>
        <v>187.78</v>
      </c>
      <c r="R298" s="15"/>
      <c r="S298" s="15"/>
      <c r="T298" s="15"/>
      <c r="U298" s="15"/>
      <c r="V298" s="15"/>
      <c r="W298" s="15"/>
      <c r="X298" s="15"/>
      <c r="Y298" s="15"/>
      <c r="Z298" s="15" t="str">
        <f>"182.73"</f>
        <v>182.73</v>
      </c>
      <c r="AA298" s="15"/>
      <c r="AB298" s="15"/>
      <c r="AC298" s="15"/>
      <c r="AD298" s="15"/>
      <c r="AE298" s="15"/>
      <c r="AF298" s="15"/>
      <c r="AG298" s="15"/>
      <c r="AH298" s="15"/>
      <c r="AI298" s="15"/>
    </row>
    <row r="299" spans="1:35">
      <c r="A299" s="14">
        <v>297</v>
      </c>
      <c r="B299" s="14">
        <v>2718</v>
      </c>
      <c r="C299" s="14" t="s">
        <v>422</v>
      </c>
      <c r="D299" s="14" t="s">
        <v>119</v>
      </c>
      <c r="E299" s="15" t="str">
        <f>"186.28"</f>
        <v>186.28</v>
      </c>
      <c r="F299" s="15"/>
      <c r="G299" s="16" t="str">
        <f>"186.28"</f>
        <v>186.28</v>
      </c>
      <c r="H299" s="17">
        <f t="shared" si="4"/>
        <v>178.28</v>
      </c>
      <c r="I299" s="18" t="s">
        <v>43</v>
      </c>
      <c r="J299" s="15">
        <v>4</v>
      </c>
      <c r="K299" s="15">
        <v>2016</v>
      </c>
      <c r="L299" s="15"/>
      <c r="M299" s="15"/>
      <c r="N299" s="15"/>
      <c r="O299" s="15"/>
      <c r="P299" s="15"/>
      <c r="Q299" s="15" t="str">
        <f>"158.28"</f>
        <v>158.28</v>
      </c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</row>
    <row r="300" spans="1:35">
      <c r="A300" s="14">
        <v>298</v>
      </c>
      <c r="B300" s="14">
        <v>3347</v>
      </c>
      <c r="C300" s="14" t="s">
        <v>423</v>
      </c>
      <c r="D300" s="14" t="s">
        <v>211</v>
      </c>
      <c r="E300" s="15" t="str">
        <f>"158.43"</f>
        <v>158.43</v>
      </c>
      <c r="F300" s="15"/>
      <c r="G300" s="16" t="str">
        <f>"186.43"</f>
        <v>186.43</v>
      </c>
      <c r="H300" s="17">
        <f t="shared" si="4"/>
        <v>178.43</v>
      </c>
      <c r="I300" s="18" t="s">
        <v>40</v>
      </c>
      <c r="J300" s="15">
        <v>1</v>
      </c>
      <c r="K300" s="15">
        <v>2016</v>
      </c>
      <c r="L300" s="15" t="str">
        <f>"158.43"</f>
        <v>158.43</v>
      </c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</row>
    <row r="301" spans="1:35">
      <c r="A301" s="14">
        <v>299</v>
      </c>
      <c r="B301" s="14">
        <v>2335</v>
      </c>
      <c r="C301" s="14" t="s">
        <v>424</v>
      </c>
      <c r="D301" s="14" t="s">
        <v>425</v>
      </c>
      <c r="E301" s="15" t="str">
        <f>"144.12"</f>
        <v>144.12</v>
      </c>
      <c r="F301" s="15"/>
      <c r="G301" s="16" t="str">
        <f>"186.45"</f>
        <v>186.45</v>
      </c>
      <c r="H301" s="17">
        <f t="shared" si="4"/>
        <v>178.45</v>
      </c>
      <c r="I301" s="18" t="s">
        <v>43</v>
      </c>
      <c r="J301" s="15">
        <v>2</v>
      </c>
      <c r="K301" s="15">
        <v>2016</v>
      </c>
      <c r="L301" s="15" t="str">
        <f>"144.12"</f>
        <v>144.12</v>
      </c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 t="str">
        <f>"158.45"</f>
        <v>158.45</v>
      </c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</row>
    <row r="302" spans="1:35">
      <c r="A302" s="14">
        <v>300</v>
      </c>
      <c r="B302" s="14">
        <v>6864</v>
      </c>
      <c r="C302" s="14" t="s">
        <v>426</v>
      </c>
      <c r="D302" s="14" t="s">
        <v>119</v>
      </c>
      <c r="E302" s="15" t="str">
        <f>"167.60"</f>
        <v>167.60</v>
      </c>
      <c r="F302" s="15"/>
      <c r="G302" s="16" t="str">
        <f>"186.48"</f>
        <v>186.48</v>
      </c>
      <c r="H302" s="17">
        <f t="shared" si="4"/>
        <v>178.48</v>
      </c>
      <c r="I302" s="18" t="s">
        <v>43</v>
      </c>
      <c r="J302" s="15">
        <v>2</v>
      </c>
      <c r="K302" s="15">
        <v>2016</v>
      </c>
      <c r="L302" s="15" t="str">
        <f>"176.71"</f>
        <v>176.71</v>
      </c>
      <c r="M302" s="15" t="str">
        <f>"158.48"</f>
        <v>158.48</v>
      </c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</row>
    <row r="303" spans="1:35">
      <c r="A303" s="14">
        <v>301</v>
      </c>
      <c r="B303" s="14">
        <v>2188</v>
      </c>
      <c r="C303" s="14" t="s">
        <v>427</v>
      </c>
      <c r="D303" s="14" t="s">
        <v>428</v>
      </c>
      <c r="E303" s="15" t="str">
        <f>"173.24"</f>
        <v>173.24</v>
      </c>
      <c r="F303" s="15"/>
      <c r="G303" s="16">
        <v>187.24</v>
      </c>
      <c r="H303" s="17">
        <f t="shared" si="4"/>
        <v>179.24</v>
      </c>
      <c r="I303" s="18" t="s">
        <v>67</v>
      </c>
      <c r="J303" s="15">
        <v>1</v>
      </c>
      <c r="K303" s="15">
        <v>2016</v>
      </c>
      <c r="L303" s="15" t="str">
        <f>"173.24"</f>
        <v>173.24</v>
      </c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</row>
    <row r="304" spans="1:35">
      <c r="A304" s="14">
        <v>302</v>
      </c>
      <c r="B304" s="14">
        <v>8495</v>
      </c>
      <c r="C304" s="14" t="s">
        <v>429</v>
      </c>
      <c r="D304" s="14" t="s">
        <v>51</v>
      </c>
      <c r="E304" s="15" t="str">
        <f>"187.45"</f>
        <v>187.45</v>
      </c>
      <c r="F304" s="15"/>
      <c r="G304" s="16" t="str">
        <f>"187.45"</f>
        <v>187.45</v>
      </c>
      <c r="H304" s="17">
        <f t="shared" si="4"/>
        <v>179.45</v>
      </c>
      <c r="I304" s="18"/>
      <c r="J304" s="15">
        <v>3</v>
      </c>
      <c r="K304" s="15">
        <v>2016</v>
      </c>
      <c r="L304" s="15" t="str">
        <f>"219.25"</f>
        <v>219.25</v>
      </c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 t="str">
        <f>"176.95"</f>
        <v>176.95</v>
      </c>
      <c r="Y304" s="15" t="str">
        <f>"265.29"</f>
        <v>265.29</v>
      </c>
      <c r="Z304" s="15"/>
      <c r="AA304" s="15"/>
      <c r="AB304" s="15"/>
      <c r="AC304" s="15"/>
      <c r="AD304" s="15"/>
      <c r="AE304" s="15"/>
      <c r="AF304" s="15"/>
      <c r="AG304" s="15" t="str">
        <f>"197.94"</f>
        <v>197.94</v>
      </c>
      <c r="AH304" s="15"/>
      <c r="AI304" s="15"/>
    </row>
    <row r="305" spans="1:35">
      <c r="A305" s="14">
        <v>303</v>
      </c>
      <c r="B305" s="14">
        <v>6180</v>
      </c>
      <c r="C305" s="14" t="s">
        <v>430</v>
      </c>
      <c r="D305" s="14" t="s">
        <v>74</v>
      </c>
      <c r="E305" s="15" t="str">
        <f>"159.65"</f>
        <v>159.65</v>
      </c>
      <c r="F305" s="15"/>
      <c r="G305" s="16" t="str">
        <f>"187.65"</f>
        <v>187.65</v>
      </c>
      <c r="H305" s="17">
        <f t="shared" si="4"/>
        <v>179.65</v>
      </c>
      <c r="I305" s="18" t="s">
        <v>40</v>
      </c>
      <c r="J305" s="15">
        <v>1</v>
      </c>
      <c r="K305" s="15">
        <v>2016</v>
      </c>
      <c r="L305" s="15" t="str">
        <f>"159.65"</f>
        <v>159.65</v>
      </c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</row>
    <row r="306" spans="1:35">
      <c r="A306" s="14">
        <v>304</v>
      </c>
      <c r="B306" s="14">
        <v>8215</v>
      </c>
      <c r="C306" s="14" t="s">
        <v>431</v>
      </c>
      <c r="D306" s="14" t="s">
        <v>192</v>
      </c>
      <c r="E306" s="15" t="str">
        <f>"160.20"</f>
        <v>160.20</v>
      </c>
      <c r="F306" s="15"/>
      <c r="G306" s="16" t="str">
        <f>"188.20"</f>
        <v>188.20</v>
      </c>
      <c r="H306" s="17">
        <f t="shared" si="4"/>
        <v>180.2</v>
      </c>
      <c r="I306" s="18" t="s">
        <v>40</v>
      </c>
      <c r="J306" s="15">
        <v>1</v>
      </c>
      <c r="K306" s="15">
        <v>2016</v>
      </c>
      <c r="L306" s="15" t="str">
        <f>"160.20"</f>
        <v>160.20</v>
      </c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</row>
    <row r="307" spans="1:35">
      <c r="A307" s="14">
        <v>305</v>
      </c>
      <c r="B307" s="14">
        <v>1821</v>
      </c>
      <c r="C307" s="14" t="s">
        <v>432</v>
      </c>
      <c r="D307" s="14" t="s">
        <v>112</v>
      </c>
      <c r="E307" s="15" t="str">
        <f>"188.33"</f>
        <v>188.33</v>
      </c>
      <c r="F307" s="15"/>
      <c r="G307" s="16" t="str">
        <f>"188.33"</f>
        <v>188.33</v>
      </c>
      <c r="H307" s="17">
        <f t="shared" si="4"/>
        <v>180.33</v>
      </c>
      <c r="I307" s="18"/>
      <c r="J307" s="15">
        <v>3</v>
      </c>
      <c r="K307" s="15">
        <v>2016</v>
      </c>
      <c r="L307" s="15" t="str">
        <f>"218.23"</f>
        <v>218.23</v>
      </c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 t="str">
        <f>"207.61"</f>
        <v>207.61</v>
      </c>
      <c r="X307" s="15"/>
      <c r="Y307" s="15"/>
      <c r="Z307" s="15"/>
      <c r="AA307" s="15"/>
      <c r="AB307" s="15" t="str">
        <f>"169.05"</f>
        <v>169.05</v>
      </c>
      <c r="AC307" s="15"/>
      <c r="AD307" s="15"/>
      <c r="AE307" s="15" t="str">
        <f>"371.19"</f>
        <v>371.19</v>
      </c>
      <c r="AF307" s="15"/>
      <c r="AG307" s="15"/>
      <c r="AH307" s="15"/>
      <c r="AI307" s="15"/>
    </row>
    <row r="308" spans="1:35">
      <c r="A308" s="14">
        <v>306</v>
      </c>
      <c r="B308" s="14">
        <v>7046</v>
      </c>
      <c r="C308" s="14" t="s">
        <v>433</v>
      </c>
      <c r="D308" s="14" t="s">
        <v>434</v>
      </c>
      <c r="E308" s="15" t="str">
        <f>"160.80"</f>
        <v>160.80</v>
      </c>
      <c r="F308" s="15"/>
      <c r="G308" s="16" t="str">
        <f>"188.80"</f>
        <v>188.80</v>
      </c>
      <c r="H308" s="17">
        <f t="shared" si="4"/>
        <v>180.8</v>
      </c>
      <c r="I308" s="18" t="s">
        <v>40</v>
      </c>
      <c r="J308" s="15">
        <v>1</v>
      </c>
      <c r="K308" s="15">
        <v>2016</v>
      </c>
      <c r="L308" s="15" t="str">
        <f>"160.80"</f>
        <v>160.80</v>
      </c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</row>
    <row r="309" spans="1:35">
      <c r="A309" s="14">
        <v>307</v>
      </c>
      <c r="B309" s="14">
        <v>1079</v>
      </c>
      <c r="C309" s="14" t="s">
        <v>435</v>
      </c>
      <c r="D309" s="14" t="s">
        <v>88</v>
      </c>
      <c r="E309" s="15" t="str">
        <f>"127.67"</f>
        <v>127.67</v>
      </c>
      <c r="F309" s="15"/>
      <c r="G309" s="16" t="str">
        <f>"189.37"</f>
        <v>189.37</v>
      </c>
      <c r="H309" s="17">
        <f t="shared" si="4"/>
        <v>181.37</v>
      </c>
      <c r="I309" s="18" t="s">
        <v>43</v>
      </c>
      <c r="J309" s="15">
        <v>2</v>
      </c>
      <c r="K309" s="15">
        <v>2016</v>
      </c>
      <c r="L309" s="15" t="str">
        <f>"127.67"</f>
        <v>127.67</v>
      </c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 t="str">
        <f>"161.37"</f>
        <v>161.37</v>
      </c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</row>
    <row r="310" spans="1:35">
      <c r="A310" s="14">
        <v>308</v>
      </c>
      <c r="B310" s="14">
        <v>10205</v>
      </c>
      <c r="C310" s="14" t="s">
        <v>436</v>
      </c>
      <c r="D310" s="14" t="s">
        <v>58</v>
      </c>
      <c r="E310" s="15" t="str">
        <f>"189.57"</f>
        <v>189.57</v>
      </c>
      <c r="F310" s="15"/>
      <c r="G310" s="16" t="str">
        <f>"189.57"</f>
        <v>189.57</v>
      </c>
      <c r="H310" s="17">
        <f t="shared" si="4"/>
        <v>181.57</v>
      </c>
      <c r="I310" s="18"/>
      <c r="J310" s="15">
        <v>3</v>
      </c>
      <c r="K310" s="15">
        <v>2016</v>
      </c>
      <c r="L310" s="15" t="str">
        <f>"293.05"</f>
        <v>293.05</v>
      </c>
      <c r="M310" s="15"/>
      <c r="N310" s="15"/>
      <c r="O310" s="15"/>
      <c r="P310" s="15"/>
      <c r="Q310" s="15"/>
      <c r="R310" s="15"/>
      <c r="S310" s="15"/>
      <c r="T310" s="15"/>
      <c r="U310" s="15" t="str">
        <f>"365.54"</f>
        <v>365.54</v>
      </c>
      <c r="V310" s="15"/>
      <c r="W310" s="15"/>
      <c r="X310" s="15"/>
      <c r="Y310" s="15"/>
      <c r="Z310" s="15"/>
      <c r="AA310" s="15" t="str">
        <f>"206.19"</f>
        <v>206.19</v>
      </c>
      <c r="AB310" s="15"/>
      <c r="AC310" s="15" t="str">
        <f>"174.61"</f>
        <v>174.61</v>
      </c>
      <c r="AD310" s="15"/>
      <c r="AE310" s="15"/>
      <c r="AF310" s="15"/>
      <c r="AG310" s="15"/>
      <c r="AH310" s="15" t="str">
        <f>"204.53"</f>
        <v>204.53</v>
      </c>
      <c r="AI310" s="15"/>
    </row>
    <row r="311" spans="1:35">
      <c r="A311" s="14">
        <v>309</v>
      </c>
      <c r="B311" s="14">
        <v>1368</v>
      </c>
      <c r="C311" s="14" t="s">
        <v>437</v>
      </c>
      <c r="D311" s="14" t="s">
        <v>425</v>
      </c>
      <c r="E311" s="15" t="str">
        <f>"161.74"</f>
        <v>161.74</v>
      </c>
      <c r="F311" s="15"/>
      <c r="G311" s="16" t="str">
        <f>"189.74"</f>
        <v>189.74</v>
      </c>
      <c r="H311" s="17">
        <f t="shared" si="4"/>
        <v>181.74</v>
      </c>
      <c r="I311" s="18" t="s">
        <v>40</v>
      </c>
      <c r="J311" s="15">
        <v>1</v>
      </c>
      <c r="K311" s="15">
        <v>2016</v>
      </c>
      <c r="L311" s="15" t="str">
        <f>"161.74"</f>
        <v>161.74</v>
      </c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</row>
    <row r="312" spans="1:35">
      <c r="A312" s="14">
        <v>310</v>
      </c>
      <c r="B312" s="14">
        <v>5551</v>
      </c>
      <c r="C312" s="14" t="s">
        <v>438</v>
      </c>
      <c r="D312" s="14" t="s">
        <v>139</v>
      </c>
      <c r="E312" s="15" t="str">
        <f>"166.65"</f>
        <v>166.65</v>
      </c>
      <c r="F312" s="15"/>
      <c r="G312" s="16" t="str">
        <f>"189.85"</f>
        <v>189.85</v>
      </c>
      <c r="H312" s="17">
        <f t="shared" si="4"/>
        <v>181.85</v>
      </c>
      <c r="I312" s="18"/>
      <c r="J312" s="15">
        <v>3</v>
      </c>
      <c r="K312" s="15">
        <v>2016</v>
      </c>
      <c r="L312" s="15" t="str">
        <f>"166.65"</f>
        <v>166.65</v>
      </c>
      <c r="M312" s="15"/>
      <c r="N312" s="15"/>
      <c r="O312" s="15"/>
      <c r="P312" s="15"/>
      <c r="Q312" s="15" t="str">
        <f>"185.36"</f>
        <v>185.36</v>
      </c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 t="str">
        <f>"194.33"</f>
        <v>194.33</v>
      </c>
      <c r="AF312" s="15"/>
      <c r="AG312" s="15"/>
      <c r="AH312" s="15"/>
      <c r="AI312" s="15"/>
    </row>
    <row r="313" spans="1:35">
      <c r="A313" s="14">
        <v>311</v>
      </c>
      <c r="B313" s="14">
        <v>3010</v>
      </c>
      <c r="C313" s="14" t="s">
        <v>439</v>
      </c>
      <c r="D313" s="14" t="s">
        <v>79</v>
      </c>
      <c r="E313" s="15" t="str">
        <f>"173.39"</f>
        <v>173.39</v>
      </c>
      <c r="F313" s="15"/>
      <c r="G313" s="16" t="str">
        <f>"190.10"</f>
        <v>190.10</v>
      </c>
      <c r="H313" s="17">
        <f t="shared" si="4"/>
        <v>182.1</v>
      </c>
      <c r="I313" s="18"/>
      <c r="J313" s="15">
        <v>3</v>
      </c>
      <c r="K313" s="15">
        <v>2016</v>
      </c>
      <c r="L313" s="15" t="str">
        <f>"175.68"</f>
        <v>175.68</v>
      </c>
      <c r="M313" s="15"/>
      <c r="N313" s="15"/>
      <c r="O313" s="15"/>
      <c r="P313" s="15"/>
      <c r="Q313" s="15"/>
      <c r="R313" s="15" t="str">
        <f>"171.10"</f>
        <v>171.10</v>
      </c>
      <c r="S313" s="15"/>
      <c r="T313" s="15"/>
      <c r="U313" s="15"/>
      <c r="V313" s="15"/>
      <c r="W313" s="15" t="str">
        <f>"209.10"</f>
        <v>209.10</v>
      </c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</row>
    <row r="314" spans="1:35">
      <c r="A314" s="14">
        <v>312</v>
      </c>
      <c r="B314" s="14">
        <v>10538</v>
      </c>
      <c r="C314" s="14" t="s">
        <v>440</v>
      </c>
      <c r="D314" s="14" t="s">
        <v>51</v>
      </c>
      <c r="E314" s="15" t="str">
        <f>"190.15"</f>
        <v>190.15</v>
      </c>
      <c r="F314" s="15"/>
      <c r="G314" s="16" t="str">
        <f>"190.15"</f>
        <v>190.15</v>
      </c>
      <c r="H314" s="17">
        <f t="shared" si="4"/>
        <v>182.15</v>
      </c>
      <c r="I314" s="18"/>
      <c r="J314" s="15">
        <v>3</v>
      </c>
      <c r="K314" s="15">
        <v>2016</v>
      </c>
      <c r="L314" s="15" t="str">
        <f>"243.44"</f>
        <v>243.44</v>
      </c>
      <c r="M314" s="15"/>
      <c r="N314" s="15"/>
      <c r="O314" s="15"/>
      <c r="P314" s="15"/>
      <c r="Q314" s="15"/>
      <c r="R314" s="15"/>
      <c r="S314" s="15" t="str">
        <f>"192.65"</f>
        <v>192.65</v>
      </c>
      <c r="T314" s="15" t="str">
        <f>"223.27"</f>
        <v>223.27</v>
      </c>
      <c r="U314" s="15"/>
      <c r="V314" s="15"/>
      <c r="W314" s="15"/>
      <c r="X314" s="15" t="str">
        <f>"187.64"</f>
        <v>187.64</v>
      </c>
      <c r="Y314" s="15" t="str">
        <f>"331.63"</f>
        <v>331.63</v>
      </c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</row>
    <row r="315" spans="1:35">
      <c r="A315" s="14">
        <v>313</v>
      </c>
      <c r="B315" s="14">
        <v>10111</v>
      </c>
      <c r="C315" s="14" t="s">
        <v>441</v>
      </c>
      <c r="D315" s="14" t="s">
        <v>353</v>
      </c>
      <c r="E315" s="15" t="str">
        <f>"247.84"</f>
        <v>247.84</v>
      </c>
      <c r="F315" s="15"/>
      <c r="G315" s="16" t="str">
        <f>"190.41"</f>
        <v>190.41</v>
      </c>
      <c r="H315" s="17">
        <f t="shared" si="4"/>
        <v>182.41</v>
      </c>
      <c r="I315" s="18" t="s">
        <v>43</v>
      </c>
      <c r="J315" s="15">
        <v>2</v>
      </c>
      <c r="K315" s="15">
        <v>2016</v>
      </c>
      <c r="L315" s="15" t="str">
        <f>"333.26"</f>
        <v>333.26</v>
      </c>
      <c r="M315" s="15" t="str">
        <f>"162.41"</f>
        <v>162.41</v>
      </c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</row>
    <row r="316" spans="1:35">
      <c r="A316" s="14">
        <v>314</v>
      </c>
      <c r="B316" s="14">
        <v>1413</v>
      </c>
      <c r="C316" s="14" t="s">
        <v>442</v>
      </c>
      <c r="D316" s="14" t="s">
        <v>45</v>
      </c>
      <c r="E316" s="15" t="str">
        <f>"164.28"</f>
        <v>164.28</v>
      </c>
      <c r="F316" s="15"/>
      <c r="G316" s="16" t="str">
        <f>"190.51"</f>
        <v>190.51</v>
      </c>
      <c r="H316" s="17">
        <f t="shared" si="4"/>
        <v>182.51</v>
      </c>
      <c r="I316" s="18" t="s">
        <v>43</v>
      </c>
      <c r="J316" s="15">
        <v>2</v>
      </c>
      <c r="K316" s="15">
        <v>2016</v>
      </c>
      <c r="L316" s="15" t="str">
        <f>"166.04"</f>
        <v>166.04</v>
      </c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 t="str">
        <f>"162.51"</f>
        <v>162.51</v>
      </c>
      <c r="AB316" s="15"/>
      <c r="AC316" s="15"/>
      <c r="AD316" s="15"/>
      <c r="AE316" s="15"/>
      <c r="AF316" s="15"/>
      <c r="AG316" s="15"/>
      <c r="AH316" s="15"/>
      <c r="AI316" s="15"/>
    </row>
    <row r="317" spans="1:35">
      <c r="A317" s="14">
        <v>315</v>
      </c>
      <c r="B317" s="14">
        <v>4553</v>
      </c>
      <c r="C317" s="14" t="s">
        <v>443</v>
      </c>
      <c r="D317" s="14" t="s">
        <v>316</v>
      </c>
      <c r="E317" s="15" t="str">
        <f>"162.58"</f>
        <v>162.58</v>
      </c>
      <c r="F317" s="15"/>
      <c r="G317" s="16" t="str">
        <f>"190.58"</f>
        <v>190.58</v>
      </c>
      <c r="H317" s="17">
        <f t="shared" si="4"/>
        <v>182.58</v>
      </c>
      <c r="I317" s="18" t="s">
        <v>40</v>
      </c>
      <c r="J317" s="15">
        <v>1</v>
      </c>
      <c r="K317" s="15">
        <v>2016</v>
      </c>
      <c r="L317" s="15" t="str">
        <f>"162.58"</f>
        <v>162.58</v>
      </c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</row>
    <row r="318" spans="1:35">
      <c r="A318" s="14">
        <v>316</v>
      </c>
      <c r="B318" s="14">
        <v>1989</v>
      </c>
      <c r="C318" s="14" t="s">
        <v>444</v>
      </c>
      <c r="D318" s="14" t="s">
        <v>45</v>
      </c>
      <c r="E318" s="15" t="str">
        <f>"163.03"</f>
        <v>163.03</v>
      </c>
      <c r="F318" s="15"/>
      <c r="G318" s="16" t="str">
        <f>"191.03"</f>
        <v>191.03</v>
      </c>
      <c r="H318" s="17">
        <f t="shared" si="4"/>
        <v>183.03</v>
      </c>
      <c r="I318" s="18" t="s">
        <v>40</v>
      </c>
      <c r="J318" s="15">
        <v>1</v>
      </c>
      <c r="K318" s="15">
        <v>2016</v>
      </c>
      <c r="L318" s="15" t="str">
        <f>"163.03"</f>
        <v>163.03</v>
      </c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</row>
    <row r="319" spans="1:35">
      <c r="A319" s="14">
        <v>317</v>
      </c>
      <c r="B319" s="14">
        <v>10655</v>
      </c>
      <c r="C319" s="14" t="s">
        <v>445</v>
      </c>
      <c r="D319" s="14" t="s">
        <v>79</v>
      </c>
      <c r="E319" s="15" t="str">
        <f>"163.60"</f>
        <v>163.60</v>
      </c>
      <c r="F319" s="15"/>
      <c r="G319" s="16" t="str">
        <f>"191.60"</f>
        <v>191.60</v>
      </c>
      <c r="H319" s="17">
        <f t="shared" si="4"/>
        <v>183.6</v>
      </c>
      <c r="I319" s="18" t="s">
        <v>40</v>
      </c>
      <c r="J319" s="15">
        <v>1</v>
      </c>
      <c r="K319" s="15">
        <v>2016</v>
      </c>
      <c r="L319" s="15" t="str">
        <f>"163.60"</f>
        <v>163.60</v>
      </c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</row>
    <row r="320" spans="1:35">
      <c r="A320" s="14">
        <v>318</v>
      </c>
      <c r="B320" s="14">
        <v>3637</v>
      </c>
      <c r="C320" s="14" t="s">
        <v>446</v>
      </c>
      <c r="D320" s="14" t="s">
        <v>76</v>
      </c>
      <c r="E320" s="15" t="str">
        <f>"189.03"</f>
        <v>189.03</v>
      </c>
      <c r="F320" s="15"/>
      <c r="G320" s="16" t="str">
        <f>"191.66"</f>
        <v>191.66</v>
      </c>
      <c r="H320" s="17">
        <f t="shared" si="4"/>
        <v>183.66</v>
      </c>
      <c r="I320" s="18" t="s">
        <v>43</v>
      </c>
      <c r="J320" s="15">
        <v>2</v>
      </c>
      <c r="K320" s="15">
        <v>2016</v>
      </c>
      <c r="L320" s="15" t="str">
        <f>"214.39"</f>
        <v>214.39</v>
      </c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 t="str">
        <f>"163.66"</f>
        <v>163.66</v>
      </c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</row>
    <row r="321" spans="1:35">
      <c r="A321" s="14">
        <v>319</v>
      </c>
      <c r="B321" s="14">
        <v>1166</v>
      </c>
      <c r="C321" s="14" t="s">
        <v>447</v>
      </c>
      <c r="D321" s="14" t="s">
        <v>230</v>
      </c>
      <c r="E321" s="15" t="str">
        <f>"179.85"</f>
        <v>179.85</v>
      </c>
      <c r="F321" s="15"/>
      <c r="G321" s="16" t="str">
        <f>"191.72"</f>
        <v>191.72</v>
      </c>
      <c r="H321" s="17">
        <f t="shared" si="4"/>
        <v>183.72</v>
      </c>
      <c r="I321" s="18"/>
      <c r="J321" s="15">
        <v>3</v>
      </c>
      <c r="K321" s="15">
        <v>2016</v>
      </c>
      <c r="L321" s="15" t="str">
        <f>"188.47"</f>
        <v>188.47</v>
      </c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 t="str">
        <f>"171.22"</f>
        <v>171.22</v>
      </c>
      <c r="X321" s="15"/>
      <c r="Y321" s="15"/>
      <c r="Z321" s="15" t="str">
        <f>"212.22"</f>
        <v>212.22</v>
      </c>
      <c r="AA321" s="15"/>
      <c r="AB321" s="15"/>
      <c r="AC321" s="15"/>
      <c r="AD321" s="15"/>
      <c r="AE321" s="15"/>
      <c r="AF321" s="15"/>
      <c r="AG321" s="15"/>
      <c r="AH321" s="15"/>
      <c r="AI321" s="15"/>
    </row>
    <row r="322" spans="1:35">
      <c r="A322" s="14">
        <v>320</v>
      </c>
      <c r="B322" s="14">
        <v>6282</v>
      </c>
      <c r="C322" s="14" t="s">
        <v>448</v>
      </c>
      <c r="D322" s="14" t="s">
        <v>85</v>
      </c>
      <c r="E322" s="15" t="str">
        <f>"163.95"</f>
        <v>163.95</v>
      </c>
      <c r="F322" s="15"/>
      <c r="G322" s="16" t="str">
        <f>"191.95"</f>
        <v>191.95</v>
      </c>
      <c r="H322" s="17">
        <f t="shared" si="4"/>
        <v>183.95</v>
      </c>
      <c r="I322" s="18" t="s">
        <v>40</v>
      </c>
      <c r="J322" s="15">
        <v>1</v>
      </c>
      <c r="K322" s="15">
        <v>2016</v>
      </c>
      <c r="L322" s="15" t="str">
        <f>"163.95"</f>
        <v>163.95</v>
      </c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</row>
    <row r="323" spans="1:35">
      <c r="A323" s="14">
        <v>321</v>
      </c>
      <c r="B323" s="14">
        <v>9639</v>
      </c>
      <c r="C323" s="14" t="s">
        <v>449</v>
      </c>
      <c r="D323" s="14" t="s">
        <v>187</v>
      </c>
      <c r="E323" s="15" t="str">
        <f>"239.21"</f>
        <v>239.21</v>
      </c>
      <c r="F323" s="15"/>
      <c r="G323" s="16" t="str">
        <f>"192.01"</f>
        <v>192.01</v>
      </c>
      <c r="H323" s="17">
        <f t="shared" ref="H323:H386" si="5">G323-8</f>
        <v>184.01</v>
      </c>
      <c r="I323" s="18" t="s">
        <v>43</v>
      </c>
      <c r="J323" s="15">
        <v>2</v>
      </c>
      <c r="K323" s="15">
        <v>2016</v>
      </c>
      <c r="L323" s="15" t="str">
        <f>"314.41"</f>
        <v>314.41</v>
      </c>
      <c r="M323" s="15"/>
      <c r="N323" s="15"/>
      <c r="O323" s="15"/>
      <c r="P323" s="15"/>
      <c r="Q323" s="15" t="str">
        <f>"164.01"</f>
        <v>164.01</v>
      </c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</row>
    <row r="324" spans="1:35">
      <c r="A324" s="14">
        <v>322</v>
      </c>
      <c r="B324" s="14">
        <v>10223</v>
      </c>
      <c r="C324" s="14" t="s">
        <v>450</v>
      </c>
      <c r="D324" s="14" t="s">
        <v>289</v>
      </c>
      <c r="E324" s="15" t="str">
        <f>"164.27"</f>
        <v>164.27</v>
      </c>
      <c r="F324" s="15"/>
      <c r="G324" s="16" t="str">
        <f>"192.27"</f>
        <v>192.27</v>
      </c>
      <c r="H324" s="17">
        <f t="shared" si="5"/>
        <v>184.27</v>
      </c>
      <c r="I324" s="18" t="s">
        <v>40</v>
      </c>
      <c r="J324" s="15">
        <v>1</v>
      </c>
      <c r="K324" s="15">
        <v>2016</v>
      </c>
      <c r="L324" s="15" t="str">
        <f>"164.27"</f>
        <v>164.27</v>
      </c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</row>
    <row r="325" spans="1:35">
      <c r="A325" s="14">
        <v>323</v>
      </c>
      <c r="B325" s="14">
        <v>7124</v>
      </c>
      <c r="C325" s="14" t="s">
        <v>451</v>
      </c>
      <c r="D325" s="14" t="s">
        <v>85</v>
      </c>
      <c r="E325" s="15" t="str">
        <f>"115.10"</f>
        <v>115.10</v>
      </c>
      <c r="F325" s="15"/>
      <c r="G325" s="16" t="str">
        <f>"192.41"</f>
        <v>192.41</v>
      </c>
      <c r="H325" s="17">
        <f t="shared" si="5"/>
        <v>184.41</v>
      </c>
      <c r="I325" s="18" t="s">
        <v>43</v>
      </c>
      <c r="J325" s="15">
        <v>2</v>
      </c>
      <c r="K325" s="15">
        <v>2016</v>
      </c>
      <c r="L325" s="15" t="str">
        <f>"115.10"</f>
        <v>115.10</v>
      </c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 t="str">
        <f>"164.41"</f>
        <v>164.41</v>
      </c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</row>
    <row r="326" spans="1:35">
      <c r="A326" s="14">
        <v>324</v>
      </c>
      <c r="B326" s="14">
        <v>1983</v>
      </c>
      <c r="C326" s="14" t="s">
        <v>452</v>
      </c>
      <c r="D326" s="14" t="s">
        <v>131</v>
      </c>
      <c r="E326" s="15" t="str">
        <f>"115.51"</f>
        <v>115.51</v>
      </c>
      <c r="F326" s="15"/>
      <c r="G326" s="16" t="str">
        <f>"192.96"</f>
        <v>192.96</v>
      </c>
      <c r="H326" s="17">
        <f t="shared" si="5"/>
        <v>184.96</v>
      </c>
      <c r="I326" s="18" t="s">
        <v>43</v>
      </c>
      <c r="J326" s="15">
        <v>2</v>
      </c>
      <c r="K326" s="15">
        <v>2016</v>
      </c>
      <c r="L326" s="15" t="str">
        <f>"115.51"</f>
        <v>115.51</v>
      </c>
      <c r="M326" s="15"/>
      <c r="N326" s="15"/>
      <c r="O326" s="15"/>
      <c r="P326" s="15"/>
      <c r="Q326" s="15"/>
      <c r="R326" s="15"/>
      <c r="S326" s="15"/>
      <c r="T326" s="15"/>
      <c r="U326" s="15"/>
      <c r="V326" s="15" t="str">
        <f>"164.96"</f>
        <v>164.96</v>
      </c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</row>
    <row r="327" spans="1:35">
      <c r="A327" s="14">
        <v>325</v>
      </c>
      <c r="B327" s="14">
        <v>10812</v>
      </c>
      <c r="C327" s="14" t="s">
        <v>453</v>
      </c>
      <c r="D327" s="14" t="s">
        <v>58</v>
      </c>
      <c r="E327" s="15" t="str">
        <f>"193.27"</f>
        <v>193.27</v>
      </c>
      <c r="F327" s="15"/>
      <c r="G327" s="16" t="str">
        <f>"193.27"</f>
        <v>193.27</v>
      </c>
      <c r="H327" s="17">
        <f t="shared" si="5"/>
        <v>185.27</v>
      </c>
      <c r="I327" s="18"/>
      <c r="J327" s="15">
        <v>5</v>
      </c>
      <c r="K327" s="15">
        <v>2016</v>
      </c>
      <c r="L327" s="15"/>
      <c r="M327" s="15"/>
      <c r="N327" s="15" t="str">
        <f>"246.77"</f>
        <v>246.77</v>
      </c>
      <c r="O327" s="15"/>
      <c r="P327" s="15" t="str">
        <f>"264.23"</f>
        <v>264.23</v>
      </c>
      <c r="Q327" s="15"/>
      <c r="R327" s="15"/>
      <c r="S327" s="15"/>
      <c r="T327" s="15"/>
      <c r="U327" s="15" t="str">
        <f>"340.76"</f>
        <v>340.76</v>
      </c>
      <c r="V327" s="15"/>
      <c r="W327" s="15"/>
      <c r="X327" s="15"/>
      <c r="Y327" s="15"/>
      <c r="Z327" s="15" t="str">
        <f>"139.77"</f>
        <v>139.77</v>
      </c>
      <c r="AA327" s="15"/>
      <c r="AB327" s="15"/>
      <c r="AC327" s="15"/>
      <c r="AD327" s="15"/>
      <c r="AE327" s="15"/>
      <c r="AF327" s="15"/>
      <c r="AG327" s="15"/>
      <c r="AH327" s="15"/>
      <c r="AI327" s="15"/>
    </row>
    <row r="328" spans="1:35">
      <c r="A328" s="14">
        <v>326</v>
      </c>
      <c r="B328" s="14">
        <v>5483</v>
      </c>
      <c r="C328" s="14" t="s">
        <v>454</v>
      </c>
      <c r="D328" s="14" t="s">
        <v>58</v>
      </c>
      <c r="E328" s="15" t="str">
        <f>"193.36"</f>
        <v>193.36</v>
      </c>
      <c r="F328" s="15"/>
      <c r="G328" s="16" t="str">
        <f>"193.36"</f>
        <v>193.36</v>
      </c>
      <c r="H328" s="17">
        <f t="shared" si="5"/>
        <v>185.36</v>
      </c>
      <c r="I328" s="18"/>
      <c r="J328" s="15">
        <v>3</v>
      </c>
      <c r="K328" s="15">
        <v>2016</v>
      </c>
      <c r="L328" s="15" t="str">
        <f>"236.71"</f>
        <v>236.71</v>
      </c>
      <c r="M328" s="15"/>
      <c r="N328" s="15" t="str">
        <f>"179.21"</f>
        <v>179.21</v>
      </c>
      <c r="O328" s="15"/>
      <c r="P328" s="15" t="str">
        <f>"228.72"</f>
        <v>228.72</v>
      </c>
      <c r="Q328" s="15"/>
      <c r="R328" s="15"/>
      <c r="S328" s="15"/>
      <c r="T328" s="15"/>
      <c r="U328" s="15" t="str">
        <f>"207.50"</f>
        <v>207.50</v>
      </c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</row>
    <row r="329" spans="1:35">
      <c r="A329" s="14">
        <v>327</v>
      </c>
      <c r="B329" s="14">
        <v>2638</v>
      </c>
      <c r="C329" s="14" t="s">
        <v>455</v>
      </c>
      <c r="D329" s="14" t="s">
        <v>189</v>
      </c>
      <c r="E329" s="15" t="str">
        <f>"159.71"</f>
        <v>159.71</v>
      </c>
      <c r="F329" s="15"/>
      <c r="G329" s="16" t="str">
        <f>"193.40"</f>
        <v>193.40</v>
      </c>
      <c r="H329" s="17">
        <f t="shared" si="5"/>
        <v>185.4</v>
      </c>
      <c r="I329" s="18"/>
      <c r="J329" s="15">
        <v>3</v>
      </c>
      <c r="K329" s="15">
        <v>2016</v>
      </c>
      <c r="L329" s="15" t="str">
        <f>"159.71"</f>
        <v>159.71</v>
      </c>
      <c r="M329" s="15"/>
      <c r="N329" s="15"/>
      <c r="O329" s="15"/>
      <c r="P329" s="15"/>
      <c r="Q329" s="15"/>
      <c r="R329" s="15" t="str">
        <f>"182.09"</f>
        <v>182.09</v>
      </c>
      <c r="S329" s="15"/>
      <c r="T329" s="15"/>
      <c r="U329" s="15"/>
      <c r="V329" s="15"/>
      <c r="W329" s="15" t="str">
        <f>"204.70"</f>
        <v>204.70</v>
      </c>
      <c r="X329" s="15"/>
      <c r="Y329" s="15"/>
      <c r="Z329" s="15"/>
      <c r="AA329" s="15"/>
      <c r="AB329" s="15"/>
      <c r="AC329" s="15"/>
      <c r="AD329" s="15" t="str">
        <f>"217.83"</f>
        <v>217.83</v>
      </c>
      <c r="AE329" s="15"/>
      <c r="AF329" s="15"/>
      <c r="AG329" s="15"/>
      <c r="AH329" s="15"/>
      <c r="AI329" s="15"/>
    </row>
    <row r="330" spans="1:35">
      <c r="A330" s="14">
        <v>328</v>
      </c>
      <c r="B330" s="14">
        <v>5336</v>
      </c>
      <c r="C330" s="14" t="s">
        <v>456</v>
      </c>
      <c r="D330" s="14" t="s">
        <v>49</v>
      </c>
      <c r="E330" s="15" t="str">
        <f>"184.85"</f>
        <v>184.85</v>
      </c>
      <c r="F330" s="15"/>
      <c r="G330" s="16">
        <v>193.81</v>
      </c>
      <c r="H330" s="17">
        <f t="shared" si="5"/>
        <v>185.81</v>
      </c>
      <c r="I330" s="18" t="s">
        <v>67</v>
      </c>
      <c r="J330" s="15">
        <v>2</v>
      </c>
      <c r="K330" s="15">
        <v>2016</v>
      </c>
      <c r="L330" s="15" t="str">
        <f>"189.88"</f>
        <v>189.88</v>
      </c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 t="str">
        <f>"179.81"</f>
        <v>179.81</v>
      </c>
      <c r="AG330" s="15"/>
      <c r="AH330" s="15"/>
      <c r="AI330" s="15"/>
    </row>
    <row r="331" spans="1:35">
      <c r="A331" s="14">
        <v>329</v>
      </c>
      <c r="B331" s="14">
        <v>2782</v>
      </c>
      <c r="C331" s="14" t="s">
        <v>457</v>
      </c>
      <c r="D331" s="14" t="s">
        <v>129</v>
      </c>
      <c r="E331" s="15" t="str">
        <f>"144.09"</f>
        <v>144.09</v>
      </c>
      <c r="F331" s="15"/>
      <c r="G331" s="16" t="str">
        <f>"193.94"</f>
        <v>193.94</v>
      </c>
      <c r="H331" s="17">
        <f t="shared" si="5"/>
        <v>185.94</v>
      </c>
      <c r="I331" s="18"/>
      <c r="J331" s="15">
        <v>3</v>
      </c>
      <c r="K331" s="15">
        <v>2016</v>
      </c>
      <c r="L331" s="15" t="str">
        <f>"144.09"</f>
        <v>144.09</v>
      </c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 t="str">
        <f>"200.47"</f>
        <v>200.47</v>
      </c>
      <c r="AC331" s="15"/>
      <c r="AD331" s="15" t="str">
        <f>"187.40"</f>
        <v>187.40</v>
      </c>
      <c r="AE331" s="15"/>
      <c r="AF331" s="15"/>
      <c r="AG331" s="15"/>
      <c r="AH331" s="15"/>
      <c r="AI331" s="15"/>
    </row>
    <row r="332" spans="1:35">
      <c r="A332" s="14">
        <v>330</v>
      </c>
      <c r="B332" s="14">
        <v>4528</v>
      </c>
      <c r="C332" s="14" t="s">
        <v>458</v>
      </c>
      <c r="D332" s="14" t="s">
        <v>459</v>
      </c>
      <c r="E332" s="15" t="str">
        <f>"194.21"</f>
        <v>194.21</v>
      </c>
      <c r="F332" s="15"/>
      <c r="G332" s="16" t="str">
        <f>"194.21"</f>
        <v>194.21</v>
      </c>
      <c r="H332" s="17">
        <f t="shared" si="5"/>
        <v>186.21</v>
      </c>
      <c r="I332" s="18"/>
      <c r="J332" s="15">
        <v>3</v>
      </c>
      <c r="K332" s="15">
        <v>2016</v>
      </c>
      <c r="L332" s="15" t="str">
        <f>"252.90"</f>
        <v>252.90</v>
      </c>
      <c r="M332" s="15"/>
      <c r="N332" s="15"/>
      <c r="O332" s="15"/>
      <c r="P332" s="15"/>
      <c r="Q332" s="15" t="str">
        <f>"192.04"</f>
        <v>192.04</v>
      </c>
      <c r="R332" s="15"/>
      <c r="S332" s="15"/>
      <c r="T332" s="15"/>
      <c r="U332" s="15"/>
      <c r="V332" s="15"/>
      <c r="W332" s="15"/>
      <c r="X332" s="15"/>
      <c r="Y332" s="15"/>
      <c r="Z332" s="15" t="str">
        <f>"230.04"</f>
        <v>230.04</v>
      </c>
      <c r="AA332" s="15"/>
      <c r="AB332" s="15"/>
      <c r="AC332" s="15"/>
      <c r="AD332" s="15" t="str">
        <f>"196.37"</f>
        <v>196.37</v>
      </c>
      <c r="AE332" s="15"/>
      <c r="AF332" s="15"/>
      <c r="AG332" s="15"/>
      <c r="AH332" s="15"/>
      <c r="AI332" s="15"/>
    </row>
    <row r="333" spans="1:35">
      <c r="A333" s="14">
        <v>331</v>
      </c>
      <c r="B333" s="14">
        <v>77</v>
      </c>
      <c r="C333" s="14" t="s">
        <v>460</v>
      </c>
      <c r="D333" s="14" t="s">
        <v>461</v>
      </c>
      <c r="E333" s="15" t="str">
        <f>"176.52"</f>
        <v>176.52</v>
      </c>
      <c r="F333" s="15"/>
      <c r="G333" s="16" t="str">
        <f>"194.77"</f>
        <v>194.77</v>
      </c>
      <c r="H333" s="17">
        <f t="shared" si="5"/>
        <v>186.77</v>
      </c>
      <c r="I333" s="18" t="s">
        <v>43</v>
      </c>
      <c r="J333" s="15">
        <v>2</v>
      </c>
      <c r="K333" s="15">
        <v>2016</v>
      </c>
      <c r="L333" s="15" t="str">
        <f>"186.26"</f>
        <v>186.26</v>
      </c>
      <c r="M333" s="15"/>
      <c r="N333" s="15"/>
      <c r="O333" s="15"/>
      <c r="P333" s="15"/>
      <c r="Q333" s="15"/>
      <c r="R333" s="15" t="str">
        <f>"166.77"</f>
        <v>166.77</v>
      </c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</row>
    <row r="334" spans="1:35">
      <c r="A334" s="14">
        <v>332</v>
      </c>
      <c r="B334" s="14">
        <v>2919</v>
      </c>
      <c r="C334" s="14" t="s">
        <v>462</v>
      </c>
      <c r="D334" s="14" t="s">
        <v>291</v>
      </c>
      <c r="E334" s="15" t="str">
        <f>"194.97"</f>
        <v>194.97</v>
      </c>
      <c r="F334" s="15"/>
      <c r="G334" s="16" t="str">
        <f>"194.97"</f>
        <v>194.97</v>
      </c>
      <c r="H334" s="17">
        <f t="shared" si="5"/>
        <v>186.97</v>
      </c>
      <c r="I334" s="18"/>
      <c r="J334" s="15">
        <v>3</v>
      </c>
      <c r="K334" s="15">
        <v>2016</v>
      </c>
      <c r="L334" s="15" t="str">
        <f>"224.15"</f>
        <v>224.15</v>
      </c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 t="str">
        <f>"180.70"</f>
        <v>180.70</v>
      </c>
      <c r="AC334" s="15"/>
      <c r="AD334" s="15" t="str">
        <f>"209.24"</f>
        <v>209.24</v>
      </c>
      <c r="AE334" s="15"/>
      <c r="AF334" s="15"/>
      <c r="AG334" s="15"/>
      <c r="AH334" s="15"/>
      <c r="AI334" s="15"/>
    </row>
    <row r="335" spans="1:35">
      <c r="A335" s="14">
        <v>333</v>
      </c>
      <c r="B335" s="14">
        <v>1092</v>
      </c>
      <c r="C335" s="14" t="s">
        <v>463</v>
      </c>
      <c r="D335" s="14" t="s">
        <v>464</v>
      </c>
      <c r="E335" s="15" t="str">
        <f>"198.26"</f>
        <v>198.26</v>
      </c>
      <c r="F335" s="15"/>
      <c r="G335" s="16" t="str">
        <f>"195.07"</f>
        <v>195.07</v>
      </c>
      <c r="H335" s="17">
        <f t="shared" si="5"/>
        <v>187.07</v>
      </c>
      <c r="I335" s="18" t="s">
        <v>43</v>
      </c>
      <c r="J335" s="15">
        <v>2</v>
      </c>
      <c r="K335" s="15">
        <v>2016</v>
      </c>
      <c r="L335" s="15" t="str">
        <f>"229.44"</f>
        <v>229.44</v>
      </c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 t="str">
        <f>"167.07"</f>
        <v>167.07</v>
      </c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</row>
    <row r="336" spans="1:35">
      <c r="A336" s="14">
        <v>334</v>
      </c>
      <c r="B336" s="14">
        <v>5258</v>
      </c>
      <c r="C336" s="14" t="s">
        <v>465</v>
      </c>
      <c r="D336" s="14" t="s">
        <v>146</v>
      </c>
      <c r="E336" s="15" t="str">
        <f>"167.74"</f>
        <v>167.74</v>
      </c>
      <c r="F336" s="15"/>
      <c r="G336" s="16" t="str">
        <f>"195.74"</f>
        <v>195.74</v>
      </c>
      <c r="H336" s="17">
        <f t="shared" si="5"/>
        <v>187.74</v>
      </c>
      <c r="I336" s="18" t="s">
        <v>40</v>
      </c>
      <c r="J336" s="15">
        <v>1</v>
      </c>
      <c r="K336" s="15">
        <v>2016</v>
      </c>
      <c r="L336" s="15" t="str">
        <f>"167.74"</f>
        <v>167.74</v>
      </c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</row>
    <row r="337" spans="1:35">
      <c r="A337" s="14">
        <v>335</v>
      </c>
      <c r="B337" s="14">
        <v>3464</v>
      </c>
      <c r="C337" s="14" t="s">
        <v>466</v>
      </c>
      <c r="D337" s="14" t="s">
        <v>459</v>
      </c>
      <c r="E337" s="15" t="str">
        <f>"167.81"</f>
        <v>167.81</v>
      </c>
      <c r="F337" s="15"/>
      <c r="G337" s="16" t="str">
        <f>"195.81"</f>
        <v>195.81</v>
      </c>
      <c r="H337" s="17">
        <f t="shared" si="5"/>
        <v>187.81</v>
      </c>
      <c r="I337" s="18" t="s">
        <v>40</v>
      </c>
      <c r="J337" s="15">
        <v>1</v>
      </c>
      <c r="K337" s="15">
        <v>2016</v>
      </c>
      <c r="L337" s="15" t="str">
        <f>"167.81"</f>
        <v>167.81</v>
      </c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</row>
    <row r="338" spans="1:35">
      <c r="A338" s="14">
        <v>336</v>
      </c>
      <c r="B338" s="14">
        <v>6471</v>
      </c>
      <c r="C338" s="14" t="s">
        <v>467</v>
      </c>
      <c r="D338" s="14" t="s">
        <v>131</v>
      </c>
      <c r="E338" s="15" t="str">
        <f>"168.01"</f>
        <v>168.01</v>
      </c>
      <c r="F338" s="15"/>
      <c r="G338" s="16" t="str">
        <f>"196.01"</f>
        <v>196.01</v>
      </c>
      <c r="H338" s="17">
        <f t="shared" si="5"/>
        <v>188.01</v>
      </c>
      <c r="I338" s="18" t="s">
        <v>40</v>
      </c>
      <c r="J338" s="15">
        <v>1</v>
      </c>
      <c r="K338" s="15">
        <v>2016</v>
      </c>
      <c r="L338" s="15" t="str">
        <f>"168.01"</f>
        <v>168.01</v>
      </c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</row>
    <row r="339" spans="1:35">
      <c r="A339" s="14">
        <v>337</v>
      </c>
      <c r="B339" s="14">
        <v>5386</v>
      </c>
      <c r="C339" s="14" t="s">
        <v>468</v>
      </c>
      <c r="D339" s="14" t="s">
        <v>168</v>
      </c>
      <c r="E339" s="15" t="str">
        <f>"168.18"</f>
        <v>168.18</v>
      </c>
      <c r="F339" s="15"/>
      <c r="G339" s="16" t="str">
        <f>"196.18"</f>
        <v>196.18</v>
      </c>
      <c r="H339" s="17">
        <f t="shared" si="5"/>
        <v>188.18</v>
      </c>
      <c r="I339" s="18" t="s">
        <v>40</v>
      </c>
      <c r="J339" s="15">
        <v>1</v>
      </c>
      <c r="K339" s="15">
        <v>2016</v>
      </c>
      <c r="L339" s="15" t="str">
        <f>"168.18"</f>
        <v>168.18</v>
      </c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</row>
    <row r="340" spans="1:35">
      <c r="A340" s="14">
        <v>338</v>
      </c>
      <c r="B340" s="14">
        <v>8465</v>
      </c>
      <c r="C340" s="14" t="s">
        <v>469</v>
      </c>
      <c r="D340" s="14" t="s">
        <v>51</v>
      </c>
      <c r="E340" s="15" t="str">
        <f>"158.90"</f>
        <v>158.90</v>
      </c>
      <c r="F340" s="15"/>
      <c r="G340" s="16" t="str">
        <f>"196.31"</f>
        <v>196.31</v>
      </c>
      <c r="H340" s="17">
        <f t="shared" si="5"/>
        <v>188.31</v>
      </c>
      <c r="I340" s="18" t="s">
        <v>43</v>
      </c>
      <c r="J340" s="15">
        <v>2</v>
      </c>
      <c r="K340" s="15">
        <v>2016</v>
      </c>
      <c r="L340" s="15" t="str">
        <f>"158.90"</f>
        <v>158.90</v>
      </c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 t="str">
        <f>"168.31"</f>
        <v>168.31</v>
      </c>
    </row>
    <row r="341" spans="1:35">
      <c r="A341" s="14">
        <v>339</v>
      </c>
      <c r="B341" s="14">
        <v>6350</v>
      </c>
      <c r="C341" s="14" t="s">
        <v>470</v>
      </c>
      <c r="D341" s="14" t="s">
        <v>471</v>
      </c>
      <c r="E341" s="15" t="str">
        <f>"168.34"</f>
        <v>168.34</v>
      </c>
      <c r="F341" s="15"/>
      <c r="G341" s="16" t="str">
        <f>"196.34"</f>
        <v>196.34</v>
      </c>
      <c r="H341" s="17">
        <f t="shared" si="5"/>
        <v>188.34</v>
      </c>
      <c r="I341" s="18" t="s">
        <v>40</v>
      </c>
      <c r="J341" s="15">
        <v>1</v>
      </c>
      <c r="K341" s="15">
        <v>2016</v>
      </c>
      <c r="L341" s="15" t="str">
        <f>"168.34"</f>
        <v>168.34</v>
      </c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</row>
    <row r="342" spans="1:35">
      <c r="A342" s="14">
        <v>340</v>
      </c>
      <c r="B342" s="14">
        <v>5108</v>
      </c>
      <c r="C342" s="14" t="s">
        <v>472</v>
      </c>
      <c r="D342" s="14" t="s">
        <v>273</v>
      </c>
      <c r="E342" s="15" t="str">
        <f>"168.37"</f>
        <v>168.37</v>
      </c>
      <c r="F342" s="15"/>
      <c r="G342" s="16" t="str">
        <f>"196.37"</f>
        <v>196.37</v>
      </c>
      <c r="H342" s="17">
        <f t="shared" si="5"/>
        <v>188.37</v>
      </c>
      <c r="I342" s="18" t="s">
        <v>40</v>
      </c>
      <c r="J342" s="15">
        <v>1</v>
      </c>
      <c r="K342" s="15">
        <v>2016</v>
      </c>
      <c r="L342" s="15" t="str">
        <f>"168.37"</f>
        <v>168.37</v>
      </c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</row>
    <row r="343" spans="1:35">
      <c r="A343" s="14">
        <v>341</v>
      </c>
      <c r="B343" s="14">
        <v>4196</v>
      </c>
      <c r="C343" s="14" t="s">
        <v>473</v>
      </c>
      <c r="D343" s="14" t="s">
        <v>58</v>
      </c>
      <c r="E343" s="15" t="str">
        <f>"196.67"</f>
        <v>196.67</v>
      </c>
      <c r="F343" s="15"/>
      <c r="G343" s="16" t="str">
        <f>"196.67"</f>
        <v>196.67</v>
      </c>
      <c r="H343" s="17">
        <f t="shared" si="5"/>
        <v>188.67</v>
      </c>
      <c r="I343" s="18"/>
      <c r="J343" s="15">
        <v>3</v>
      </c>
      <c r="K343" s="15">
        <v>2016</v>
      </c>
      <c r="L343" s="15" t="str">
        <f>"255.63"</f>
        <v>255.63</v>
      </c>
      <c r="M343" s="15"/>
      <c r="N343" s="15" t="str">
        <f>"166.56"</f>
        <v>166.56</v>
      </c>
      <c r="O343" s="15"/>
      <c r="P343" s="15" t="str">
        <f>"252.56"</f>
        <v>252.56</v>
      </c>
      <c r="Q343" s="15"/>
      <c r="R343" s="15"/>
      <c r="S343" s="15"/>
      <c r="T343" s="15"/>
      <c r="U343" s="15" t="str">
        <f>"226.78"</f>
        <v>226.78</v>
      </c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</row>
    <row r="344" spans="1:35">
      <c r="A344" s="14">
        <v>342</v>
      </c>
      <c r="B344" s="14">
        <v>10901</v>
      </c>
      <c r="C344" s="14" t="s">
        <v>474</v>
      </c>
      <c r="D344" s="14" t="s">
        <v>51</v>
      </c>
      <c r="E344" s="15" t="str">
        <f>"196.95"</f>
        <v>196.95</v>
      </c>
      <c r="F344" s="15"/>
      <c r="G344" s="16" t="str">
        <f>"196.95"</f>
        <v>196.95</v>
      </c>
      <c r="H344" s="17">
        <f t="shared" si="5"/>
        <v>188.95</v>
      </c>
      <c r="I344" s="18"/>
      <c r="J344" s="15">
        <v>5</v>
      </c>
      <c r="K344" s="15">
        <v>2016</v>
      </c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 t="str">
        <f>"192.60"</f>
        <v>192.60</v>
      </c>
      <c r="AF344" s="15"/>
      <c r="AG344" s="15" t="str">
        <f>"230.54"</f>
        <v>230.54</v>
      </c>
      <c r="AH344" s="15" t="str">
        <f>"225.50"</f>
        <v>225.50</v>
      </c>
      <c r="AI344" s="15" t="str">
        <f>"201.30"</f>
        <v>201.30</v>
      </c>
    </row>
    <row r="345" spans="1:35">
      <c r="A345" s="14">
        <v>343</v>
      </c>
      <c r="B345" s="14">
        <v>4092</v>
      </c>
      <c r="C345" s="14" t="s">
        <v>475</v>
      </c>
      <c r="D345" s="14" t="s">
        <v>476</v>
      </c>
      <c r="E345" s="15" t="str">
        <f>"142.45"</f>
        <v>142.45</v>
      </c>
      <c r="F345" s="15"/>
      <c r="G345" s="16" t="str">
        <f>"197.43"</f>
        <v>197.43</v>
      </c>
      <c r="H345" s="17">
        <f t="shared" si="5"/>
        <v>189.43</v>
      </c>
      <c r="I345" s="18" t="s">
        <v>43</v>
      </c>
      <c r="J345" s="15">
        <v>2</v>
      </c>
      <c r="K345" s="15">
        <v>2016</v>
      </c>
      <c r="L345" s="15" t="str">
        <f>"142.45"</f>
        <v>142.45</v>
      </c>
      <c r="M345" s="15"/>
      <c r="N345" s="15"/>
      <c r="O345" s="15"/>
      <c r="P345" s="15"/>
      <c r="Q345" s="15"/>
      <c r="R345" s="15"/>
      <c r="S345" s="15"/>
      <c r="T345" s="15"/>
      <c r="U345" s="15"/>
      <c r="V345" s="15" t="str">
        <f>"169.43"</f>
        <v>169.43</v>
      </c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</row>
    <row r="346" spans="1:35">
      <c r="A346" s="14">
        <v>344</v>
      </c>
      <c r="B346" s="14">
        <v>4189</v>
      </c>
      <c r="C346" s="14" t="s">
        <v>477</v>
      </c>
      <c r="D346" s="14" t="s">
        <v>230</v>
      </c>
      <c r="E346" s="15" t="str">
        <f>"169.67"</f>
        <v>169.67</v>
      </c>
      <c r="F346" s="15"/>
      <c r="G346" s="16" t="str">
        <f>"197.67"</f>
        <v>197.67</v>
      </c>
      <c r="H346" s="17">
        <f t="shared" si="5"/>
        <v>189.67</v>
      </c>
      <c r="I346" s="18" t="s">
        <v>40</v>
      </c>
      <c r="J346" s="15">
        <v>1</v>
      </c>
      <c r="K346" s="15">
        <v>2016</v>
      </c>
      <c r="L346" s="15" t="str">
        <f>"169.67"</f>
        <v>169.67</v>
      </c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</row>
    <row r="347" spans="1:35">
      <c r="A347" s="14">
        <v>345</v>
      </c>
      <c r="B347" s="14">
        <v>2382</v>
      </c>
      <c r="C347" s="14" t="s">
        <v>478</v>
      </c>
      <c r="D347" s="14" t="s">
        <v>479</v>
      </c>
      <c r="E347" s="15" t="str">
        <f>"198.98"</f>
        <v>198.98</v>
      </c>
      <c r="F347" s="15"/>
      <c r="G347" s="16" t="str">
        <f>"198.98"</f>
        <v>198.98</v>
      </c>
      <c r="H347" s="17">
        <f t="shared" si="5"/>
        <v>190.98</v>
      </c>
      <c r="I347" s="18" t="s">
        <v>43</v>
      </c>
      <c r="J347" s="15">
        <v>4</v>
      </c>
      <c r="K347" s="15">
        <v>2016</v>
      </c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 t="str">
        <f>"170.98"</f>
        <v>170.98</v>
      </c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</row>
    <row r="348" spans="1:35">
      <c r="A348" s="14">
        <v>346</v>
      </c>
      <c r="B348" s="14">
        <v>5383</v>
      </c>
      <c r="C348" s="14" t="s">
        <v>480</v>
      </c>
      <c r="D348" s="14" t="s">
        <v>353</v>
      </c>
      <c r="E348" s="15" t="str">
        <f>"199.12"</f>
        <v>199.12</v>
      </c>
      <c r="F348" s="15"/>
      <c r="G348" s="16" t="str">
        <f>"199.12"</f>
        <v>199.12</v>
      </c>
      <c r="H348" s="17">
        <f t="shared" si="5"/>
        <v>191.12</v>
      </c>
      <c r="I348" s="18"/>
      <c r="J348" s="15">
        <v>3</v>
      </c>
      <c r="K348" s="15">
        <v>2016</v>
      </c>
      <c r="L348" s="15" t="str">
        <f>"307.58"</f>
        <v>307.58</v>
      </c>
      <c r="M348" s="15" t="str">
        <f>"224.50"</f>
        <v>224.50</v>
      </c>
      <c r="N348" s="15"/>
      <c r="O348" s="15" t="str">
        <f>"173.74"</f>
        <v>173.74</v>
      </c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</row>
    <row r="349" spans="1:35">
      <c r="A349" s="14">
        <v>347</v>
      </c>
      <c r="B349" s="14">
        <v>6142</v>
      </c>
      <c r="C349" s="14" t="s">
        <v>481</v>
      </c>
      <c r="D349" s="14" t="s">
        <v>482</v>
      </c>
      <c r="E349" s="15" t="str">
        <f>"199.79"</f>
        <v>199.79</v>
      </c>
      <c r="F349" s="15"/>
      <c r="G349" s="16" t="str">
        <f>"199.79"</f>
        <v>199.79</v>
      </c>
      <c r="H349" s="17">
        <f t="shared" si="5"/>
        <v>191.79</v>
      </c>
      <c r="I349" s="18"/>
      <c r="J349" s="15">
        <v>3</v>
      </c>
      <c r="K349" s="15">
        <v>2016</v>
      </c>
      <c r="L349" s="15" t="str">
        <f>"299.95"</f>
        <v>299.95</v>
      </c>
      <c r="M349" s="15"/>
      <c r="N349" s="15"/>
      <c r="O349" s="15"/>
      <c r="P349" s="15"/>
      <c r="Q349" s="15"/>
      <c r="R349" s="15" t="str">
        <f>"194.68"</f>
        <v>194.68</v>
      </c>
      <c r="S349" s="15"/>
      <c r="T349" s="15"/>
      <c r="U349" s="15"/>
      <c r="V349" s="15"/>
      <c r="W349" s="15" t="str">
        <f>"229.18"</f>
        <v>229.18</v>
      </c>
      <c r="X349" s="15"/>
      <c r="Y349" s="15"/>
      <c r="Z349" s="15"/>
      <c r="AA349" s="15"/>
      <c r="AB349" s="15" t="str">
        <f>"204.90"</f>
        <v>204.90</v>
      </c>
      <c r="AC349" s="15"/>
      <c r="AD349" s="15" t="str">
        <f>"208.59"</f>
        <v>208.59</v>
      </c>
      <c r="AE349" s="15"/>
      <c r="AF349" s="15"/>
      <c r="AG349" s="15"/>
      <c r="AH349" s="15"/>
      <c r="AI349" s="15"/>
    </row>
    <row r="350" spans="1:35">
      <c r="A350" s="14">
        <v>348</v>
      </c>
      <c r="B350" s="14">
        <v>5440</v>
      </c>
      <c r="C350" s="14" t="s">
        <v>483</v>
      </c>
      <c r="D350" s="14" t="s">
        <v>79</v>
      </c>
      <c r="E350" s="15" t="str">
        <f>"171.84"</f>
        <v>171.84</v>
      </c>
      <c r="F350" s="15"/>
      <c r="G350" s="16" t="str">
        <f>"199.84"</f>
        <v>199.84</v>
      </c>
      <c r="H350" s="17">
        <f t="shared" si="5"/>
        <v>191.84</v>
      </c>
      <c r="I350" s="18" t="s">
        <v>40</v>
      </c>
      <c r="J350" s="15">
        <v>1</v>
      </c>
      <c r="K350" s="15">
        <v>2016</v>
      </c>
      <c r="L350" s="15" t="str">
        <f>"171.84"</f>
        <v>171.84</v>
      </c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</row>
    <row r="351" spans="1:35">
      <c r="A351" s="14">
        <v>349</v>
      </c>
      <c r="B351" s="14">
        <v>4951</v>
      </c>
      <c r="C351" s="14" t="s">
        <v>484</v>
      </c>
      <c r="D351" s="14" t="s">
        <v>70</v>
      </c>
      <c r="E351" s="15" t="str">
        <f>"200.16"</f>
        <v>200.16</v>
      </c>
      <c r="F351" s="15"/>
      <c r="G351" s="16" t="str">
        <f>"200.16"</f>
        <v>200.16</v>
      </c>
      <c r="H351" s="17">
        <f t="shared" si="5"/>
        <v>192.16</v>
      </c>
      <c r="I351" s="18"/>
      <c r="J351" s="15">
        <v>5</v>
      </c>
      <c r="K351" s="15">
        <v>2016</v>
      </c>
      <c r="L351" s="15"/>
      <c r="M351" s="15"/>
      <c r="N351" s="15"/>
      <c r="O351" s="15"/>
      <c r="P351" s="15"/>
      <c r="Q351" s="15" t="str">
        <f>"168.04"</f>
        <v>168.04</v>
      </c>
      <c r="R351" s="15"/>
      <c r="S351" s="15"/>
      <c r="T351" s="15"/>
      <c r="U351" s="15"/>
      <c r="V351" s="15" t="str">
        <f>"232.28"</f>
        <v>232.28</v>
      </c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</row>
    <row r="352" spans="1:35">
      <c r="A352" s="14">
        <v>350</v>
      </c>
      <c r="B352" s="14">
        <v>11039</v>
      </c>
      <c r="C352" s="14" t="s">
        <v>485</v>
      </c>
      <c r="D352" s="14" t="s">
        <v>119</v>
      </c>
      <c r="E352" s="15" t="str">
        <f>"200.44"</f>
        <v>200.44</v>
      </c>
      <c r="F352" s="15"/>
      <c r="G352" s="16" t="str">
        <f>"200.44"</f>
        <v>200.44</v>
      </c>
      <c r="H352" s="17">
        <f t="shared" si="5"/>
        <v>192.44</v>
      </c>
      <c r="I352" s="18" t="s">
        <v>43</v>
      </c>
      <c r="J352" s="15">
        <v>4</v>
      </c>
      <c r="K352" s="15">
        <v>2016</v>
      </c>
      <c r="L352" s="15"/>
      <c r="M352" s="15" t="str">
        <f>"172.44"</f>
        <v>172.44</v>
      </c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</row>
    <row r="353" spans="1:35">
      <c r="A353" s="14">
        <v>351</v>
      </c>
      <c r="B353" s="14">
        <v>484</v>
      </c>
      <c r="C353" s="14" t="s">
        <v>486</v>
      </c>
      <c r="D353" s="14" t="s">
        <v>131</v>
      </c>
      <c r="E353" s="15" t="str">
        <f>"172.56"</f>
        <v>172.56</v>
      </c>
      <c r="F353" s="15"/>
      <c r="G353" s="16" t="str">
        <f>"200.56"</f>
        <v>200.56</v>
      </c>
      <c r="H353" s="17">
        <f t="shared" si="5"/>
        <v>192.56</v>
      </c>
      <c r="I353" s="18" t="s">
        <v>40</v>
      </c>
      <c r="J353" s="15">
        <v>1</v>
      </c>
      <c r="K353" s="15">
        <v>2016</v>
      </c>
      <c r="L353" s="15" t="str">
        <f>"172.56"</f>
        <v>172.56</v>
      </c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</row>
    <row r="354" spans="1:35">
      <c r="A354" s="14">
        <v>352</v>
      </c>
      <c r="B354" s="14">
        <v>5503</v>
      </c>
      <c r="C354" s="14" t="s">
        <v>487</v>
      </c>
      <c r="D354" s="14" t="s">
        <v>476</v>
      </c>
      <c r="E354" s="15" t="str">
        <f>"184.73"</f>
        <v>184.73</v>
      </c>
      <c r="F354" s="15"/>
      <c r="G354" s="16" t="str">
        <f>"200.83"</f>
        <v>200.83</v>
      </c>
      <c r="H354" s="17">
        <f t="shared" si="5"/>
        <v>192.83</v>
      </c>
      <c r="I354" s="18" t="s">
        <v>43</v>
      </c>
      <c r="J354" s="15">
        <v>2</v>
      </c>
      <c r="K354" s="15">
        <v>2016</v>
      </c>
      <c r="L354" s="15" t="str">
        <f>"196.63"</f>
        <v>196.63</v>
      </c>
      <c r="M354" s="15"/>
      <c r="N354" s="15"/>
      <c r="O354" s="15"/>
      <c r="P354" s="15"/>
      <c r="Q354" s="15"/>
      <c r="R354" s="15" t="str">
        <f>"172.83"</f>
        <v>172.83</v>
      </c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</row>
    <row r="355" spans="1:35">
      <c r="A355" s="14">
        <v>353</v>
      </c>
      <c r="B355" s="14">
        <v>3007</v>
      </c>
      <c r="C355" s="14" t="s">
        <v>488</v>
      </c>
      <c r="D355" s="14" t="s">
        <v>100</v>
      </c>
      <c r="E355" s="15" t="str">
        <f>"201.27"</f>
        <v>201.27</v>
      </c>
      <c r="F355" s="15"/>
      <c r="G355" s="16" t="str">
        <f>"201.27"</f>
        <v>201.27</v>
      </c>
      <c r="H355" s="17">
        <f t="shared" si="5"/>
        <v>193.27</v>
      </c>
      <c r="I355" s="18" t="s">
        <v>43</v>
      </c>
      <c r="J355" s="15">
        <v>4</v>
      </c>
      <c r="K355" s="15">
        <v>2016</v>
      </c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 t="str">
        <f>"173.27"</f>
        <v>173.27</v>
      </c>
      <c r="AA355" s="15"/>
      <c r="AB355" s="15"/>
      <c r="AC355" s="15"/>
      <c r="AD355" s="15"/>
      <c r="AE355" s="15"/>
      <c r="AF355" s="15"/>
      <c r="AG355" s="15"/>
      <c r="AH355" s="15"/>
      <c r="AI355" s="15"/>
    </row>
    <row r="356" spans="1:35">
      <c r="A356" s="14">
        <v>354</v>
      </c>
      <c r="B356" s="14">
        <v>4219</v>
      </c>
      <c r="C356" s="14" t="s">
        <v>489</v>
      </c>
      <c r="D356" s="14" t="s">
        <v>168</v>
      </c>
      <c r="E356" s="15" t="str">
        <f>"201.43"</f>
        <v>201.43</v>
      </c>
      <c r="F356" s="15"/>
      <c r="G356" s="16" t="str">
        <f>"201.43"</f>
        <v>201.43</v>
      </c>
      <c r="H356" s="17">
        <f t="shared" si="5"/>
        <v>193.43</v>
      </c>
      <c r="I356" s="18" t="s">
        <v>43</v>
      </c>
      <c r="J356" s="15">
        <v>4</v>
      </c>
      <c r="K356" s="15">
        <v>2016</v>
      </c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 t="str">
        <f>"173.43"</f>
        <v>173.43</v>
      </c>
      <c r="AF356" s="15"/>
      <c r="AG356" s="15"/>
      <c r="AH356" s="15"/>
      <c r="AI356" s="15"/>
    </row>
    <row r="357" spans="1:35">
      <c r="A357" s="14">
        <v>355</v>
      </c>
      <c r="B357" s="14">
        <v>9969</v>
      </c>
      <c r="C357" s="14" t="s">
        <v>490</v>
      </c>
      <c r="D357" s="14" t="s">
        <v>51</v>
      </c>
      <c r="E357" s="15" t="str">
        <f>"187.52"</f>
        <v>187.52</v>
      </c>
      <c r="F357" s="15"/>
      <c r="G357" s="16">
        <v>201.52</v>
      </c>
      <c r="H357" s="17">
        <f t="shared" si="5"/>
        <v>193.52</v>
      </c>
      <c r="I357" s="18" t="s">
        <v>67</v>
      </c>
      <c r="J357" s="15">
        <v>1</v>
      </c>
      <c r="K357" s="15">
        <v>2016</v>
      </c>
      <c r="L357" s="15" t="str">
        <f>"187.52"</f>
        <v>187.52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</row>
    <row r="358" spans="1:35">
      <c r="A358" s="14">
        <v>356</v>
      </c>
      <c r="B358" s="14">
        <v>6476</v>
      </c>
      <c r="C358" s="14" t="s">
        <v>491</v>
      </c>
      <c r="D358" s="14" t="s">
        <v>182</v>
      </c>
      <c r="E358" s="15" t="str">
        <f>"175.38"</f>
        <v>175.38</v>
      </c>
      <c r="F358" s="15"/>
      <c r="G358" s="16" t="str">
        <f>"201.77"</f>
        <v>201.77</v>
      </c>
      <c r="H358" s="17">
        <f t="shared" si="5"/>
        <v>193.77</v>
      </c>
      <c r="I358" s="18" t="s">
        <v>43</v>
      </c>
      <c r="J358" s="15">
        <v>2</v>
      </c>
      <c r="K358" s="15">
        <v>2016</v>
      </c>
      <c r="L358" s="15" t="str">
        <f>"176.99"</f>
        <v>176.99</v>
      </c>
      <c r="M358" s="15"/>
      <c r="N358" s="15"/>
      <c r="O358" s="15"/>
      <c r="P358" s="15"/>
      <c r="Q358" s="15" t="str">
        <f>"173.77"</f>
        <v>173.77</v>
      </c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</row>
    <row r="359" spans="1:35">
      <c r="A359" s="14">
        <v>357</v>
      </c>
      <c r="B359" s="14">
        <v>3684</v>
      </c>
      <c r="C359" s="14" t="s">
        <v>492</v>
      </c>
      <c r="D359" s="14" t="s">
        <v>211</v>
      </c>
      <c r="E359" s="15" t="str">
        <f>"160.01"</f>
        <v>160.01</v>
      </c>
      <c r="F359" s="15"/>
      <c r="G359" s="16" t="str">
        <f>"202.22"</f>
        <v>202.22</v>
      </c>
      <c r="H359" s="17">
        <f t="shared" si="5"/>
        <v>194.22</v>
      </c>
      <c r="I359" s="18"/>
      <c r="J359" s="15">
        <v>3</v>
      </c>
      <c r="K359" s="15">
        <v>2016</v>
      </c>
      <c r="L359" s="15" t="str">
        <f>"160.01"</f>
        <v>160.01</v>
      </c>
      <c r="M359" s="15"/>
      <c r="N359" s="15"/>
      <c r="O359" s="15"/>
      <c r="P359" s="15"/>
      <c r="Q359" s="15" t="str">
        <f>"197.32"</f>
        <v>197.32</v>
      </c>
      <c r="R359" s="15"/>
      <c r="S359" s="15"/>
      <c r="T359" s="15"/>
      <c r="U359" s="15"/>
      <c r="V359" s="15"/>
      <c r="W359" s="15"/>
      <c r="X359" s="15"/>
      <c r="Y359" s="15"/>
      <c r="Z359" s="15" t="str">
        <f>"207.11"</f>
        <v>207.11</v>
      </c>
      <c r="AA359" s="15" t="str">
        <f>"256.97"</f>
        <v>256.97</v>
      </c>
      <c r="AB359" s="15"/>
      <c r="AC359" s="15" t="str">
        <f>"250.32"</f>
        <v>250.32</v>
      </c>
      <c r="AD359" s="15"/>
      <c r="AE359" s="15"/>
      <c r="AF359" s="15"/>
      <c r="AG359" s="15"/>
      <c r="AH359" s="15"/>
      <c r="AI359" s="15"/>
    </row>
    <row r="360" spans="1:35">
      <c r="A360" s="14">
        <v>358</v>
      </c>
      <c r="B360" s="14">
        <v>1781</v>
      </c>
      <c r="C360" s="14" t="s">
        <v>493</v>
      </c>
      <c r="D360" s="14" t="s">
        <v>494</v>
      </c>
      <c r="E360" s="15" t="str">
        <f>"136.27"</f>
        <v>136.27</v>
      </c>
      <c r="F360" s="15"/>
      <c r="G360" s="16" t="str">
        <f>"202.87"</f>
        <v>202.87</v>
      </c>
      <c r="H360" s="17">
        <f t="shared" si="5"/>
        <v>194.87</v>
      </c>
      <c r="I360" s="18" t="s">
        <v>43</v>
      </c>
      <c r="J360" s="15">
        <v>2</v>
      </c>
      <c r="K360" s="15">
        <v>2016</v>
      </c>
      <c r="L360" s="15" t="str">
        <f>"136.27"</f>
        <v>136.27</v>
      </c>
      <c r="M360" s="15"/>
      <c r="N360" s="15"/>
      <c r="O360" s="15"/>
      <c r="P360" s="15"/>
      <c r="Q360" s="15" t="str">
        <f>"174.87"</f>
        <v>174.87</v>
      </c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</row>
    <row r="361" spans="1:35">
      <c r="A361" s="14">
        <v>359</v>
      </c>
      <c r="B361" s="14">
        <v>2491</v>
      </c>
      <c r="C361" s="14" t="s">
        <v>495</v>
      </c>
      <c r="D361" s="14" t="s">
        <v>139</v>
      </c>
      <c r="E361" s="15" t="str">
        <f>"175.13"</f>
        <v>175.13</v>
      </c>
      <c r="F361" s="15"/>
      <c r="G361" s="16" t="str">
        <f>"203.13"</f>
        <v>203.13</v>
      </c>
      <c r="H361" s="17">
        <f t="shared" si="5"/>
        <v>195.13</v>
      </c>
      <c r="I361" s="18" t="s">
        <v>40</v>
      </c>
      <c r="J361" s="15">
        <v>1</v>
      </c>
      <c r="K361" s="15">
        <v>2016</v>
      </c>
      <c r="L361" s="15" t="str">
        <f>"175.13"</f>
        <v>175.13</v>
      </c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</row>
    <row r="362" spans="1:35">
      <c r="A362" s="14">
        <v>360</v>
      </c>
      <c r="B362" s="14">
        <v>6414</v>
      </c>
      <c r="C362" s="14" t="s">
        <v>496</v>
      </c>
      <c r="D362" s="14" t="s">
        <v>497</v>
      </c>
      <c r="E362" s="15" t="str">
        <f>"208.16"</f>
        <v>208.16</v>
      </c>
      <c r="F362" s="15"/>
      <c r="G362" s="16" t="str">
        <f>"203.19"</f>
        <v>203.19</v>
      </c>
      <c r="H362" s="17">
        <f t="shared" si="5"/>
        <v>195.19</v>
      </c>
      <c r="I362" s="18" t="s">
        <v>43</v>
      </c>
      <c r="J362" s="15">
        <v>2</v>
      </c>
      <c r="K362" s="15">
        <v>2016</v>
      </c>
      <c r="L362" s="15" t="str">
        <f>"241.12"</f>
        <v>241.12</v>
      </c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 t="str">
        <f>"175.19"</f>
        <v>175.19</v>
      </c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</row>
    <row r="363" spans="1:35">
      <c r="A363" s="14">
        <v>361</v>
      </c>
      <c r="B363" s="14">
        <v>5368</v>
      </c>
      <c r="C363" s="14" t="s">
        <v>498</v>
      </c>
      <c r="D363" s="14" t="s">
        <v>459</v>
      </c>
      <c r="E363" s="15" t="str">
        <f>"203.68"</f>
        <v>203.68</v>
      </c>
      <c r="F363" s="15"/>
      <c r="G363" s="16" t="str">
        <f>"203.68"</f>
        <v>203.68</v>
      </c>
      <c r="H363" s="17">
        <f t="shared" si="5"/>
        <v>195.68</v>
      </c>
      <c r="I363" s="18"/>
      <c r="J363" s="15">
        <v>3</v>
      </c>
      <c r="K363" s="15">
        <v>2016</v>
      </c>
      <c r="L363" s="15" t="str">
        <f>"236.98"</f>
        <v>236.98</v>
      </c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 t="str">
        <f>"226.86"</f>
        <v>226.86</v>
      </c>
      <c r="AA363" s="15"/>
      <c r="AB363" s="15"/>
      <c r="AC363" s="15"/>
      <c r="AD363" s="15"/>
      <c r="AE363" s="15" t="str">
        <f>"180.50"</f>
        <v>180.50</v>
      </c>
      <c r="AF363" s="15"/>
      <c r="AG363" s="15"/>
      <c r="AH363" s="15"/>
      <c r="AI363" s="15"/>
    </row>
    <row r="364" spans="1:35">
      <c r="A364" s="14">
        <v>362</v>
      </c>
      <c r="B364" s="14">
        <v>805</v>
      </c>
      <c r="C364" s="14" t="s">
        <v>499</v>
      </c>
      <c r="D364" s="14" t="s">
        <v>112</v>
      </c>
      <c r="E364" s="15" t="str">
        <f>"150.92"</f>
        <v>150.92</v>
      </c>
      <c r="F364" s="15"/>
      <c r="G364" s="16" t="str">
        <f>"204.03"</f>
        <v>204.03</v>
      </c>
      <c r="H364" s="17">
        <f t="shared" si="5"/>
        <v>196.03</v>
      </c>
      <c r="I364" s="18" t="s">
        <v>43</v>
      </c>
      <c r="J364" s="15">
        <v>2</v>
      </c>
      <c r="K364" s="15">
        <v>2016</v>
      </c>
      <c r="L364" s="15" t="str">
        <f>"150.92"</f>
        <v>150.92</v>
      </c>
      <c r="M364" s="15"/>
      <c r="N364" s="15"/>
      <c r="O364" s="15"/>
      <c r="P364" s="15"/>
      <c r="Q364" s="15"/>
      <c r="R364" s="15"/>
      <c r="S364" s="15"/>
      <c r="T364" s="15"/>
      <c r="U364" s="15"/>
      <c r="V364" s="15" t="str">
        <f>"176.03"</f>
        <v>176.03</v>
      </c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</row>
    <row r="365" spans="1:35">
      <c r="A365" s="14">
        <v>363</v>
      </c>
      <c r="B365" s="14">
        <v>538</v>
      </c>
      <c r="C365" s="14" t="s">
        <v>500</v>
      </c>
      <c r="D365" s="14" t="s">
        <v>55</v>
      </c>
      <c r="E365" s="15" t="str">
        <f>"176.48"</f>
        <v>176.48</v>
      </c>
      <c r="F365" s="15"/>
      <c r="G365" s="16" t="str">
        <f>"204.48"</f>
        <v>204.48</v>
      </c>
      <c r="H365" s="17">
        <f t="shared" si="5"/>
        <v>196.48</v>
      </c>
      <c r="I365" s="18" t="s">
        <v>40</v>
      </c>
      <c r="J365" s="15">
        <v>1</v>
      </c>
      <c r="K365" s="15">
        <v>2016</v>
      </c>
      <c r="L365" s="15" t="str">
        <f>"176.48"</f>
        <v>176.48</v>
      </c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</row>
    <row r="366" spans="1:35">
      <c r="A366" s="14">
        <v>364</v>
      </c>
      <c r="B366" s="14">
        <v>2331</v>
      </c>
      <c r="C366" s="14" t="s">
        <v>501</v>
      </c>
      <c r="D366" s="14" t="s">
        <v>51</v>
      </c>
      <c r="E366" s="15" t="str">
        <f>"204.65"</f>
        <v>204.65</v>
      </c>
      <c r="F366" s="15"/>
      <c r="G366" s="16" t="str">
        <f>"204.65"</f>
        <v>204.65</v>
      </c>
      <c r="H366" s="17">
        <f t="shared" si="5"/>
        <v>196.65</v>
      </c>
      <c r="I366" s="18"/>
      <c r="J366" s="15">
        <v>3</v>
      </c>
      <c r="K366" s="15">
        <v>2016</v>
      </c>
      <c r="L366" s="15" t="str">
        <f>"224.76"</f>
        <v>224.76</v>
      </c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 t="str">
        <f>"194.85"</f>
        <v>194.85</v>
      </c>
      <c r="Y366" s="15" t="str">
        <f>"214.45"</f>
        <v>214.45</v>
      </c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</row>
    <row r="367" spans="1:35">
      <c r="A367" s="14">
        <v>365</v>
      </c>
      <c r="B367" s="14">
        <v>8500</v>
      </c>
      <c r="C367" s="14" t="s">
        <v>502</v>
      </c>
      <c r="D367" s="14" t="s">
        <v>51</v>
      </c>
      <c r="E367" s="15" t="str">
        <f>"204.71"</f>
        <v>204.71</v>
      </c>
      <c r="F367" s="15"/>
      <c r="G367" s="16" t="str">
        <f>"204.71"</f>
        <v>204.71</v>
      </c>
      <c r="H367" s="17">
        <f t="shared" si="5"/>
        <v>196.71</v>
      </c>
      <c r="I367" s="18"/>
      <c r="J367" s="15">
        <v>3</v>
      </c>
      <c r="K367" s="15">
        <v>2016</v>
      </c>
      <c r="L367" s="15" t="str">
        <f>"269.01"</f>
        <v>269.01</v>
      </c>
      <c r="M367" s="15"/>
      <c r="N367" s="15"/>
      <c r="O367" s="15"/>
      <c r="P367" s="15"/>
      <c r="Q367" s="15"/>
      <c r="R367" s="15"/>
      <c r="S367" s="15" t="str">
        <f>"190.94"</f>
        <v>190.94</v>
      </c>
      <c r="T367" s="15" t="str">
        <f>"220.44"</f>
        <v>220.44</v>
      </c>
      <c r="U367" s="15"/>
      <c r="V367" s="15"/>
      <c r="W367" s="15"/>
      <c r="X367" s="15" t="str">
        <f>"218.47"</f>
        <v>218.47</v>
      </c>
      <c r="Y367" s="15" t="str">
        <f>"472.59"</f>
        <v>472.59</v>
      </c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</row>
    <row r="368" spans="1:35">
      <c r="A368" s="14">
        <v>366</v>
      </c>
      <c r="B368" s="14">
        <v>10249</v>
      </c>
      <c r="C368" s="14" t="s">
        <v>503</v>
      </c>
      <c r="D368" s="14" t="s">
        <v>207</v>
      </c>
      <c r="E368" s="15" t="str">
        <f>"176.77"</f>
        <v>176.77</v>
      </c>
      <c r="F368" s="15"/>
      <c r="G368" s="16" t="str">
        <f>"204.77"</f>
        <v>204.77</v>
      </c>
      <c r="H368" s="17">
        <f t="shared" si="5"/>
        <v>196.77</v>
      </c>
      <c r="I368" s="18" t="s">
        <v>40</v>
      </c>
      <c r="J368" s="15">
        <v>1</v>
      </c>
      <c r="K368" s="15">
        <v>2016</v>
      </c>
      <c r="L368" s="15" t="str">
        <f>"176.77"</f>
        <v>176.77</v>
      </c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</row>
    <row r="369" spans="1:35">
      <c r="A369" s="14">
        <v>367</v>
      </c>
      <c r="B369" s="14">
        <v>10126</v>
      </c>
      <c r="C369" s="14" t="s">
        <v>504</v>
      </c>
      <c r="D369" s="14" t="s">
        <v>58</v>
      </c>
      <c r="E369" s="15" t="str">
        <f>"185.19"</f>
        <v>185.19</v>
      </c>
      <c r="F369" s="15"/>
      <c r="G369" s="16" t="str">
        <f>"205.11"</f>
        <v>205.11</v>
      </c>
      <c r="H369" s="17">
        <f t="shared" si="5"/>
        <v>197.11</v>
      </c>
      <c r="I369" s="18"/>
      <c r="J369" s="15">
        <v>3</v>
      </c>
      <c r="K369" s="15">
        <v>2016</v>
      </c>
      <c r="L369" s="15" t="str">
        <f>"185.19"</f>
        <v>185.19</v>
      </c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 t="str">
        <f>"193.96"</f>
        <v>193.96</v>
      </c>
      <c r="AH369" s="15"/>
      <c r="AI369" s="15" t="str">
        <f>"216.25"</f>
        <v>216.25</v>
      </c>
    </row>
    <row r="370" spans="1:35">
      <c r="A370" s="14">
        <v>368</v>
      </c>
      <c r="B370" s="14">
        <v>5478</v>
      </c>
      <c r="C370" s="14" t="s">
        <v>505</v>
      </c>
      <c r="D370" s="14" t="s">
        <v>58</v>
      </c>
      <c r="E370" s="15" t="str">
        <f>"184.05"</f>
        <v>184.05</v>
      </c>
      <c r="F370" s="15"/>
      <c r="G370" s="16" t="str">
        <f>"205.55"</f>
        <v>205.55</v>
      </c>
      <c r="H370" s="17">
        <f t="shared" si="5"/>
        <v>197.55</v>
      </c>
      <c r="I370" s="18"/>
      <c r="J370" s="15">
        <v>3</v>
      </c>
      <c r="K370" s="15">
        <v>2016</v>
      </c>
      <c r="L370" s="15" t="str">
        <f>"186.48"</f>
        <v>186.48</v>
      </c>
      <c r="M370" s="15"/>
      <c r="N370" s="15"/>
      <c r="O370" s="15"/>
      <c r="P370" s="15" t="str">
        <f>"229.47"</f>
        <v>229.47</v>
      </c>
      <c r="Q370" s="15"/>
      <c r="R370" s="15"/>
      <c r="S370" s="15"/>
      <c r="T370" s="15"/>
      <c r="U370" s="15" t="str">
        <f>"308.82"</f>
        <v>308.82</v>
      </c>
      <c r="V370" s="15"/>
      <c r="W370" s="15"/>
      <c r="X370" s="15"/>
      <c r="Y370" s="15"/>
      <c r="Z370" s="15" t="str">
        <f>"181.62"</f>
        <v>181.62</v>
      </c>
      <c r="AA370" s="15"/>
      <c r="AB370" s="15"/>
      <c r="AC370" s="15"/>
      <c r="AD370" s="15"/>
      <c r="AE370" s="15"/>
      <c r="AF370" s="15"/>
      <c r="AG370" s="15"/>
      <c r="AH370" s="15"/>
      <c r="AI370" s="15"/>
    </row>
    <row r="371" spans="1:35">
      <c r="A371" s="14">
        <v>369</v>
      </c>
      <c r="B371" s="14">
        <v>3087</v>
      </c>
      <c r="C371" s="14" t="s">
        <v>506</v>
      </c>
      <c r="D371" s="14" t="s">
        <v>117</v>
      </c>
      <c r="E371" s="15" t="str">
        <f>"205.89"</f>
        <v>205.89</v>
      </c>
      <c r="F371" s="15"/>
      <c r="G371" s="16" t="str">
        <f>"205.89"</f>
        <v>205.89</v>
      </c>
      <c r="H371" s="17">
        <f t="shared" si="5"/>
        <v>197.89</v>
      </c>
      <c r="I371" s="18"/>
      <c r="J371" s="15">
        <v>3</v>
      </c>
      <c r="K371" s="15">
        <v>2016</v>
      </c>
      <c r="L371" s="15" t="str">
        <f>"316.43"</f>
        <v>316.43</v>
      </c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 t="str">
        <f>"186.15"</f>
        <v>186.15</v>
      </c>
      <c r="AC371" s="15"/>
      <c r="AD371" s="15" t="str">
        <f>"225.63"</f>
        <v>225.63</v>
      </c>
      <c r="AE371" s="15"/>
      <c r="AF371" s="15"/>
      <c r="AG371" s="15"/>
      <c r="AH371" s="15"/>
      <c r="AI371" s="15"/>
    </row>
    <row r="372" spans="1:35">
      <c r="A372" s="14">
        <v>370</v>
      </c>
      <c r="B372" s="14">
        <v>6853</v>
      </c>
      <c r="C372" s="14" t="s">
        <v>507</v>
      </c>
      <c r="D372" s="14" t="s">
        <v>131</v>
      </c>
      <c r="E372" s="15" t="str">
        <f>"178.18"</f>
        <v>178.18</v>
      </c>
      <c r="F372" s="15"/>
      <c r="G372" s="16" t="str">
        <f>"206.18"</f>
        <v>206.18</v>
      </c>
      <c r="H372" s="17">
        <f t="shared" si="5"/>
        <v>198.18</v>
      </c>
      <c r="I372" s="18" t="s">
        <v>40</v>
      </c>
      <c r="J372" s="15">
        <v>1</v>
      </c>
      <c r="K372" s="15">
        <v>2016</v>
      </c>
      <c r="L372" s="15" t="str">
        <f>"178.18"</f>
        <v>178.18</v>
      </c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</row>
    <row r="373" spans="1:35">
      <c r="A373" s="14">
        <v>371</v>
      </c>
      <c r="B373" s="14">
        <v>1208</v>
      </c>
      <c r="C373" s="14" t="s">
        <v>508</v>
      </c>
      <c r="D373" s="14" t="s">
        <v>192</v>
      </c>
      <c r="E373" s="15" t="str">
        <f>"181.73"</f>
        <v>181.73</v>
      </c>
      <c r="F373" s="15"/>
      <c r="G373" s="16" t="str">
        <f>"206.61"</f>
        <v>206.61</v>
      </c>
      <c r="H373" s="17">
        <f t="shared" si="5"/>
        <v>198.61</v>
      </c>
      <c r="I373" s="18"/>
      <c r="J373" s="15">
        <v>3</v>
      </c>
      <c r="K373" s="15">
        <v>2016</v>
      </c>
      <c r="L373" s="15" t="str">
        <f>"181.73"</f>
        <v>181.73</v>
      </c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 t="str">
        <f>"210.22"</f>
        <v>210.22</v>
      </c>
      <c r="AC373" s="15"/>
      <c r="AD373" s="15" t="str">
        <f>"203.00"</f>
        <v>203.00</v>
      </c>
      <c r="AE373" s="15"/>
      <c r="AF373" s="15"/>
      <c r="AG373" s="15"/>
      <c r="AH373" s="15"/>
      <c r="AI373" s="15"/>
    </row>
    <row r="374" spans="1:35">
      <c r="A374" s="14">
        <v>372</v>
      </c>
      <c r="B374" s="14">
        <v>10614</v>
      </c>
      <c r="C374" s="14" t="s">
        <v>509</v>
      </c>
      <c r="D374" s="14" t="s">
        <v>51</v>
      </c>
      <c r="E374" s="15" t="str">
        <f>"206.68"</f>
        <v>206.68</v>
      </c>
      <c r="F374" s="15"/>
      <c r="G374" s="16" t="str">
        <f>"206.68"</f>
        <v>206.68</v>
      </c>
      <c r="H374" s="17">
        <f t="shared" si="5"/>
        <v>198.68</v>
      </c>
      <c r="I374" s="18"/>
      <c r="J374" s="15">
        <v>3</v>
      </c>
      <c r="K374" s="15">
        <v>2016</v>
      </c>
      <c r="L374" s="15" t="str">
        <f>"300.68"</f>
        <v>300.68</v>
      </c>
      <c r="M374" s="15"/>
      <c r="N374" s="15"/>
      <c r="O374" s="15"/>
      <c r="P374" s="15"/>
      <c r="Q374" s="15"/>
      <c r="R374" s="15"/>
      <c r="S374" s="15" t="str">
        <f>"281.65"</f>
        <v>281.65</v>
      </c>
      <c r="T374" s="15" t="str">
        <f>"320.79"</f>
        <v>320.79</v>
      </c>
      <c r="U374" s="15"/>
      <c r="V374" s="15"/>
      <c r="W374" s="15"/>
      <c r="X374" s="15" t="str">
        <f>"196.01"</f>
        <v>196.01</v>
      </c>
      <c r="Y374" s="15" t="str">
        <f>"234.58"</f>
        <v>234.58</v>
      </c>
      <c r="Z374" s="15"/>
      <c r="AA374" s="15"/>
      <c r="AB374" s="15"/>
      <c r="AC374" s="15"/>
      <c r="AD374" s="15"/>
      <c r="AE374" s="15"/>
      <c r="AF374" s="15"/>
      <c r="AG374" s="15" t="str">
        <f>"217.34"</f>
        <v>217.34</v>
      </c>
      <c r="AH374" s="15" t="str">
        <f>"219.35"</f>
        <v>219.35</v>
      </c>
      <c r="AI374" s="15" t="str">
        <f>"226.12"</f>
        <v>226.12</v>
      </c>
    </row>
    <row r="375" spans="1:35">
      <c r="A375" s="14">
        <v>373</v>
      </c>
      <c r="B375" s="14">
        <v>10504</v>
      </c>
      <c r="C375" s="14" t="s">
        <v>510</v>
      </c>
      <c r="D375" s="14" t="s">
        <v>58</v>
      </c>
      <c r="E375" s="15" t="str">
        <f>"206.90"</f>
        <v>206.90</v>
      </c>
      <c r="F375" s="15"/>
      <c r="G375" s="16" t="str">
        <f>"206.90"</f>
        <v>206.90</v>
      </c>
      <c r="H375" s="17">
        <f t="shared" si="5"/>
        <v>198.9</v>
      </c>
      <c r="I375" s="18"/>
      <c r="J375" s="15">
        <v>3</v>
      </c>
      <c r="K375" s="15">
        <v>2016</v>
      </c>
      <c r="L375" s="15" t="str">
        <f>"321.73"</f>
        <v>321.73</v>
      </c>
      <c r="M375" s="15"/>
      <c r="N375" s="15" t="str">
        <f>"262.60"</f>
        <v>262.60</v>
      </c>
      <c r="O375" s="15"/>
      <c r="P375" s="15" t="str">
        <f>"321.77"</f>
        <v>321.77</v>
      </c>
      <c r="Q375" s="15"/>
      <c r="R375" s="15"/>
      <c r="S375" s="15"/>
      <c r="T375" s="15"/>
      <c r="U375" s="15" t="str">
        <f>"388.66"</f>
        <v>388.66</v>
      </c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 t="str">
        <f>"151.20"</f>
        <v>151.20</v>
      </c>
      <c r="AG375" s="15"/>
      <c r="AH375" s="15"/>
      <c r="AI375" s="15"/>
    </row>
    <row r="376" spans="1:35">
      <c r="A376" s="14">
        <v>374</v>
      </c>
      <c r="B376" s="14">
        <v>6131</v>
      </c>
      <c r="C376" s="14" t="s">
        <v>511</v>
      </c>
      <c r="D376" s="14" t="s">
        <v>58</v>
      </c>
      <c r="E376" s="15" t="str">
        <f>"207.15"</f>
        <v>207.15</v>
      </c>
      <c r="F376" s="15"/>
      <c r="G376" s="16" t="str">
        <f>"207.46"</f>
        <v>207.46</v>
      </c>
      <c r="H376" s="17">
        <f t="shared" si="5"/>
        <v>199.46</v>
      </c>
      <c r="I376" s="18"/>
      <c r="J376" s="15">
        <v>3</v>
      </c>
      <c r="K376" s="15">
        <v>2016</v>
      </c>
      <c r="L376" s="15" t="str">
        <f>"232.67"</f>
        <v>232.67</v>
      </c>
      <c r="M376" s="15"/>
      <c r="N376" s="15"/>
      <c r="O376" s="15"/>
      <c r="P376" s="15" t="str">
        <f>"233.30"</f>
        <v>233.30</v>
      </c>
      <c r="Q376" s="15"/>
      <c r="R376" s="15"/>
      <c r="S376" s="15"/>
      <c r="T376" s="15"/>
      <c r="U376" s="15" t="str">
        <f>"181.62"</f>
        <v>181.62</v>
      </c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</row>
    <row r="377" spans="1:35">
      <c r="A377" s="14">
        <v>375</v>
      </c>
      <c r="B377" s="14">
        <v>8313</v>
      </c>
      <c r="C377" s="14" t="s">
        <v>512</v>
      </c>
      <c r="D377" s="14" t="s">
        <v>39</v>
      </c>
      <c r="E377" s="15" t="str">
        <f>"176.53"</f>
        <v>176.53</v>
      </c>
      <c r="F377" s="15"/>
      <c r="G377" s="16" t="str">
        <f>"207.59"</f>
        <v>207.59</v>
      </c>
      <c r="H377" s="17">
        <f t="shared" si="5"/>
        <v>199.59</v>
      </c>
      <c r="I377" s="18"/>
      <c r="J377" s="15">
        <v>3</v>
      </c>
      <c r="K377" s="15">
        <v>2016</v>
      </c>
      <c r="L377" s="15" t="str">
        <f>"183.70"</f>
        <v>183.70</v>
      </c>
      <c r="M377" s="15"/>
      <c r="N377" s="15"/>
      <c r="O377" s="15"/>
      <c r="P377" s="15"/>
      <c r="Q377" s="15"/>
      <c r="R377" s="15" t="str">
        <f>"169.36"</f>
        <v>169.36</v>
      </c>
      <c r="S377" s="15"/>
      <c r="T377" s="15"/>
      <c r="U377" s="15"/>
      <c r="V377" s="15"/>
      <c r="W377" s="15"/>
      <c r="X377" s="15"/>
      <c r="Y377" s="15"/>
      <c r="Z377" s="15"/>
      <c r="AA377" s="15"/>
      <c r="AB377" s="15" t="str">
        <f>"245.82"</f>
        <v>245.82</v>
      </c>
      <c r="AC377" s="15"/>
      <c r="AD377" s="15" t="str">
        <f>"361.25"</f>
        <v>361.25</v>
      </c>
      <c r="AE377" s="15"/>
      <c r="AF377" s="15"/>
      <c r="AG377" s="15"/>
      <c r="AH377" s="15"/>
      <c r="AI377" s="15"/>
    </row>
    <row r="378" spans="1:35">
      <c r="A378" s="14">
        <v>376</v>
      </c>
      <c r="B378" s="14">
        <v>1880</v>
      </c>
      <c r="C378" s="14" t="s">
        <v>513</v>
      </c>
      <c r="D378" s="14" t="s">
        <v>514</v>
      </c>
      <c r="E378" s="15" t="str">
        <f>"208.33"</f>
        <v>208.33</v>
      </c>
      <c r="F378" s="15"/>
      <c r="G378" s="16" t="str">
        <f>"208.08"</f>
        <v>208.08</v>
      </c>
      <c r="H378" s="17">
        <f t="shared" si="5"/>
        <v>200.08</v>
      </c>
      <c r="I378" s="18" t="s">
        <v>43</v>
      </c>
      <c r="J378" s="15">
        <v>2</v>
      </c>
      <c r="K378" s="15">
        <v>2016</v>
      </c>
      <c r="L378" s="15" t="str">
        <f>"236.58"</f>
        <v>236.58</v>
      </c>
      <c r="M378" s="15"/>
      <c r="N378" s="15"/>
      <c r="O378" s="15"/>
      <c r="P378" s="15"/>
      <c r="Q378" s="15" t="str">
        <f>"180.08"</f>
        <v>180.08</v>
      </c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</row>
    <row r="379" spans="1:35">
      <c r="A379" s="14">
        <v>377</v>
      </c>
      <c r="B379" s="14">
        <v>10187</v>
      </c>
      <c r="C379" s="14" t="s">
        <v>515</v>
      </c>
      <c r="D379" s="14" t="s">
        <v>58</v>
      </c>
      <c r="E379" s="15" t="str">
        <f>"208.32"</f>
        <v>208.32</v>
      </c>
      <c r="F379" s="15"/>
      <c r="G379" s="16" t="str">
        <f>"208.32"</f>
        <v>208.32</v>
      </c>
      <c r="H379" s="17">
        <f t="shared" si="5"/>
        <v>200.32</v>
      </c>
      <c r="I379" s="18"/>
      <c r="J379" s="15">
        <v>3</v>
      </c>
      <c r="K379" s="15">
        <v>2016</v>
      </c>
      <c r="L379" s="15" t="str">
        <f>"343.60"</f>
        <v>343.60</v>
      </c>
      <c r="M379" s="15"/>
      <c r="N379" s="15"/>
      <c r="O379" s="15"/>
      <c r="P379" s="15"/>
      <c r="Q379" s="15"/>
      <c r="R379" s="15"/>
      <c r="S379" s="15"/>
      <c r="T379" s="15"/>
      <c r="U379" s="15" t="str">
        <f>"420.06"</f>
        <v>420.06</v>
      </c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 t="str">
        <f>"212.73"</f>
        <v>212.73</v>
      </c>
      <c r="AH379" s="15" t="str">
        <f>"203.90"</f>
        <v>203.90</v>
      </c>
      <c r="AI379" s="15" t="str">
        <f>"213.94"</f>
        <v>213.94</v>
      </c>
    </row>
    <row r="380" spans="1:35">
      <c r="A380" s="14">
        <v>378</v>
      </c>
      <c r="B380" s="14">
        <v>10297</v>
      </c>
      <c r="C380" s="14" t="s">
        <v>516</v>
      </c>
      <c r="D380" s="14" t="s">
        <v>119</v>
      </c>
      <c r="E380" s="15" t="str">
        <f>"244.53"</f>
        <v>244.53</v>
      </c>
      <c r="F380" s="15"/>
      <c r="G380" s="16" t="str">
        <f>"208.88"</f>
        <v>208.88</v>
      </c>
      <c r="H380" s="17">
        <f t="shared" si="5"/>
        <v>200.88</v>
      </c>
      <c r="I380" s="18" t="s">
        <v>43</v>
      </c>
      <c r="J380" s="15">
        <v>2</v>
      </c>
      <c r="K380" s="15">
        <v>2016</v>
      </c>
      <c r="L380" s="15" t="str">
        <f>"308.18"</f>
        <v>308.18</v>
      </c>
      <c r="M380" s="15" t="str">
        <f>"180.88"</f>
        <v>180.88</v>
      </c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</row>
    <row r="381" spans="1:35">
      <c r="A381" s="14">
        <v>379</v>
      </c>
      <c r="B381" s="14">
        <v>1278</v>
      </c>
      <c r="C381" s="14" t="s">
        <v>517</v>
      </c>
      <c r="D381" s="14" t="s">
        <v>425</v>
      </c>
      <c r="E381" s="15" t="str">
        <f>"205.37"</f>
        <v>205.37</v>
      </c>
      <c r="F381" s="15"/>
      <c r="G381" s="16" t="str">
        <f>"209.13"</f>
        <v>209.13</v>
      </c>
      <c r="H381" s="17">
        <f t="shared" si="5"/>
        <v>201.13</v>
      </c>
      <c r="I381" s="18"/>
      <c r="J381" s="15">
        <v>3</v>
      </c>
      <c r="K381" s="15">
        <v>2016</v>
      </c>
      <c r="L381" s="15" t="str">
        <f>"205.37"</f>
        <v>205.37</v>
      </c>
      <c r="M381" s="15"/>
      <c r="N381" s="15"/>
      <c r="O381" s="15"/>
      <c r="P381" s="15"/>
      <c r="Q381" s="15"/>
      <c r="R381" s="15" t="str">
        <f>"211.27"</f>
        <v>211.27</v>
      </c>
      <c r="S381" s="15"/>
      <c r="T381" s="15"/>
      <c r="U381" s="15"/>
      <c r="V381" s="15"/>
      <c r="W381" s="15" t="str">
        <f>"206.99"</f>
        <v>206.99</v>
      </c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</row>
    <row r="382" spans="1:35">
      <c r="A382" s="14">
        <v>380</v>
      </c>
      <c r="B382" s="14">
        <v>3432</v>
      </c>
      <c r="C382" s="14" t="s">
        <v>518</v>
      </c>
      <c r="D382" s="14" t="s">
        <v>42</v>
      </c>
      <c r="E382" s="15" t="str">
        <f>"180.10"</f>
        <v>180.10</v>
      </c>
      <c r="F382" s="15"/>
      <c r="G382" s="16" t="str">
        <f>"209.22"</f>
        <v>209.22</v>
      </c>
      <c r="H382" s="17">
        <f t="shared" si="5"/>
        <v>201.22</v>
      </c>
      <c r="I382" s="18"/>
      <c r="J382" s="15">
        <v>3</v>
      </c>
      <c r="K382" s="15">
        <v>2016</v>
      </c>
      <c r="L382" s="15" t="str">
        <f>"192.38"</f>
        <v>192.38</v>
      </c>
      <c r="M382" s="15"/>
      <c r="N382" s="15"/>
      <c r="O382" s="15"/>
      <c r="P382" s="15"/>
      <c r="Q382" s="15" t="str">
        <f>"167.82"</f>
        <v>167.82</v>
      </c>
      <c r="R382" s="15"/>
      <c r="S382" s="15"/>
      <c r="T382" s="15"/>
      <c r="U382" s="15"/>
      <c r="V382" s="15" t="str">
        <f>"303.41"</f>
        <v>303.41</v>
      </c>
      <c r="W382" s="15"/>
      <c r="X382" s="15"/>
      <c r="Y382" s="15"/>
      <c r="Z382" s="15" t="str">
        <f>"250.62"</f>
        <v>250.62</v>
      </c>
      <c r="AA382" s="15"/>
      <c r="AB382" s="15"/>
      <c r="AC382" s="15"/>
      <c r="AD382" s="15"/>
      <c r="AE382" s="15"/>
      <c r="AF382" s="15"/>
      <c r="AG382" s="15"/>
      <c r="AH382" s="15"/>
      <c r="AI382" s="15"/>
    </row>
    <row r="383" spans="1:35">
      <c r="A383" s="14">
        <v>381</v>
      </c>
      <c r="B383" s="14">
        <v>9812</v>
      </c>
      <c r="C383" s="14" t="s">
        <v>519</v>
      </c>
      <c r="D383" s="14" t="s">
        <v>520</v>
      </c>
      <c r="E383" s="15" t="str">
        <f>"164.15"</f>
        <v>164.15</v>
      </c>
      <c r="F383" s="15"/>
      <c r="G383" s="16" t="str">
        <f>"209.39"</f>
        <v>209.39</v>
      </c>
      <c r="H383" s="17">
        <f t="shared" si="5"/>
        <v>201.39</v>
      </c>
      <c r="I383" s="18"/>
      <c r="J383" s="15">
        <v>3</v>
      </c>
      <c r="K383" s="15">
        <v>2016</v>
      </c>
      <c r="L383" s="15" t="str">
        <f>"167.22"</f>
        <v>167.22</v>
      </c>
      <c r="M383" s="15"/>
      <c r="N383" s="15"/>
      <c r="O383" s="15"/>
      <c r="P383" s="15"/>
      <c r="Q383" s="15" t="str">
        <f>"161.07"</f>
        <v>161.07</v>
      </c>
      <c r="R383" s="15"/>
      <c r="S383" s="15"/>
      <c r="T383" s="15"/>
      <c r="U383" s="15"/>
      <c r="V383" s="15"/>
      <c r="W383" s="15"/>
      <c r="X383" s="15"/>
      <c r="Y383" s="15"/>
      <c r="Z383" s="15"/>
      <c r="AA383" s="15" t="str">
        <f>"257.70"</f>
        <v>257.70</v>
      </c>
      <c r="AB383" s="15"/>
      <c r="AC383" s="15"/>
      <c r="AD383" s="15"/>
      <c r="AE383" s="15"/>
      <c r="AF383" s="15"/>
      <c r="AG383" s="15"/>
      <c r="AH383" s="15"/>
      <c r="AI383" s="15"/>
    </row>
    <row r="384" spans="1:35">
      <c r="A384" s="14">
        <v>382</v>
      </c>
      <c r="B384" s="14">
        <v>10860</v>
      </c>
      <c r="C384" s="14" t="s">
        <v>521</v>
      </c>
      <c r="D384" s="14" t="s">
        <v>51</v>
      </c>
      <c r="E384" s="15" t="str">
        <f>"209.40"</f>
        <v>209.40</v>
      </c>
      <c r="F384" s="15"/>
      <c r="G384" s="16" t="str">
        <f>"209.40"</f>
        <v>209.40</v>
      </c>
      <c r="H384" s="17">
        <f t="shared" si="5"/>
        <v>201.4</v>
      </c>
      <c r="I384" s="18" t="s">
        <v>43</v>
      </c>
      <c r="J384" s="15">
        <v>4</v>
      </c>
      <c r="K384" s="15">
        <v>2016</v>
      </c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 t="str">
        <f>"181.40"</f>
        <v>181.40</v>
      </c>
      <c r="AH384" s="15"/>
      <c r="AI384" s="15"/>
    </row>
    <row r="385" spans="1:35">
      <c r="A385" s="14">
        <v>383</v>
      </c>
      <c r="B385" s="14">
        <v>5111</v>
      </c>
      <c r="C385" s="14" t="s">
        <v>522</v>
      </c>
      <c r="D385" s="14" t="s">
        <v>45</v>
      </c>
      <c r="E385" s="15" t="str">
        <f>"181.58"</f>
        <v>181.58</v>
      </c>
      <c r="F385" s="15"/>
      <c r="G385" s="16" t="str">
        <f>"209.58"</f>
        <v>209.58</v>
      </c>
      <c r="H385" s="17">
        <f t="shared" si="5"/>
        <v>201.58</v>
      </c>
      <c r="I385" s="18" t="s">
        <v>40</v>
      </c>
      <c r="J385" s="15">
        <v>1</v>
      </c>
      <c r="K385" s="15">
        <v>2016</v>
      </c>
      <c r="L385" s="15" t="str">
        <f>"181.58"</f>
        <v>181.58</v>
      </c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</row>
    <row r="386" spans="1:35">
      <c r="A386" s="14">
        <v>384</v>
      </c>
      <c r="B386" s="14">
        <v>10577</v>
      </c>
      <c r="C386" s="14" t="s">
        <v>523</v>
      </c>
      <c r="D386" s="14" t="s">
        <v>51</v>
      </c>
      <c r="E386" s="15" t="str">
        <f>"209.64"</f>
        <v>209.64</v>
      </c>
      <c r="F386" s="15"/>
      <c r="G386" s="16" t="str">
        <f>"209.64"</f>
        <v>209.64</v>
      </c>
      <c r="H386" s="17">
        <f t="shared" si="5"/>
        <v>201.64</v>
      </c>
      <c r="I386" s="18"/>
      <c r="J386" s="15">
        <v>3</v>
      </c>
      <c r="K386" s="15">
        <v>2016</v>
      </c>
      <c r="L386" s="15" t="str">
        <f>"315.02"</f>
        <v>315.02</v>
      </c>
      <c r="M386" s="15"/>
      <c r="N386" s="15"/>
      <c r="O386" s="15"/>
      <c r="P386" s="15"/>
      <c r="Q386" s="15"/>
      <c r="R386" s="15"/>
      <c r="S386" s="15" t="str">
        <f>"259.77"</f>
        <v>259.77</v>
      </c>
      <c r="T386" s="15" t="str">
        <f>"277.98"</f>
        <v>277.98</v>
      </c>
      <c r="U386" s="15"/>
      <c r="V386" s="15" t="str">
        <f>"275.06"</f>
        <v>275.06</v>
      </c>
      <c r="W386" s="15"/>
      <c r="X386" s="15" t="str">
        <f>"256.70"</f>
        <v>256.70</v>
      </c>
      <c r="Y386" s="15" t="str">
        <f>"339.49"</f>
        <v>339.49</v>
      </c>
      <c r="Z386" s="15"/>
      <c r="AA386" s="15"/>
      <c r="AB386" s="15"/>
      <c r="AC386" s="15"/>
      <c r="AD386" s="15"/>
      <c r="AE386" s="15" t="str">
        <f>"197.24"</f>
        <v>197.24</v>
      </c>
      <c r="AF386" s="15"/>
      <c r="AG386" s="15" t="str">
        <f>"236.43"</f>
        <v>236.43</v>
      </c>
      <c r="AH386" s="15" t="str">
        <f>"222.03"</f>
        <v>222.03</v>
      </c>
      <c r="AI386" s="15" t="str">
        <f>"255.42"</f>
        <v>255.42</v>
      </c>
    </row>
    <row r="387" spans="1:35">
      <c r="A387" s="14">
        <v>385</v>
      </c>
      <c r="B387" s="14">
        <v>5344</v>
      </c>
      <c r="C387" s="14" t="s">
        <v>524</v>
      </c>
      <c r="D387" s="14" t="s">
        <v>136</v>
      </c>
      <c r="E387" s="15" t="str">
        <f>"181.80"</f>
        <v>181.80</v>
      </c>
      <c r="F387" s="15"/>
      <c r="G387" s="16" t="str">
        <f>"209.80"</f>
        <v>209.80</v>
      </c>
      <c r="H387" s="17">
        <f t="shared" ref="H387:H450" si="6">G387-8</f>
        <v>201.8</v>
      </c>
      <c r="I387" s="18" t="s">
        <v>40</v>
      </c>
      <c r="J387" s="15">
        <v>1</v>
      </c>
      <c r="K387" s="15">
        <v>2016</v>
      </c>
      <c r="L387" s="15" t="str">
        <f>"181.80"</f>
        <v>181.80</v>
      </c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</row>
    <row r="388" spans="1:35">
      <c r="A388" s="14">
        <v>386</v>
      </c>
      <c r="B388" s="14">
        <v>10478</v>
      </c>
      <c r="C388" s="14" t="s">
        <v>525</v>
      </c>
      <c r="D388" s="14" t="s">
        <v>58</v>
      </c>
      <c r="E388" s="15" t="str">
        <f>"210.16"</f>
        <v>210.16</v>
      </c>
      <c r="F388" s="15"/>
      <c r="G388" s="16" t="str">
        <f>"210.16"</f>
        <v>210.16</v>
      </c>
      <c r="H388" s="17">
        <f t="shared" si="6"/>
        <v>202.16</v>
      </c>
      <c r="I388" s="18"/>
      <c r="J388" s="15">
        <v>3</v>
      </c>
      <c r="K388" s="15">
        <v>2016</v>
      </c>
      <c r="L388" s="15" t="str">
        <f>"264.61"</f>
        <v>264.61</v>
      </c>
      <c r="M388" s="15"/>
      <c r="N388" s="15" t="str">
        <f>"225.10"</f>
        <v>225.10</v>
      </c>
      <c r="O388" s="15"/>
      <c r="P388" s="15" t="str">
        <f>"195.21"</f>
        <v>195.21</v>
      </c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</row>
    <row r="389" spans="1:35">
      <c r="A389" s="14">
        <v>387</v>
      </c>
      <c r="B389" s="14">
        <v>10579</v>
      </c>
      <c r="C389" s="14" t="s">
        <v>526</v>
      </c>
      <c r="D389" s="14" t="s">
        <v>51</v>
      </c>
      <c r="E389" s="15" t="str">
        <f>"210.28"</f>
        <v>210.28</v>
      </c>
      <c r="F389" s="15"/>
      <c r="G389" s="16" t="str">
        <f>"210.28"</f>
        <v>210.28</v>
      </c>
      <c r="H389" s="17">
        <f t="shared" si="6"/>
        <v>202.28</v>
      </c>
      <c r="I389" s="18"/>
      <c r="J389" s="15">
        <v>3</v>
      </c>
      <c r="K389" s="15">
        <v>2016</v>
      </c>
      <c r="L389" s="15" t="str">
        <f>"318.42"</f>
        <v>318.42</v>
      </c>
      <c r="M389" s="15"/>
      <c r="N389" s="15"/>
      <c r="O389" s="15"/>
      <c r="P389" s="15"/>
      <c r="Q389" s="15"/>
      <c r="R389" s="15"/>
      <c r="S389" s="15" t="str">
        <f>"209.97"</f>
        <v>209.97</v>
      </c>
      <c r="T389" s="15" t="str">
        <f>"316.26"</f>
        <v>316.26</v>
      </c>
      <c r="U389" s="15"/>
      <c r="V389" s="15"/>
      <c r="W389" s="15"/>
      <c r="X389" s="15" t="str">
        <f>"213.59"</f>
        <v>213.59</v>
      </c>
      <c r="Y389" s="15" t="str">
        <f>"210.59"</f>
        <v>210.59</v>
      </c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</row>
    <row r="390" spans="1:35">
      <c r="A390" s="14">
        <v>388</v>
      </c>
      <c r="B390" s="14">
        <v>8568</v>
      </c>
      <c r="C390" s="14" t="s">
        <v>527</v>
      </c>
      <c r="D390" s="14" t="s">
        <v>189</v>
      </c>
      <c r="E390" s="15" t="str">
        <f>"160.92"</f>
        <v>160.92</v>
      </c>
      <c r="F390" s="15"/>
      <c r="G390" s="16" t="str">
        <f>"210.31"</f>
        <v>210.31</v>
      </c>
      <c r="H390" s="17">
        <f t="shared" si="6"/>
        <v>202.31</v>
      </c>
      <c r="I390" s="18" t="s">
        <v>43</v>
      </c>
      <c r="J390" s="15">
        <v>2</v>
      </c>
      <c r="K390" s="15">
        <v>2016</v>
      </c>
      <c r="L390" s="15" t="str">
        <f>"160.92"</f>
        <v>160.92</v>
      </c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 t="str">
        <f>"182.31"</f>
        <v>182.31</v>
      </c>
      <c r="AA390" s="15"/>
      <c r="AB390" s="15"/>
      <c r="AC390" s="15"/>
      <c r="AD390" s="15"/>
      <c r="AE390" s="15"/>
      <c r="AF390" s="15"/>
      <c r="AG390" s="15"/>
      <c r="AH390" s="15"/>
      <c r="AI390" s="15"/>
    </row>
    <row r="391" spans="1:35">
      <c r="A391" s="14">
        <v>389</v>
      </c>
      <c r="B391" s="14">
        <v>5162</v>
      </c>
      <c r="C391" s="14" t="s">
        <v>528</v>
      </c>
      <c r="D391" s="14" t="s">
        <v>529</v>
      </c>
      <c r="E391" s="15" t="str">
        <f>"183.37"</f>
        <v>183.37</v>
      </c>
      <c r="F391" s="15"/>
      <c r="G391" s="16" t="str">
        <f>"211.37"</f>
        <v>211.37</v>
      </c>
      <c r="H391" s="17">
        <f t="shared" si="6"/>
        <v>203.37</v>
      </c>
      <c r="I391" s="18" t="s">
        <v>40</v>
      </c>
      <c r="J391" s="15">
        <v>1</v>
      </c>
      <c r="K391" s="15">
        <v>2016</v>
      </c>
      <c r="L391" s="15" t="str">
        <f>"183.37"</f>
        <v>183.37</v>
      </c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</row>
    <row r="392" spans="1:35">
      <c r="A392" s="14">
        <v>390</v>
      </c>
      <c r="B392" s="14">
        <v>2356</v>
      </c>
      <c r="C392" s="14" t="s">
        <v>530</v>
      </c>
      <c r="D392" s="14" t="s">
        <v>51</v>
      </c>
      <c r="E392" s="15" t="str">
        <f>"183.31"</f>
        <v>183.31</v>
      </c>
      <c r="F392" s="15"/>
      <c r="G392" s="16" t="str">
        <f>"211.38"</f>
        <v>211.38</v>
      </c>
      <c r="H392" s="17">
        <f t="shared" si="6"/>
        <v>203.38</v>
      </c>
      <c r="I392" s="18"/>
      <c r="J392" s="15">
        <v>3</v>
      </c>
      <c r="K392" s="15">
        <v>2016</v>
      </c>
      <c r="L392" s="15" t="str">
        <f>"183.31"</f>
        <v>183.31</v>
      </c>
      <c r="M392" s="15"/>
      <c r="N392" s="15"/>
      <c r="O392" s="15"/>
      <c r="P392" s="15"/>
      <c r="Q392" s="15"/>
      <c r="R392" s="15"/>
      <c r="S392" s="15"/>
      <c r="T392" s="15" t="str">
        <f>"199.88"</f>
        <v>199.88</v>
      </c>
      <c r="U392" s="15"/>
      <c r="V392" s="15"/>
      <c r="W392" s="15"/>
      <c r="X392" s="15"/>
      <c r="Y392" s="15" t="str">
        <f>"222.87"</f>
        <v>222.87</v>
      </c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</row>
    <row r="393" spans="1:35">
      <c r="A393" s="14">
        <v>391</v>
      </c>
      <c r="B393" s="14">
        <v>3219</v>
      </c>
      <c r="C393" s="14" t="s">
        <v>531</v>
      </c>
      <c r="D393" s="14" t="s">
        <v>532</v>
      </c>
      <c r="E393" s="15" t="str">
        <f>"183.84"</f>
        <v>183.84</v>
      </c>
      <c r="F393" s="15"/>
      <c r="G393" s="16" t="str">
        <f>"211.84"</f>
        <v>211.84</v>
      </c>
      <c r="H393" s="17">
        <f t="shared" si="6"/>
        <v>203.84</v>
      </c>
      <c r="I393" s="18" t="s">
        <v>40</v>
      </c>
      <c r="J393" s="15">
        <v>1</v>
      </c>
      <c r="K393" s="15">
        <v>2016</v>
      </c>
      <c r="L393" s="15" t="str">
        <f>"183.84"</f>
        <v>183.84</v>
      </c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</row>
    <row r="394" spans="1:35">
      <c r="A394" s="14">
        <v>392</v>
      </c>
      <c r="B394" s="14">
        <v>9650</v>
      </c>
      <c r="C394" s="14" t="s">
        <v>533</v>
      </c>
      <c r="D394" s="14" t="s">
        <v>187</v>
      </c>
      <c r="E394" s="15" t="str">
        <f>"212.35"</f>
        <v>212.35</v>
      </c>
      <c r="F394" s="15"/>
      <c r="G394" s="16" t="str">
        <f>"212.35"</f>
        <v>212.35</v>
      </c>
      <c r="H394" s="17">
        <f t="shared" si="6"/>
        <v>204.35</v>
      </c>
      <c r="I394" s="18"/>
      <c r="J394" s="15">
        <v>3</v>
      </c>
      <c r="K394" s="15">
        <v>2016</v>
      </c>
      <c r="L394" s="15" t="str">
        <f>"306.74"</f>
        <v>306.74</v>
      </c>
      <c r="M394" s="15"/>
      <c r="N394" s="15"/>
      <c r="O394" s="15"/>
      <c r="P394" s="15"/>
      <c r="Q394" s="15" t="str">
        <f>"202.39"</f>
        <v>202.39</v>
      </c>
      <c r="R394" s="15"/>
      <c r="S394" s="15"/>
      <c r="T394" s="15"/>
      <c r="U394" s="15"/>
      <c r="V394" s="15"/>
      <c r="W394" s="15"/>
      <c r="X394" s="15"/>
      <c r="Y394" s="15"/>
      <c r="Z394" s="15" t="str">
        <f>"222.30"</f>
        <v>222.30</v>
      </c>
      <c r="AA394" s="15" t="str">
        <f>"319.66"</f>
        <v>319.66</v>
      </c>
      <c r="AB394" s="15"/>
      <c r="AC394" s="15"/>
      <c r="AD394" s="15"/>
      <c r="AE394" s="15"/>
      <c r="AF394" s="15"/>
      <c r="AG394" s="15"/>
      <c r="AH394" s="15"/>
      <c r="AI394" s="15"/>
    </row>
    <row r="395" spans="1:35">
      <c r="A395" s="14">
        <v>393</v>
      </c>
      <c r="B395" s="14">
        <v>141</v>
      </c>
      <c r="C395" s="14" t="s">
        <v>534</v>
      </c>
      <c r="D395" s="14" t="s">
        <v>182</v>
      </c>
      <c r="E395" s="15" t="str">
        <f>"212.90"</f>
        <v>212.90</v>
      </c>
      <c r="F395" s="15"/>
      <c r="G395" s="16" t="str">
        <f>"212.90"</f>
        <v>212.90</v>
      </c>
      <c r="H395" s="17">
        <f t="shared" si="6"/>
        <v>204.9</v>
      </c>
      <c r="I395" s="18" t="s">
        <v>43</v>
      </c>
      <c r="J395" s="15">
        <v>4</v>
      </c>
      <c r="K395" s="15">
        <v>2016</v>
      </c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 t="str">
        <f>"184.90"</f>
        <v>184.90</v>
      </c>
      <c r="AF395" s="15"/>
      <c r="AG395" s="15"/>
      <c r="AH395" s="15"/>
      <c r="AI395" s="15"/>
    </row>
    <row r="396" spans="1:35">
      <c r="A396" s="14">
        <v>394</v>
      </c>
      <c r="B396" s="14">
        <v>2766</v>
      </c>
      <c r="C396" s="14" t="s">
        <v>535</v>
      </c>
      <c r="D396" s="14" t="s">
        <v>98</v>
      </c>
      <c r="E396" s="15" t="str">
        <f>"185.68"</f>
        <v>185.68</v>
      </c>
      <c r="F396" s="15"/>
      <c r="G396" s="16" t="str">
        <f>"213.68"</f>
        <v>213.68</v>
      </c>
      <c r="H396" s="17">
        <f t="shared" si="6"/>
        <v>205.68</v>
      </c>
      <c r="I396" s="18" t="s">
        <v>40</v>
      </c>
      <c r="J396" s="15">
        <v>1</v>
      </c>
      <c r="K396" s="15">
        <v>2016</v>
      </c>
      <c r="L396" s="15" t="str">
        <f>"185.68"</f>
        <v>185.68</v>
      </c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</row>
    <row r="397" spans="1:35">
      <c r="A397" s="14">
        <v>395</v>
      </c>
      <c r="B397" s="14">
        <v>11010</v>
      </c>
      <c r="C397" s="14" t="s">
        <v>536</v>
      </c>
      <c r="D397" s="14" t="s">
        <v>537</v>
      </c>
      <c r="E397" s="15" t="str">
        <f>"214.16"</f>
        <v>214.16</v>
      </c>
      <c r="F397" s="15"/>
      <c r="G397" s="16" t="str">
        <f>"214.16"</f>
        <v>214.16</v>
      </c>
      <c r="H397" s="17">
        <f t="shared" si="6"/>
        <v>206.16</v>
      </c>
      <c r="I397" s="18" t="s">
        <v>43</v>
      </c>
      <c r="J397" s="15">
        <v>4</v>
      </c>
      <c r="K397" s="15">
        <v>2016</v>
      </c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 t="str">
        <f>"186.16"</f>
        <v>186.16</v>
      </c>
      <c r="AB397" s="15"/>
      <c r="AC397" s="15"/>
      <c r="AD397" s="15"/>
      <c r="AE397" s="15"/>
      <c r="AF397" s="15"/>
      <c r="AG397" s="15"/>
      <c r="AH397" s="15"/>
      <c r="AI397" s="15"/>
    </row>
    <row r="398" spans="1:35">
      <c r="A398" s="14">
        <v>396</v>
      </c>
      <c r="B398" s="14">
        <v>7852</v>
      </c>
      <c r="C398" s="14" t="s">
        <v>538</v>
      </c>
      <c r="D398" s="14" t="s">
        <v>119</v>
      </c>
      <c r="E398" s="15" t="str">
        <f>"186.63"</f>
        <v>186.63</v>
      </c>
      <c r="F398" s="15"/>
      <c r="G398" s="16" t="str">
        <f>"214.63"</f>
        <v>214.63</v>
      </c>
      <c r="H398" s="17">
        <f t="shared" si="6"/>
        <v>206.63</v>
      </c>
      <c r="I398" s="18" t="s">
        <v>40</v>
      </c>
      <c r="J398" s="15">
        <v>1</v>
      </c>
      <c r="K398" s="15">
        <v>2016</v>
      </c>
      <c r="L398" s="15" t="str">
        <f>"186.63"</f>
        <v>186.63</v>
      </c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</row>
    <row r="399" spans="1:35">
      <c r="A399" s="14">
        <v>397</v>
      </c>
      <c r="B399" s="14">
        <v>2845</v>
      </c>
      <c r="C399" s="14" t="s">
        <v>539</v>
      </c>
      <c r="D399" s="14" t="s">
        <v>74</v>
      </c>
      <c r="E399" s="15" t="str">
        <f>"214.38"</f>
        <v>214.38</v>
      </c>
      <c r="F399" s="15"/>
      <c r="G399" s="16" t="str">
        <f>"215.49"</f>
        <v>215.49</v>
      </c>
      <c r="H399" s="17">
        <f t="shared" si="6"/>
        <v>207.49</v>
      </c>
      <c r="I399" s="18" t="s">
        <v>43</v>
      </c>
      <c r="J399" s="15">
        <v>2</v>
      </c>
      <c r="K399" s="15">
        <v>2016</v>
      </c>
      <c r="L399" s="15" t="str">
        <f>"241.27"</f>
        <v>241.27</v>
      </c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 t="str">
        <f>"187.49"</f>
        <v>187.49</v>
      </c>
      <c r="AF399" s="15"/>
      <c r="AG399" s="15"/>
      <c r="AH399" s="15"/>
      <c r="AI399" s="15"/>
    </row>
    <row r="400" spans="1:35">
      <c r="A400" s="14">
        <v>398</v>
      </c>
      <c r="B400" s="14">
        <v>3126</v>
      </c>
      <c r="C400" s="14" t="s">
        <v>540</v>
      </c>
      <c r="D400" s="14" t="s">
        <v>139</v>
      </c>
      <c r="E400" s="15" t="str">
        <f>"215.49"</f>
        <v>215.49</v>
      </c>
      <c r="F400" s="15"/>
      <c r="G400" s="16" t="str">
        <f>"215.49"</f>
        <v>215.49</v>
      </c>
      <c r="H400" s="17">
        <f t="shared" si="6"/>
        <v>207.49</v>
      </c>
      <c r="I400" s="18" t="s">
        <v>43</v>
      </c>
      <c r="J400" s="15">
        <v>4</v>
      </c>
      <c r="K400" s="15">
        <v>2016</v>
      </c>
      <c r="L400" s="15"/>
      <c r="M400" s="15"/>
      <c r="N400" s="15"/>
      <c r="O400" s="15"/>
      <c r="P400" s="15"/>
      <c r="Q400" s="15" t="str">
        <f>"187.49"</f>
        <v>187.49</v>
      </c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</row>
    <row r="401" spans="1:35">
      <c r="A401" s="14">
        <v>399</v>
      </c>
      <c r="B401" s="14">
        <v>8643</v>
      </c>
      <c r="C401" s="14" t="s">
        <v>541</v>
      </c>
      <c r="D401" s="14" t="s">
        <v>51</v>
      </c>
      <c r="E401" s="15" t="str">
        <f>"198.53"</f>
        <v>198.53</v>
      </c>
      <c r="F401" s="15"/>
      <c r="G401" s="16" t="str">
        <f>"215.84"</f>
        <v>215.84</v>
      </c>
      <c r="H401" s="17">
        <f t="shared" si="6"/>
        <v>207.84</v>
      </c>
      <c r="I401" s="18"/>
      <c r="J401" s="15">
        <v>3</v>
      </c>
      <c r="K401" s="15">
        <v>2016</v>
      </c>
      <c r="L401" s="15" t="str">
        <f>"212.95"</f>
        <v>212.95</v>
      </c>
      <c r="M401" s="15"/>
      <c r="N401" s="15"/>
      <c r="O401" s="15"/>
      <c r="P401" s="15"/>
      <c r="Q401" s="15"/>
      <c r="R401" s="15"/>
      <c r="S401" s="15" t="str">
        <f>"184.10"</f>
        <v>184.10</v>
      </c>
      <c r="T401" s="15" t="str">
        <f>"247.58"</f>
        <v>247.58</v>
      </c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</row>
    <row r="402" spans="1:35">
      <c r="A402" s="14">
        <v>400</v>
      </c>
      <c r="B402" s="14">
        <v>8103</v>
      </c>
      <c r="C402" s="14" t="s">
        <v>542</v>
      </c>
      <c r="D402" s="14" t="s">
        <v>543</v>
      </c>
      <c r="E402" s="15" t="str">
        <f>"178.87"</f>
        <v>178.87</v>
      </c>
      <c r="F402" s="15"/>
      <c r="G402" s="16" t="str">
        <f>"215.84"</f>
        <v>215.84</v>
      </c>
      <c r="H402" s="17">
        <f t="shared" si="6"/>
        <v>207.84</v>
      </c>
      <c r="I402" s="18"/>
      <c r="J402" s="15">
        <v>3</v>
      </c>
      <c r="K402" s="15">
        <v>2016</v>
      </c>
      <c r="L402" s="15" t="str">
        <f>"178.87"</f>
        <v>178.87</v>
      </c>
      <c r="M402" s="15"/>
      <c r="N402" s="15"/>
      <c r="O402" s="15"/>
      <c r="P402" s="15"/>
      <c r="Q402" s="15"/>
      <c r="R402" s="15"/>
      <c r="S402" s="15"/>
      <c r="T402" s="15"/>
      <c r="U402" s="15"/>
      <c r="V402" s="15" t="str">
        <f>"222.98"</f>
        <v>222.98</v>
      </c>
      <c r="W402" s="15"/>
      <c r="X402" s="15"/>
      <c r="Y402" s="15"/>
      <c r="Z402" s="15" t="str">
        <f>"208.70"</f>
        <v>208.70</v>
      </c>
      <c r="AA402" s="15"/>
      <c r="AB402" s="15"/>
      <c r="AC402" s="15"/>
      <c r="AD402" s="15"/>
      <c r="AE402" s="15"/>
      <c r="AF402" s="15"/>
      <c r="AG402" s="15"/>
      <c r="AH402" s="15"/>
      <c r="AI402" s="15"/>
    </row>
    <row r="403" spans="1:35">
      <c r="A403" s="14">
        <v>401</v>
      </c>
      <c r="B403" s="14">
        <v>2291</v>
      </c>
      <c r="C403" s="14" t="s">
        <v>544</v>
      </c>
      <c r="D403" s="14" t="s">
        <v>51</v>
      </c>
      <c r="E403" s="15" t="str">
        <f>"216.16"</f>
        <v>216.16</v>
      </c>
      <c r="F403" s="15"/>
      <c r="G403" s="16" t="str">
        <f>"216.16"</f>
        <v>216.16</v>
      </c>
      <c r="H403" s="17">
        <f t="shared" si="6"/>
        <v>208.16</v>
      </c>
      <c r="I403" s="18"/>
      <c r="J403" s="15">
        <v>3</v>
      </c>
      <c r="K403" s="15">
        <v>2016</v>
      </c>
      <c r="L403" s="15" t="str">
        <f>"362.65"</f>
        <v>362.65</v>
      </c>
      <c r="M403" s="15"/>
      <c r="N403" s="15"/>
      <c r="O403" s="15"/>
      <c r="P403" s="15"/>
      <c r="Q403" s="15"/>
      <c r="R403" s="15"/>
      <c r="S403" s="15" t="str">
        <f>"336.12"</f>
        <v>336.12</v>
      </c>
      <c r="T403" s="15" t="str">
        <f>"336.45"</f>
        <v>336.45</v>
      </c>
      <c r="U403" s="15"/>
      <c r="V403" s="15"/>
      <c r="W403" s="15"/>
      <c r="X403" s="15" t="str">
        <f>"303.62"</f>
        <v>303.62</v>
      </c>
      <c r="Y403" s="15"/>
      <c r="Z403" s="15"/>
      <c r="AA403" s="15"/>
      <c r="AB403" s="15"/>
      <c r="AC403" s="15"/>
      <c r="AD403" s="15"/>
      <c r="AE403" s="15"/>
      <c r="AF403" s="15"/>
      <c r="AG403" s="15"/>
      <c r="AH403" s="15" t="str">
        <f>"231.02"</f>
        <v>231.02</v>
      </c>
      <c r="AI403" s="15" t="str">
        <f>"201.30"</f>
        <v>201.30</v>
      </c>
    </row>
    <row r="404" spans="1:35">
      <c r="A404" s="14">
        <v>402</v>
      </c>
      <c r="B404" s="14">
        <v>8470</v>
      </c>
      <c r="C404" s="14" t="s">
        <v>545</v>
      </c>
      <c r="D404" s="14" t="s">
        <v>51</v>
      </c>
      <c r="E404" s="15" t="str">
        <f>"192.90"</f>
        <v>192.90</v>
      </c>
      <c r="F404" s="15"/>
      <c r="G404" s="16" t="str">
        <f>"216.19"</f>
        <v>216.19</v>
      </c>
      <c r="H404" s="17">
        <f t="shared" si="6"/>
        <v>208.19</v>
      </c>
      <c r="I404" s="18" t="s">
        <v>43</v>
      </c>
      <c r="J404" s="15">
        <v>2</v>
      </c>
      <c r="K404" s="15">
        <v>2016</v>
      </c>
      <c r="L404" s="15" t="str">
        <f>"197.61"</f>
        <v>197.61</v>
      </c>
      <c r="M404" s="15"/>
      <c r="N404" s="15"/>
      <c r="O404" s="15"/>
      <c r="P404" s="15"/>
      <c r="Q404" s="15"/>
      <c r="R404" s="15"/>
      <c r="S404" s="15"/>
      <c r="T404" s="15" t="str">
        <f>"188.19"</f>
        <v>188.19</v>
      </c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</row>
    <row r="405" spans="1:35">
      <c r="A405" s="14">
        <v>403</v>
      </c>
      <c r="B405" s="14">
        <v>2625</v>
      </c>
      <c r="C405" s="14" t="s">
        <v>546</v>
      </c>
      <c r="D405" s="14" t="s">
        <v>497</v>
      </c>
      <c r="E405" s="15" t="str">
        <f>"216.87"</f>
        <v>216.87</v>
      </c>
      <c r="F405" s="15"/>
      <c r="G405" s="16" t="str">
        <f>"216.87"</f>
        <v>216.87</v>
      </c>
      <c r="H405" s="17">
        <f t="shared" si="6"/>
        <v>208.87</v>
      </c>
      <c r="I405" s="18" t="s">
        <v>43</v>
      </c>
      <c r="J405" s="15">
        <v>4</v>
      </c>
      <c r="K405" s="15">
        <v>2016</v>
      </c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 t="str">
        <f>"188.87"</f>
        <v>188.87</v>
      </c>
      <c r="AA405" s="15"/>
      <c r="AB405" s="15"/>
      <c r="AC405" s="15"/>
      <c r="AD405" s="15"/>
      <c r="AE405" s="15"/>
      <c r="AF405" s="15"/>
      <c r="AG405" s="15"/>
      <c r="AH405" s="15"/>
      <c r="AI405" s="15"/>
    </row>
    <row r="406" spans="1:35">
      <c r="A406" s="14">
        <v>404</v>
      </c>
      <c r="B406" s="14">
        <v>10299</v>
      </c>
      <c r="C406" s="14" t="s">
        <v>547</v>
      </c>
      <c r="D406" s="14" t="s">
        <v>92</v>
      </c>
      <c r="E406" s="15" t="str">
        <f>"124.26"</f>
        <v>124.26</v>
      </c>
      <c r="F406" s="15"/>
      <c r="G406" s="16" t="str">
        <f>"216.99"</f>
        <v>216.99</v>
      </c>
      <c r="H406" s="17">
        <f t="shared" si="6"/>
        <v>208.99</v>
      </c>
      <c r="I406" s="18" t="s">
        <v>43</v>
      </c>
      <c r="J406" s="15">
        <v>2</v>
      </c>
      <c r="K406" s="15">
        <v>2016</v>
      </c>
      <c r="L406" s="15" t="str">
        <f>"124.26"</f>
        <v>124.26</v>
      </c>
      <c r="M406" s="15"/>
      <c r="N406" s="15"/>
      <c r="O406" s="15"/>
      <c r="P406" s="15"/>
      <c r="Q406" s="15"/>
      <c r="R406" s="15"/>
      <c r="S406" s="15"/>
      <c r="T406" s="15"/>
      <c r="U406" s="15"/>
      <c r="V406" s="15" t="str">
        <f>"188.99"</f>
        <v>188.99</v>
      </c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</row>
    <row r="407" spans="1:35">
      <c r="A407" s="14">
        <v>405</v>
      </c>
      <c r="B407" s="14">
        <v>10591</v>
      </c>
      <c r="C407" s="14" t="s">
        <v>548</v>
      </c>
      <c r="D407" s="14" t="s">
        <v>51</v>
      </c>
      <c r="E407" s="15" t="str">
        <f>"217.39"</f>
        <v>217.39</v>
      </c>
      <c r="F407" s="15"/>
      <c r="G407" s="16" t="str">
        <f>"217.39"</f>
        <v>217.39</v>
      </c>
      <c r="H407" s="17">
        <f t="shared" si="6"/>
        <v>209.39</v>
      </c>
      <c r="I407" s="18"/>
      <c r="J407" s="15">
        <v>3</v>
      </c>
      <c r="K407" s="15">
        <v>2016</v>
      </c>
      <c r="L407" s="15" t="str">
        <f>"297.39"</f>
        <v>297.39</v>
      </c>
      <c r="M407" s="15"/>
      <c r="N407" s="15"/>
      <c r="O407" s="15"/>
      <c r="P407" s="15"/>
      <c r="Q407" s="15"/>
      <c r="R407" s="15"/>
      <c r="S407" s="15" t="str">
        <f>"260.79"</f>
        <v>260.79</v>
      </c>
      <c r="T407" s="15" t="str">
        <f>"477.49"</f>
        <v>477.49</v>
      </c>
      <c r="U407" s="15"/>
      <c r="V407" s="15"/>
      <c r="W407" s="15"/>
      <c r="X407" s="15" t="str">
        <f>"235.41"</f>
        <v>235.41</v>
      </c>
      <c r="Y407" s="15" t="str">
        <f>"199.37"</f>
        <v>199.37</v>
      </c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</row>
    <row r="408" spans="1:35">
      <c r="A408" s="14">
        <v>406</v>
      </c>
      <c r="B408" s="14">
        <v>6384</v>
      </c>
      <c r="C408" s="14" t="s">
        <v>549</v>
      </c>
      <c r="D408" s="14" t="s">
        <v>211</v>
      </c>
      <c r="E408" s="15" t="str">
        <f>"178.22"</f>
        <v>178.22</v>
      </c>
      <c r="F408" s="15"/>
      <c r="G408" s="16" t="str">
        <f>"217.77"</f>
        <v>217.77</v>
      </c>
      <c r="H408" s="17">
        <f t="shared" si="6"/>
        <v>209.77</v>
      </c>
      <c r="I408" s="18"/>
      <c r="J408" s="15">
        <v>3</v>
      </c>
      <c r="K408" s="15">
        <v>2016</v>
      </c>
      <c r="L408" s="15" t="str">
        <f>"178.22"</f>
        <v>178.22</v>
      </c>
      <c r="M408" s="15"/>
      <c r="N408" s="15"/>
      <c r="O408" s="15"/>
      <c r="P408" s="15"/>
      <c r="Q408" s="15"/>
      <c r="R408" s="15"/>
      <c r="S408" s="15"/>
      <c r="T408" s="15"/>
      <c r="U408" s="15"/>
      <c r="V408" s="15" t="str">
        <f>"250.52"</f>
        <v>250.52</v>
      </c>
      <c r="W408" s="15"/>
      <c r="X408" s="15"/>
      <c r="Y408" s="15"/>
      <c r="Z408" s="15" t="str">
        <f>"185.01"</f>
        <v>185.01</v>
      </c>
      <c r="AA408" s="15"/>
      <c r="AB408" s="15"/>
      <c r="AC408" s="15"/>
      <c r="AD408" s="15"/>
      <c r="AE408" s="15"/>
      <c r="AF408" s="15"/>
      <c r="AG408" s="15"/>
      <c r="AH408" s="15"/>
      <c r="AI408" s="15"/>
    </row>
    <row r="409" spans="1:35">
      <c r="A409" s="14">
        <v>407</v>
      </c>
      <c r="B409" s="14">
        <v>3369</v>
      </c>
      <c r="C409" s="14" t="s">
        <v>550</v>
      </c>
      <c r="D409" s="14" t="s">
        <v>289</v>
      </c>
      <c r="E409" s="15" t="str">
        <f>"192.16"</f>
        <v>192.16</v>
      </c>
      <c r="F409" s="15"/>
      <c r="G409" s="16" t="str">
        <f>"217.88"</f>
        <v>217.88</v>
      </c>
      <c r="H409" s="17">
        <f t="shared" si="6"/>
        <v>209.88</v>
      </c>
      <c r="I409" s="18" t="s">
        <v>43</v>
      </c>
      <c r="J409" s="15">
        <v>2</v>
      </c>
      <c r="K409" s="15">
        <v>2016</v>
      </c>
      <c r="L409" s="15" t="str">
        <f>"194.44"</f>
        <v>194.44</v>
      </c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 t="str">
        <f>"189.88"</f>
        <v>189.88</v>
      </c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</row>
    <row r="410" spans="1:35">
      <c r="A410" s="14">
        <v>408</v>
      </c>
      <c r="B410" s="14">
        <v>7602</v>
      </c>
      <c r="C410" s="14" t="s">
        <v>551</v>
      </c>
      <c r="D410" s="14" t="s">
        <v>464</v>
      </c>
      <c r="E410" s="15" t="str">
        <f>"189.93"</f>
        <v>189.93</v>
      </c>
      <c r="F410" s="15"/>
      <c r="G410" s="16" t="str">
        <f>"217.93"</f>
        <v>217.93</v>
      </c>
      <c r="H410" s="17">
        <f t="shared" si="6"/>
        <v>209.93</v>
      </c>
      <c r="I410" s="18" t="s">
        <v>40</v>
      </c>
      <c r="J410" s="15">
        <v>1</v>
      </c>
      <c r="K410" s="15">
        <v>2016</v>
      </c>
      <c r="L410" s="15" t="str">
        <f>"189.93"</f>
        <v>189.93</v>
      </c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</row>
    <row r="411" spans="1:35">
      <c r="A411" s="14">
        <v>409</v>
      </c>
      <c r="B411" s="14">
        <v>2287</v>
      </c>
      <c r="C411" s="14" t="s">
        <v>552</v>
      </c>
      <c r="D411" s="14" t="s">
        <v>51</v>
      </c>
      <c r="E411" s="15" t="str">
        <f>"186.24"</f>
        <v>186.24</v>
      </c>
      <c r="F411" s="15"/>
      <c r="G411" s="16" t="str">
        <f>"218.39"</f>
        <v>218.39</v>
      </c>
      <c r="H411" s="17">
        <f t="shared" si="6"/>
        <v>210.39</v>
      </c>
      <c r="I411" s="18"/>
      <c r="J411" s="15">
        <v>3</v>
      </c>
      <c r="K411" s="15">
        <v>2016</v>
      </c>
      <c r="L411" s="15" t="str">
        <f>"186.24"</f>
        <v>186.24</v>
      </c>
      <c r="M411" s="15"/>
      <c r="N411" s="15"/>
      <c r="O411" s="15"/>
      <c r="P411" s="15"/>
      <c r="Q411" s="15"/>
      <c r="R411" s="15"/>
      <c r="S411" s="15"/>
      <c r="T411" s="15" t="str">
        <f>"241.70"</f>
        <v>241.70</v>
      </c>
      <c r="U411" s="15"/>
      <c r="V411" s="15"/>
      <c r="W411" s="15"/>
      <c r="X411" s="15"/>
      <c r="Y411" s="15"/>
      <c r="Z411" s="15"/>
      <c r="AA411" s="15" t="str">
        <f>"558.35"</f>
        <v>558.35</v>
      </c>
      <c r="AB411" s="15"/>
      <c r="AC411" s="15"/>
      <c r="AD411" s="15"/>
      <c r="AE411" s="15"/>
      <c r="AF411" s="15"/>
      <c r="AG411" s="15" t="str">
        <f>"195.08"</f>
        <v>195.08</v>
      </c>
      <c r="AH411" s="15"/>
      <c r="AI411" s="15" t="str">
        <f>"282.70"</f>
        <v>282.70</v>
      </c>
    </row>
    <row r="412" spans="1:35">
      <c r="A412" s="14">
        <v>410</v>
      </c>
      <c r="B412" s="14">
        <v>10239</v>
      </c>
      <c r="C412" s="14" t="s">
        <v>553</v>
      </c>
      <c r="D412" s="14" t="s">
        <v>127</v>
      </c>
      <c r="E412" s="15" t="str">
        <f>"285.37"</f>
        <v>285.37</v>
      </c>
      <c r="F412" s="15"/>
      <c r="G412" s="16" t="str">
        <f>"218.59"</f>
        <v>218.59</v>
      </c>
      <c r="H412" s="17">
        <f t="shared" si="6"/>
        <v>210.59</v>
      </c>
      <c r="I412" s="18" t="s">
        <v>43</v>
      </c>
      <c r="J412" s="15">
        <v>2</v>
      </c>
      <c r="K412" s="15">
        <v>2016</v>
      </c>
      <c r="L412" s="15" t="str">
        <f>"380.14"</f>
        <v>380.14</v>
      </c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 t="str">
        <f>"190.59"</f>
        <v>190.59</v>
      </c>
      <c r="AC412" s="15"/>
      <c r="AD412" s="15"/>
      <c r="AE412" s="15"/>
      <c r="AF412" s="15"/>
      <c r="AG412" s="15"/>
      <c r="AH412" s="15"/>
      <c r="AI412" s="15"/>
    </row>
    <row r="413" spans="1:35">
      <c r="A413" s="14">
        <v>411</v>
      </c>
      <c r="B413" s="14">
        <v>2320</v>
      </c>
      <c r="C413" s="14" t="s">
        <v>554</v>
      </c>
      <c r="D413" s="14" t="s">
        <v>51</v>
      </c>
      <c r="E413" s="15" t="str">
        <f>"219.72"</f>
        <v>219.72</v>
      </c>
      <c r="F413" s="15"/>
      <c r="G413" s="16" t="str">
        <f>"219.72"</f>
        <v>219.72</v>
      </c>
      <c r="H413" s="17">
        <f t="shared" si="6"/>
        <v>211.72</v>
      </c>
      <c r="I413" s="18"/>
      <c r="J413" s="15">
        <v>3</v>
      </c>
      <c r="K413" s="15">
        <v>2016</v>
      </c>
      <c r="L413" s="15" t="str">
        <f>"255.72"</f>
        <v>255.72</v>
      </c>
      <c r="M413" s="15"/>
      <c r="N413" s="15"/>
      <c r="O413" s="15"/>
      <c r="P413" s="15"/>
      <c r="Q413" s="15"/>
      <c r="R413" s="15"/>
      <c r="S413" s="15" t="str">
        <f>"290.77"</f>
        <v>290.77</v>
      </c>
      <c r="T413" s="15" t="str">
        <f>"324.12"</f>
        <v>324.12</v>
      </c>
      <c r="U413" s="15"/>
      <c r="V413" s="15"/>
      <c r="W413" s="15"/>
      <c r="X413" s="15"/>
      <c r="Y413" s="15"/>
      <c r="Z413" s="15"/>
      <c r="AA413" s="15"/>
      <c r="AB413" s="15"/>
      <c r="AC413" s="15" t="str">
        <f>"228.96"</f>
        <v>228.96</v>
      </c>
      <c r="AD413" s="15"/>
      <c r="AE413" s="15" t="str">
        <f>"224.34"</f>
        <v>224.34</v>
      </c>
      <c r="AF413" s="15"/>
      <c r="AG413" s="15" t="str">
        <f>"484.38"</f>
        <v>484.38</v>
      </c>
      <c r="AH413" s="15" t="str">
        <f>"215.09"</f>
        <v>215.09</v>
      </c>
      <c r="AI413" s="15" t="str">
        <f>"225.35"</f>
        <v>225.35</v>
      </c>
    </row>
    <row r="414" spans="1:35">
      <c r="A414" s="14">
        <v>412</v>
      </c>
      <c r="B414" s="14">
        <v>7357</v>
      </c>
      <c r="C414" s="14" t="s">
        <v>555</v>
      </c>
      <c r="D414" s="14" t="s">
        <v>419</v>
      </c>
      <c r="E414" s="15" t="str">
        <f>"220.05"</f>
        <v>220.05</v>
      </c>
      <c r="F414" s="15"/>
      <c r="G414" s="16" t="str">
        <f>"220.05"</f>
        <v>220.05</v>
      </c>
      <c r="H414" s="17">
        <f t="shared" si="6"/>
        <v>212.05</v>
      </c>
      <c r="I414" s="18"/>
      <c r="J414" s="15">
        <v>3</v>
      </c>
      <c r="K414" s="15">
        <v>2016</v>
      </c>
      <c r="L414" s="15" t="str">
        <f>"227.19"</f>
        <v>227.19</v>
      </c>
      <c r="M414" s="15"/>
      <c r="N414" s="15"/>
      <c r="O414" s="15"/>
      <c r="P414" s="15"/>
      <c r="Q414" s="15" t="str">
        <f>"232.40"</f>
        <v>232.40</v>
      </c>
      <c r="R414" s="15"/>
      <c r="S414" s="15"/>
      <c r="T414" s="15"/>
      <c r="U414" s="15"/>
      <c r="V414" s="15" t="str">
        <f>"213.24"</f>
        <v>213.24</v>
      </c>
      <c r="W414" s="15"/>
      <c r="X414" s="15"/>
      <c r="Y414" s="15"/>
      <c r="Z414" s="15" t="str">
        <f>"226.86"</f>
        <v>226.86</v>
      </c>
      <c r="AA414" s="15"/>
      <c r="AB414" s="15"/>
      <c r="AC414" s="15"/>
      <c r="AD414" s="15"/>
      <c r="AE414" s="15"/>
      <c r="AF414" s="15"/>
      <c r="AG414" s="15"/>
      <c r="AH414" s="15"/>
      <c r="AI414" s="15"/>
    </row>
    <row r="415" spans="1:35">
      <c r="A415" s="14">
        <v>413</v>
      </c>
      <c r="B415" s="14">
        <v>1275</v>
      </c>
      <c r="C415" s="14" t="s">
        <v>556</v>
      </c>
      <c r="D415" s="14" t="s">
        <v>291</v>
      </c>
      <c r="E415" s="15" t="str">
        <f>"173.93"</f>
        <v>173.93</v>
      </c>
      <c r="F415" s="15"/>
      <c r="G415" s="16" t="str">
        <f>"220.11"</f>
        <v>220.11</v>
      </c>
      <c r="H415" s="17">
        <f t="shared" si="6"/>
        <v>212.11</v>
      </c>
      <c r="I415" s="18"/>
      <c r="J415" s="15">
        <v>3</v>
      </c>
      <c r="K415" s="15">
        <v>2016</v>
      </c>
      <c r="L415" s="15" t="str">
        <f>"173.93"</f>
        <v>173.93</v>
      </c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 t="str">
        <f>"212.38"</f>
        <v>212.38</v>
      </c>
      <c r="AC415" s="15"/>
      <c r="AD415" s="15" t="str">
        <f>"227.84"</f>
        <v>227.84</v>
      </c>
      <c r="AE415" s="15"/>
      <c r="AF415" s="15"/>
      <c r="AG415" s="15"/>
      <c r="AH415" s="15"/>
      <c r="AI415" s="15"/>
    </row>
    <row r="416" spans="1:35">
      <c r="A416" s="14">
        <v>414</v>
      </c>
      <c r="B416" s="14">
        <v>1519</v>
      </c>
      <c r="C416" s="14" t="s">
        <v>557</v>
      </c>
      <c r="D416" s="14" t="s">
        <v>558</v>
      </c>
      <c r="E416" s="15" t="str">
        <f>"193.62"</f>
        <v>193.62</v>
      </c>
      <c r="F416" s="15"/>
      <c r="G416" s="16" t="str">
        <f>"220.53"</f>
        <v>220.53</v>
      </c>
      <c r="H416" s="17">
        <f t="shared" si="6"/>
        <v>212.53</v>
      </c>
      <c r="I416" s="18" t="s">
        <v>43</v>
      </c>
      <c r="J416" s="15">
        <v>2</v>
      </c>
      <c r="K416" s="15">
        <v>2016</v>
      </c>
      <c r="L416" s="15" t="str">
        <f>"194.71"</f>
        <v>194.71</v>
      </c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 t="str">
        <f>"192.53"</f>
        <v>192.53</v>
      </c>
      <c r="AA416" s="15"/>
      <c r="AB416" s="15"/>
      <c r="AC416" s="15"/>
      <c r="AD416" s="15"/>
      <c r="AE416" s="15"/>
      <c r="AF416" s="15"/>
      <c r="AG416" s="15"/>
      <c r="AH416" s="15"/>
      <c r="AI416" s="15"/>
    </row>
    <row r="417" spans="1:35">
      <c r="A417" s="14">
        <v>415</v>
      </c>
      <c r="B417" s="14">
        <v>10549</v>
      </c>
      <c r="C417" s="14" t="s">
        <v>559</v>
      </c>
      <c r="D417" s="14" t="s">
        <v>51</v>
      </c>
      <c r="E417" s="15" t="str">
        <f>"221.01"</f>
        <v>221.01</v>
      </c>
      <c r="F417" s="15"/>
      <c r="G417" s="16" t="str">
        <f>"221.01"</f>
        <v>221.01</v>
      </c>
      <c r="H417" s="17">
        <f t="shared" si="6"/>
        <v>213.01</v>
      </c>
      <c r="I417" s="18"/>
      <c r="J417" s="15">
        <v>3</v>
      </c>
      <c r="K417" s="15">
        <v>2016</v>
      </c>
      <c r="L417" s="15" t="str">
        <f>"265.20"</f>
        <v>265.20</v>
      </c>
      <c r="M417" s="15"/>
      <c r="N417" s="15"/>
      <c r="O417" s="15"/>
      <c r="P417" s="15"/>
      <c r="Q417" s="15"/>
      <c r="R417" s="15"/>
      <c r="S417" s="15" t="str">
        <f>"228.43"</f>
        <v>228.43</v>
      </c>
      <c r="T417" s="15" t="str">
        <f>"288.83"</f>
        <v>288.83</v>
      </c>
      <c r="U417" s="15"/>
      <c r="V417" s="15"/>
      <c r="W417" s="15"/>
      <c r="X417" s="15" t="str">
        <f>"215.08"</f>
        <v>215.08</v>
      </c>
      <c r="Y417" s="15" t="str">
        <f>"226.93"</f>
        <v>226.93</v>
      </c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</row>
    <row r="418" spans="1:35">
      <c r="A418" s="14">
        <v>416</v>
      </c>
      <c r="B418" s="14">
        <v>3346</v>
      </c>
      <c r="C418" s="14" t="s">
        <v>560</v>
      </c>
      <c r="D418" s="14" t="s">
        <v>192</v>
      </c>
      <c r="E418" s="15" t="str">
        <f>"137.09"</f>
        <v>137.09</v>
      </c>
      <c r="F418" s="15"/>
      <c r="G418" s="16" t="str">
        <f>"222.41"</f>
        <v>222.41</v>
      </c>
      <c r="H418" s="17">
        <f t="shared" si="6"/>
        <v>214.41</v>
      </c>
      <c r="I418" s="18" t="s">
        <v>43</v>
      </c>
      <c r="J418" s="15">
        <v>2</v>
      </c>
      <c r="K418" s="15">
        <v>2016</v>
      </c>
      <c r="L418" s="15" t="str">
        <f>"137.09"</f>
        <v>137.09</v>
      </c>
      <c r="M418" s="15"/>
      <c r="N418" s="15"/>
      <c r="O418" s="15"/>
      <c r="P418" s="15"/>
      <c r="Q418" s="15"/>
      <c r="R418" s="15"/>
      <c r="S418" s="15"/>
      <c r="T418" s="15"/>
      <c r="U418" s="15"/>
      <c r="V418" s="15" t="str">
        <f>"194.41"</f>
        <v>194.41</v>
      </c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</row>
    <row r="419" spans="1:35">
      <c r="A419" s="14">
        <v>417</v>
      </c>
      <c r="B419" s="14">
        <v>4858</v>
      </c>
      <c r="C419" s="14" t="s">
        <v>561</v>
      </c>
      <c r="D419" s="14" t="s">
        <v>562</v>
      </c>
      <c r="E419" s="15" t="str">
        <f>"194.44"</f>
        <v>194.44</v>
      </c>
      <c r="F419" s="15"/>
      <c r="G419" s="16" t="str">
        <f>"222.44"</f>
        <v>222.44</v>
      </c>
      <c r="H419" s="17">
        <f t="shared" si="6"/>
        <v>214.44</v>
      </c>
      <c r="I419" s="18" t="s">
        <v>40</v>
      </c>
      <c r="J419" s="15">
        <v>1</v>
      </c>
      <c r="K419" s="15">
        <v>2016</v>
      </c>
      <c r="L419" s="15" t="str">
        <f>"194.44"</f>
        <v>194.44</v>
      </c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</row>
    <row r="420" spans="1:35">
      <c r="A420" s="14">
        <v>418</v>
      </c>
      <c r="B420" s="14">
        <v>2827</v>
      </c>
      <c r="C420" s="14" t="s">
        <v>563</v>
      </c>
      <c r="D420" s="14" t="s">
        <v>189</v>
      </c>
      <c r="E420" s="15" t="str">
        <f>"220.03"</f>
        <v>220.03</v>
      </c>
      <c r="F420" s="15"/>
      <c r="G420" s="16" t="str">
        <f>"222.72"</f>
        <v>222.72</v>
      </c>
      <c r="H420" s="17">
        <f t="shared" si="6"/>
        <v>214.72</v>
      </c>
      <c r="I420" s="18"/>
      <c r="J420" s="15">
        <v>3</v>
      </c>
      <c r="K420" s="15">
        <v>2016</v>
      </c>
      <c r="L420" s="15" t="str">
        <f>"220.58"</f>
        <v>220.58</v>
      </c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 t="str">
        <f>"225.96"</f>
        <v>225.96</v>
      </c>
      <c r="X420" s="15"/>
      <c r="Y420" s="15"/>
      <c r="Z420" s="15"/>
      <c r="AA420" s="15"/>
      <c r="AB420" s="15" t="str">
        <f>"219.47"</f>
        <v>219.47</v>
      </c>
      <c r="AC420" s="15"/>
      <c r="AD420" s="15" t="str">
        <f>"308.72"</f>
        <v>308.72</v>
      </c>
      <c r="AE420" s="15"/>
      <c r="AF420" s="15"/>
      <c r="AG420" s="15"/>
      <c r="AH420" s="15"/>
      <c r="AI420" s="15"/>
    </row>
    <row r="421" spans="1:35">
      <c r="A421" s="14">
        <v>419</v>
      </c>
      <c r="B421" s="14">
        <v>1970</v>
      </c>
      <c r="C421" s="14" t="s">
        <v>564</v>
      </c>
      <c r="D421" s="14" t="s">
        <v>136</v>
      </c>
      <c r="E421" s="15" t="str">
        <f>"214.38"</f>
        <v>214.38</v>
      </c>
      <c r="F421" s="15"/>
      <c r="G421" s="16" t="str">
        <f>"222.74"</f>
        <v>222.74</v>
      </c>
      <c r="H421" s="17">
        <f t="shared" si="6"/>
        <v>214.74</v>
      </c>
      <c r="I421" s="18" t="s">
        <v>43</v>
      </c>
      <c r="J421" s="15">
        <v>2</v>
      </c>
      <c r="K421" s="15">
        <v>2016</v>
      </c>
      <c r="L421" s="15" t="str">
        <f>"234.02"</f>
        <v>234.02</v>
      </c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 t="str">
        <f>"194.74"</f>
        <v>194.74</v>
      </c>
      <c r="AA421" s="15"/>
      <c r="AB421" s="15"/>
      <c r="AC421" s="15"/>
      <c r="AD421" s="15"/>
      <c r="AE421" s="15"/>
      <c r="AF421" s="15"/>
      <c r="AG421" s="15"/>
      <c r="AH421" s="15"/>
      <c r="AI421" s="15"/>
    </row>
    <row r="422" spans="1:35">
      <c r="A422" s="14">
        <v>420</v>
      </c>
      <c r="B422" s="14">
        <v>4429</v>
      </c>
      <c r="C422" s="14" t="s">
        <v>565</v>
      </c>
      <c r="D422" s="14" t="s">
        <v>258</v>
      </c>
      <c r="E422" s="15" t="str">
        <f>"191.32"</f>
        <v>191.32</v>
      </c>
      <c r="F422" s="15"/>
      <c r="G422" s="16" t="str">
        <f>"223.15"</f>
        <v>223.15</v>
      </c>
      <c r="H422" s="17">
        <f t="shared" si="6"/>
        <v>215.15</v>
      </c>
      <c r="I422" s="18"/>
      <c r="J422" s="15">
        <v>3</v>
      </c>
      <c r="K422" s="15">
        <v>2016</v>
      </c>
      <c r="L422" s="15" t="str">
        <f>"191.32"</f>
        <v>191.32</v>
      </c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 t="str">
        <f>"192.74"</f>
        <v>192.74</v>
      </c>
      <c r="AA422" s="15" t="str">
        <f>"281.64"</f>
        <v>281.64</v>
      </c>
      <c r="AB422" s="15"/>
      <c r="AC422" s="15" t="str">
        <f>"253.56"</f>
        <v>253.56</v>
      </c>
      <c r="AD422" s="15"/>
      <c r="AE422" s="15"/>
      <c r="AF422" s="15"/>
      <c r="AG422" s="15"/>
      <c r="AH422" s="15"/>
      <c r="AI422" s="15"/>
    </row>
    <row r="423" spans="1:35">
      <c r="A423" s="14">
        <v>421</v>
      </c>
      <c r="B423" s="14">
        <v>347</v>
      </c>
      <c r="C423" s="14" t="s">
        <v>566</v>
      </c>
      <c r="D423" s="14" t="s">
        <v>235</v>
      </c>
      <c r="E423" s="15" t="str">
        <f>"195.26"</f>
        <v>195.26</v>
      </c>
      <c r="F423" s="15"/>
      <c r="G423" s="16" t="str">
        <f>"223.26"</f>
        <v>223.26</v>
      </c>
      <c r="H423" s="17">
        <f t="shared" si="6"/>
        <v>215.26</v>
      </c>
      <c r="I423" s="18" t="s">
        <v>40</v>
      </c>
      <c r="J423" s="15">
        <v>1</v>
      </c>
      <c r="K423" s="15">
        <v>2016</v>
      </c>
      <c r="L423" s="15" t="str">
        <f>"195.26"</f>
        <v>195.26</v>
      </c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</row>
    <row r="424" spans="1:35">
      <c r="A424" s="14">
        <v>422</v>
      </c>
      <c r="B424" s="14">
        <v>4873</v>
      </c>
      <c r="C424" s="14" t="s">
        <v>567</v>
      </c>
      <c r="D424" s="14" t="s">
        <v>192</v>
      </c>
      <c r="E424" s="15" t="str">
        <f>"208.22"</f>
        <v>208.22</v>
      </c>
      <c r="F424" s="15"/>
      <c r="G424" s="16" t="str">
        <f>"223.28"</f>
        <v>223.28</v>
      </c>
      <c r="H424" s="17">
        <f t="shared" si="6"/>
        <v>215.28</v>
      </c>
      <c r="I424" s="18"/>
      <c r="J424" s="15">
        <v>3</v>
      </c>
      <c r="K424" s="15">
        <v>2016</v>
      </c>
      <c r="L424" s="15" t="str">
        <f>"208.22"</f>
        <v>208.22</v>
      </c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 t="str">
        <f>"218.46"</f>
        <v>218.46</v>
      </c>
      <c r="X424" s="15"/>
      <c r="Y424" s="15"/>
      <c r="Z424" s="15"/>
      <c r="AA424" s="15"/>
      <c r="AB424" s="15"/>
      <c r="AC424" s="15"/>
      <c r="AD424" s="15" t="str">
        <f>"228.10"</f>
        <v>228.10</v>
      </c>
      <c r="AE424" s="15"/>
      <c r="AF424" s="15"/>
      <c r="AG424" s="15"/>
      <c r="AH424" s="15"/>
      <c r="AI424" s="15"/>
    </row>
    <row r="425" spans="1:35">
      <c r="A425" s="14">
        <v>423</v>
      </c>
      <c r="B425" s="14">
        <v>1862</v>
      </c>
      <c r="C425" s="14" t="s">
        <v>568</v>
      </c>
      <c r="D425" s="14" t="s">
        <v>51</v>
      </c>
      <c r="E425" s="15" t="str">
        <f>"220.73"</f>
        <v>220.73</v>
      </c>
      <c r="F425" s="15"/>
      <c r="G425" s="16" t="str">
        <f>"223.43"</f>
        <v>223.43</v>
      </c>
      <c r="H425" s="17">
        <f t="shared" si="6"/>
        <v>215.43</v>
      </c>
      <c r="I425" s="18"/>
      <c r="J425" s="15">
        <v>3</v>
      </c>
      <c r="K425" s="15">
        <v>2016</v>
      </c>
      <c r="L425" s="15" t="str">
        <f>"237.64"</f>
        <v>237.64</v>
      </c>
      <c r="M425" s="15"/>
      <c r="N425" s="15"/>
      <c r="O425" s="15"/>
      <c r="P425" s="15"/>
      <c r="Q425" s="15"/>
      <c r="R425" s="15"/>
      <c r="S425" s="15" t="str">
        <f>"203.81"</f>
        <v>203.81</v>
      </c>
      <c r="T425" s="15" t="str">
        <f>"268.70"</f>
        <v>268.70</v>
      </c>
      <c r="U425" s="15"/>
      <c r="V425" s="15"/>
      <c r="W425" s="15"/>
      <c r="X425" s="15" t="str">
        <f>"243.04"</f>
        <v>243.04</v>
      </c>
      <c r="Y425" s="15" t="str">
        <f>"286.26"</f>
        <v>286.26</v>
      </c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</row>
    <row r="426" spans="1:35">
      <c r="A426" s="14">
        <v>424</v>
      </c>
      <c r="B426" s="14">
        <v>5356</v>
      </c>
      <c r="C426" s="14" t="s">
        <v>569</v>
      </c>
      <c r="D426" s="14" t="s">
        <v>570</v>
      </c>
      <c r="E426" s="15" t="str">
        <f>"223.48"</f>
        <v>223.48</v>
      </c>
      <c r="F426" s="15"/>
      <c r="G426" s="16" t="str">
        <f>"223.48"</f>
        <v>223.48</v>
      </c>
      <c r="H426" s="17">
        <f t="shared" si="6"/>
        <v>215.48</v>
      </c>
      <c r="I426" s="18" t="s">
        <v>43</v>
      </c>
      <c r="J426" s="15">
        <v>4</v>
      </c>
      <c r="K426" s="15">
        <v>2016</v>
      </c>
      <c r="L426" s="15"/>
      <c r="M426" s="15"/>
      <c r="N426" s="15" t="str">
        <f>"195.48"</f>
        <v>195.48</v>
      </c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</row>
    <row r="427" spans="1:35">
      <c r="A427" s="14">
        <v>425</v>
      </c>
      <c r="B427" s="14">
        <v>5122</v>
      </c>
      <c r="C427" s="14" t="s">
        <v>571</v>
      </c>
      <c r="D427" s="14" t="s">
        <v>258</v>
      </c>
      <c r="E427" s="15" t="str">
        <f>"189.61"</f>
        <v>189.61</v>
      </c>
      <c r="F427" s="15"/>
      <c r="G427" s="16" t="str">
        <f>"223.81"</f>
        <v>223.81</v>
      </c>
      <c r="H427" s="17">
        <f t="shared" si="6"/>
        <v>215.81</v>
      </c>
      <c r="I427" s="18"/>
      <c r="J427" s="15">
        <v>3</v>
      </c>
      <c r="K427" s="15">
        <v>2016</v>
      </c>
      <c r="L427" s="15" t="str">
        <f>"191.51"</f>
        <v>191.51</v>
      </c>
      <c r="M427" s="15"/>
      <c r="N427" s="15"/>
      <c r="O427" s="15"/>
      <c r="P427" s="15"/>
      <c r="Q427" s="15" t="str">
        <f>"187.71"</f>
        <v>187.71</v>
      </c>
      <c r="R427" s="15"/>
      <c r="S427" s="15"/>
      <c r="T427" s="15"/>
      <c r="U427" s="15"/>
      <c r="V427" s="15" t="str">
        <f>"287.66"</f>
        <v>287.66</v>
      </c>
      <c r="W427" s="15"/>
      <c r="X427" s="15"/>
      <c r="Y427" s="15"/>
      <c r="Z427" s="15"/>
      <c r="AA427" s="15" t="str">
        <f>"285.85"</f>
        <v>285.85</v>
      </c>
      <c r="AB427" s="15"/>
      <c r="AC427" s="15" t="str">
        <f>"259.90"</f>
        <v>259.90</v>
      </c>
      <c r="AD427" s="15"/>
      <c r="AE427" s="15"/>
      <c r="AF427" s="15"/>
      <c r="AG427" s="15"/>
      <c r="AH427" s="15"/>
      <c r="AI427" s="15"/>
    </row>
    <row r="428" spans="1:35">
      <c r="A428" s="14">
        <v>426</v>
      </c>
      <c r="B428" s="14">
        <v>10329</v>
      </c>
      <c r="C428" s="14" t="s">
        <v>572</v>
      </c>
      <c r="D428" s="14" t="s">
        <v>58</v>
      </c>
      <c r="E428" s="15" t="str">
        <f>"224.12"</f>
        <v>224.12</v>
      </c>
      <c r="F428" s="15"/>
      <c r="G428" s="16" t="str">
        <f>"224.12"</f>
        <v>224.12</v>
      </c>
      <c r="H428" s="17">
        <f t="shared" si="6"/>
        <v>216.12</v>
      </c>
      <c r="I428" s="18"/>
      <c r="J428" s="15">
        <v>3</v>
      </c>
      <c r="K428" s="15">
        <v>2016</v>
      </c>
      <c r="L428" s="15" t="str">
        <f>"279.83"</f>
        <v>279.83</v>
      </c>
      <c r="M428" s="15"/>
      <c r="N428" s="15" t="str">
        <f>"180.71"</f>
        <v>180.71</v>
      </c>
      <c r="O428" s="15"/>
      <c r="P428" s="15"/>
      <c r="Q428" s="15"/>
      <c r="R428" s="15"/>
      <c r="S428" s="15"/>
      <c r="T428" s="15"/>
      <c r="U428" s="15" t="str">
        <f>"267.52"</f>
        <v>267.52</v>
      </c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</row>
    <row r="429" spans="1:35">
      <c r="A429" s="14">
        <v>427</v>
      </c>
      <c r="B429" s="14">
        <v>4885</v>
      </c>
      <c r="C429" s="14" t="s">
        <v>573</v>
      </c>
      <c r="D429" s="14" t="s">
        <v>119</v>
      </c>
      <c r="E429" s="15" t="str">
        <f>"224.14"</f>
        <v>224.14</v>
      </c>
      <c r="F429" s="15"/>
      <c r="G429" s="16" t="str">
        <f>"224.14"</f>
        <v>224.14</v>
      </c>
      <c r="H429" s="17">
        <f t="shared" si="6"/>
        <v>216.14</v>
      </c>
      <c r="I429" s="18" t="s">
        <v>43</v>
      </c>
      <c r="J429" s="15">
        <v>4</v>
      </c>
      <c r="K429" s="15">
        <v>2016</v>
      </c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 t="str">
        <f>"196.14"</f>
        <v>196.14</v>
      </c>
      <c r="AF429" s="15"/>
      <c r="AG429" s="15"/>
      <c r="AH429" s="15"/>
      <c r="AI429" s="15"/>
    </row>
    <row r="430" spans="1:35">
      <c r="A430" s="14">
        <v>428</v>
      </c>
      <c r="B430" s="14">
        <v>2300</v>
      </c>
      <c r="C430" s="14" t="s">
        <v>574</v>
      </c>
      <c r="D430" s="14" t="s">
        <v>51</v>
      </c>
      <c r="E430" s="15" t="str">
        <f>"224.25"</f>
        <v>224.25</v>
      </c>
      <c r="F430" s="15"/>
      <c r="G430" s="16" t="str">
        <f>"224.25"</f>
        <v>224.25</v>
      </c>
      <c r="H430" s="17">
        <f t="shared" si="6"/>
        <v>216.25</v>
      </c>
      <c r="I430" s="18"/>
      <c r="J430" s="15">
        <v>3</v>
      </c>
      <c r="K430" s="15">
        <v>2016</v>
      </c>
      <c r="L430" s="15" t="str">
        <f>"342.29"</f>
        <v>342.29</v>
      </c>
      <c r="M430" s="15"/>
      <c r="N430" s="15"/>
      <c r="O430" s="15"/>
      <c r="P430" s="15"/>
      <c r="Q430" s="15"/>
      <c r="R430" s="15"/>
      <c r="S430" s="15" t="str">
        <f>"220.79"</f>
        <v>220.79</v>
      </c>
      <c r="T430" s="15" t="str">
        <f>"240.14"</f>
        <v>240.14</v>
      </c>
      <c r="U430" s="15"/>
      <c r="V430" s="15"/>
      <c r="W430" s="15"/>
      <c r="X430" s="15" t="str">
        <f>"245.26"</f>
        <v>245.26</v>
      </c>
      <c r="Y430" s="15" t="str">
        <f>"227.70"</f>
        <v>227.70</v>
      </c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</row>
    <row r="431" spans="1:35">
      <c r="A431" s="14">
        <v>429</v>
      </c>
      <c r="B431" s="14">
        <v>10645</v>
      </c>
      <c r="C431" s="14" t="s">
        <v>575</v>
      </c>
      <c r="D431" s="14" t="s">
        <v>51</v>
      </c>
      <c r="E431" s="15" t="str">
        <f>"222.66"</f>
        <v>222.66</v>
      </c>
      <c r="F431" s="15"/>
      <c r="G431" s="16" t="str">
        <f>"224.99"</f>
        <v>224.99</v>
      </c>
      <c r="H431" s="17">
        <f t="shared" si="6"/>
        <v>216.99</v>
      </c>
      <c r="I431" s="18"/>
      <c r="J431" s="15">
        <v>3</v>
      </c>
      <c r="K431" s="15">
        <v>2016</v>
      </c>
      <c r="L431" s="15" t="str">
        <f>"225.89"</f>
        <v>225.89</v>
      </c>
      <c r="M431" s="15"/>
      <c r="N431" s="15"/>
      <c r="O431" s="15"/>
      <c r="P431" s="15"/>
      <c r="Q431" s="15"/>
      <c r="R431" s="15"/>
      <c r="S431" s="15" t="str">
        <f>"315.95"</f>
        <v>315.95</v>
      </c>
      <c r="T431" s="15" t="str">
        <f>"284.65"</f>
        <v>284.65</v>
      </c>
      <c r="U431" s="15"/>
      <c r="V431" s="15"/>
      <c r="W431" s="15"/>
      <c r="X431" s="15" t="str">
        <f>"260.20"</f>
        <v>260.20</v>
      </c>
      <c r="Y431" s="15" t="str">
        <f>"219.43"</f>
        <v>219.43</v>
      </c>
      <c r="Z431" s="15"/>
      <c r="AA431" s="15"/>
      <c r="AB431" s="15"/>
      <c r="AC431" s="15"/>
      <c r="AD431" s="15"/>
      <c r="AE431" s="15"/>
      <c r="AF431" s="15"/>
      <c r="AG431" s="15"/>
      <c r="AH431" s="15" t="str">
        <f>"230.55"</f>
        <v>230.55</v>
      </c>
      <c r="AI431" s="15"/>
    </row>
    <row r="432" spans="1:35">
      <c r="A432" s="14">
        <v>430</v>
      </c>
      <c r="B432" s="14">
        <v>6656</v>
      </c>
      <c r="C432" s="14" t="s">
        <v>576</v>
      </c>
      <c r="D432" s="14" t="s">
        <v>577</v>
      </c>
      <c r="E432" s="15" t="str">
        <f>"197.02"</f>
        <v>197.02</v>
      </c>
      <c r="F432" s="15"/>
      <c r="G432" s="16" t="str">
        <f>"225.02"</f>
        <v>225.02</v>
      </c>
      <c r="H432" s="17">
        <f t="shared" si="6"/>
        <v>217.02</v>
      </c>
      <c r="I432" s="18" t="s">
        <v>40</v>
      </c>
      <c r="J432" s="15">
        <v>1</v>
      </c>
      <c r="K432" s="15">
        <v>2016</v>
      </c>
      <c r="L432" s="15" t="str">
        <f>"197.02"</f>
        <v>197.02</v>
      </c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</row>
    <row r="433" spans="1:35">
      <c r="A433" s="14">
        <v>431</v>
      </c>
      <c r="B433" s="14">
        <v>6657</v>
      </c>
      <c r="C433" s="14" t="s">
        <v>578</v>
      </c>
      <c r="D433" s="14" t="s">
        <v>189</v>
      </c>
      <c r="E433" s="15" t="str">
        <f>"225.23"</f>
        <v>225.23</v>
      </c>
      <c r="F433" s="15"/>
      <c r="G433" s="16" t="str">
        <f>"225.23"</f>
        <v>225.23</v>
      </c>
      <c r="H433" s="17">
        <f t="shared" si="6"/>
        <v>217.23</v>
      </c>
      <c r="I433" s="18" t="s">
        <v>43</v>
      </c>
      <c r="J433" s="15">
        <v>4</v>
      </c>
      <c r="K433" s="15">
        <v>2016</v>
      </c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 t="str">
        <f>"197.23"</f>
        <v>197.23</v>
      </c>
      <c r="AA433" s="15"/>
      <c r="AB433" s="15"/>
      <c r="AC433" s="15"/>
      <c r="AD433" s="15"/>
      <c r="AE433" s="15"/>
      <c r="AF433" s="15"/>
      <c r="AG433" s="15"/>
      <c r="AH433" s="15"/>
      <c r="AI433" s="15"/>
    </row>
    <row r="434" spans="1:35">
      <c r="A434" s="14">
        <v>432</v>
      </c>
      <c r="B434" s="14">
        <v>9765</v>
      </c>
      <c r="C434" s="14" t="s">
        <v>579</v>
      </c>
      <c r="D434" s="14" t="s">
        <v>98</v>
      </c>
      <c r="E434" s="15" t="str">
        <f>"197.80"</f>
        <v>197.80</v>
      </c>
      <c r="F434" s="15"/>
      <c r="G434" s="16" t="str">
        <f>"225.80"</f>
        <v>225.80</v>
      </c>
      <c r="H434" s="17">
        <f t="shared" si="6"/>
        <v>217.8</v>
      </c>
      <c r="I434" s="18" t="s">
        <v>40</v>
      </c>
      <c r="J434" s="15">
        <v>1</v>
      </c>
      <c r="K434" s="15">
        <v>2016</v>
      </c>
      <c r="L434" s="15" t="str">
        <f>"197.80"</f>
        <v>197.80</v>
      </c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</row>
    <row r="435" spans="1:35">
      <c r="A435" s="14">
        <v>433</v>
      </c>
      <c r="B435" s="14">
        <v>2268</v>
      </c>
      <c r="C435" s="14" t="s">
        <v>580</v>
      </c>
      <c r="D435" s="14" t="s">
        <v>51</v>
      </c>
      <c r="E435" s="15" t="str">
        <f>"226.13"</f>
        <v>226.13</v>
      </c>
      <c r="F435" s="15"/>
      <c r="G435" s="16" t="str">
        <f>"226.13"</f>
        <v>226.13</v>
      </c>
      <c r="H435" s="17">
        <f t="shared" si="6"/>
        <v>218.13</v>
      </c>
      <c r="I435" s="18"/>
      <c r="J435" s="15">
        <v>3</v>
      </c>
      <c r="K435" s="15">
        <v>2016</v>
      </c>
      <c r="L435" s="15" t="str">
        <f>"277.99"</f>
        <v>277.99</v>
      </c>
      <c r="M435" s="15"/>
      <c r="N435" s="15"/>
      <c r="O435" s="15"/>
      <c r="P435" s="15"/>
      <c r="Q435" s="15"/>
      <c r="R435" s="15"/>
      <c r="S435" s="15" t="str">
        <f>"306.61"</f>
        <v>306.61</v>
      </c>
      <c r="T435" s="15"/>
      <c r="U435" s="15"/>
      <c r="V435" s="15"/>
      <c r="W435" s="15"/>
      <c r="X435" s="15"/>
      <c r="Y435" s="15"/>
      <c r="Z435" s="15"/>
      <c r="AA435" s="15"/>
      <c r="AB435" s="15"/>
      <c r="AC435" s="15" t="str">
        <f>"510.01"</f>
        <v>510.01</v>
      </c>
      <c r="AD435" s="15"/>
      <c r="AE435" s="15" t="str">
        <f>"235.26"</f>
        <v>235.26</v>
      </c>
      <c r="AF435" s="15"/>
      <c r="AG435" s="15" t="str">
        <f>"281.28"</f>
        <v>281.28</v>
      </c>
      <c r="AH435" s="15" t="str">
        <f>"216.99"</f>
        <v>216.99</v>
      </c>
      <c r="AI435" s="15"/>
    </row>
    <row r="436" spans="1:35">
      <c r="A436" s="14">
        <v>434</v>
      </c>
      <c r="B436" s="14">
        <v>4158</v>
      </c>
      <c r="C436" s="14" t="s">
        <v>581</v>
      </c>
      <c r="D436" s="14" t="s">
        <v>187</v>
      </c>
      <c r="E436" s="15" t="str">
        <f>"198.57"</f>
        <v>198.57</v>
      </c>
      <c r="F436" s="15"/>
      <c r="G436" s="16" t="str">
        <f>"226.57"</f>
        <v>226.57</v>
      </c>
      <c r="H436" s="17">
        <f t="shared" si="6"/>
        <v>218.57</v>
      </c>
      <c r="I436" s="18" t="s">
        <v>40</v>
      </c>
      <c r="J436" s="15">
        <v>1</v>
      </c>
      <c r="K436" s="15">
        <v>2016</v>
      </c>
      <c r="L436" s="15" t="str">
        <f>"198.57"</f>
        <v>198.57</v>
      </c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</row>
    <row r="437" spans="1:35">
      <c r="A437" s="14">
        <v>435</v>
      </c>
      <c r="B437" s="14">
        <v>3469</v>
      </c>
      <c r="C437" s="14" t="s">
        <v>582</v>
      </c>
      <c r="D437" s="14" t="s">
        <v>102</v>
      </c>
      <c r="E437" s="15" t="str">
        <f>"226.87"</f>
        <v>226.87</v>
      </c>
      <c r="F437" s="15"/>
      <c r="G437" s="16" t="str">
        <f>"226.87"</f>
        <v>226.87</v>
      </c>
      <c r="H437" s="17">
        <f t="shared" si="6"/>
        <v>218.87</v>
      </c>
      <c r="I437" s="18" t="s">
        <v>43</v>
      </c>
      <c r="J437" s="15">
        <v>4</v>
      </c>
      <c r="K437" s="15">
        <v>2016</v>
      </c>
      <c r="L437" s="15"/>
      <c r="M437" s="15"/>
      <c r="N437" s="15"/>
      <c r="O437" s="15"/>
      <c r="P437" s="15"/>
      <c r="Q437" s="15" t="str">
        <f>"198.87"</f>
        <v>198.87</v>
      </c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</row>
    <row r="438" spans="1:35">
      <c r="A438" s="14">
        <v>436</v>
      </c>
      <c r="B438" s="14">
        <v>7604</v>
      </c>
      <c r="C438" s="14" t="s">
        <v>583</v>
      </c>
      <c r="D438" s="14" t="s">
        <v>558</v>
      </c>
      <c r="E438" s="15" t="str">
        <f>"143.06"</f>
        <v>143.06</v>
      </c>
      <c r="F438" s="15"/>
      <c r="G438" s="16" t="str">
        <f>"226.96"</f>
        <v>226.96</v>
      </c>
      <c r="H438" s="17">
        <f t="shared" si="6"/>
        <v>218.96</v>
      </c>
      <c r="I438" s="18" t="s">
        <v>43</v>
      </c>
      <c r="J438" s="15">
        <v>2</v>
      </c>
      <c r="K438" s="15">
        <v>2016</v>
      </c>
      <c r="L438" s="15" t="str">
        <f>"143.06"</f>
        <v>143.06</v>
      </c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 t="str">
        <f>"198.96"</f>
        <v>198.96</v>
      </c>
      <c r="AA438" s="15"/>
      <c r="AB438" s="15"/>
      <c r="AC438" s="15"/>
      <c r="AD438" s="15"/>
      <c r="AE438" s="15"/>
      <c r="AF438" s="15"/>
      <c r="AG438" s="15"/>
      <c r="AH438" s="15"/>
      <c r="AI438" s="15"/>
    </row>
    <row r="439" spans="1:35">
      <c r="A439" s="14">
        <v>437</v>
      </c>
      <c r="B439" s="14">
        <v>6122</v>
      </c>
      <c r="C439" s="14" t="s">
        <v>584</v>
      </c>
      <c r="D439" s="14" t="s">
        <v>158</v>
      </c>
      <c r="E439" s="15" t="str">
        <f>"226.95"</f>
        <v>226.95</v>
      </c>
      <c r="F439" s="15"/>
      <c r="G439" s="16" t="str">
        <f>"227.01"</f>
        <v>227.01</v>
      </c>
      <c r="H439" s="17">
        <f t="shared" si="6"/>
        <v>219.01</v>
      </c>
      <c r="I439" s="18"/>
      <c r="J439" s="15">
        <v>3</v>
      </c>
      <c r="K439" s="15">
        <v>2016</v>
      </c>
      <c r="L439" s="15" t="str">
        <f>"250.19"</f>
        <v>250.19</v>
      </c>
      <c r="M439" s="15" t="str">
        <f>"250.31"</f>
        <v>250.31</v>
      </c>
      <c r="N439" s="15"/>
      <c r="O439" s="15" t="str">
        <f>"203.70"</f>
        <v>203.70</v>
      </c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</row>
    <row r="440" spans="1:35">
      <c r="A440" s="14">
        <v>438</v>
      </c>
      <c r="B440" s="14">
        <v>8616</v>
      </c>
      <c r="C440" s="14" t="s">
        <v>585</v>
      </c>
      <c r="D440" s="14" t="s">
        <v>51</v>
      </c>
      <c r="E440" s="15" t="str">
        <f>"227.11"</f>
        <v>227.11</v>
      </c>
      <c r="F440" s="15"/>
      <c r="G440" s="16" t="str">
        <f>"227.11"</f>
        <v>227.11</v>
      </c>
      <c r="H440" s="17">
        <f t="shared" si="6"/>
        <v>219.11</v>
      </c>
      <c r="I440" s="18"/>
      <c r="J440" s="15">
        <v>3</v>
      </c>
      <c r="K440" s="15">
        <v>2016</v>
      </c>
      <c r="L440" s="15" t="str">
        <f>"288.17"</f>
        <v>288.17</v>
      </c>
      <c r="M440" s="15"/>
      <c r="N440" s="15"/>
      <c r="O440" s="15"/>
      <c r="P440" s="15"/>
      <c r="Q440" s="15"/>
      <c r="R440" s="15"/>
      <c r="S440" s="15" t="str">
        <f>"229.34"</f>
        <v>229.34</v>
      </c>
      <c r="T440" s="15" t="str">
        <f>"272.31"</f>
        <v>272.31</v>
      </c>
      <c r="U440" s="15"/>
      <c r="V440" s="15"/>
      <c r="W440" s="15"/>
      <c r="X440" s="15" t="str">
        <f>"247.80"</f>
        <v>247.80</v>
      </c>
      <c r="Y440" s="15"/>
      <c r="Z440" s="15"/>
      <c r="AA440" s="15"/>
      <c r="AB440" s="15"/>
      <c r="AC440" s="15"/>
      <c r="AD440" s="15"/>
      <c r="AE440" s="15"/>
      <c r="AF440" s="15"/>
      <c r="AG440" s="15"/>
      <c r="AH440" s="15" t="str">
        <f>"224.87"</f>
        <v>224.87</v>
      </c>
      <c r="AI440" s="15" t="str">
        <f>"229.98"</f>
        <v>229.98</v>
      </c>
    </row>
    <row r="441" spans="1:35">
      <c r="A441" s="14">
        <v>439</v>
      </c>
      <c r="B441" s="14">
        <v>2211</v>
      </c>
      <c r="C441" s="14" t="s">
        <v>586</v>
      </c>
      <c r="D441" s="14" t="s">
        <v>51</v>
      </c>
      <c r="E441" s="15" t="str">
        <f>"227.66"</f>
        <v>227.66</v>
      </c>
      <c r="F441" s="15"/>
      <c r="G441" s="16" t="str">
        <f>"227.66"</f>
        <v>227.66</v>
      </c>
      <c r="H441" s="17">
        <f t="shared" si="6"/>
        <v>219.66</v>
      </c>
      <c r="I441" s="18"/>
      <c r="J441" s="15">
        <v>3</v>
      </c>
      <c r="K441" s="15">
        <v>2016</v>
      </c>
      <c r="L441" s="15" t="str">
        <f>"270.58"</f>
        <v>270.58</v>
      </c>
      <c r="M441" s="15"/>
      <c r="N441" s="15"/>
      <c r="O441" s="15"/>
      <c r="P441" s="15"/>
      <c r="Q441" s="15"/>
      <c r="R441" s="15"/>
      <c r="S441" s="15" t="str">
        <f>"262.05"</f>
        <v>262.05</v>
      </c>
      <c r="T441" s="15" t="str">
        <f>"355.31"</f>
        <v>355.31</v>
      </c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 t="str">
        <f>"216.71"</f>
        <v>216.71</v>
      </c>
      <c r="AH441" s="15" t="str">
        <f>"258.78"</f>
        <v>258.78</v>
      </c>
      <c r="AI441" s="15" t="str">
        <f>"238.61"</f>
        <v>238.61</v>
      </c>
    </row>
    <row r="442" spans="1:35">
      <c r="A442" s="14">
        <v>440</v>
      </c>
      <c r="B442" s="14">
        <v>2200</v>
      </c>
      <c r="C442" s="14" t="s">
        <v>587</v>
      </c>
      <c r="D442" s="14" t="s">
        <v>51</v>
      </c>
      <c r="E442" s="15" t="str">
        <f>"227.58"</f>
        <v>227.58</v>
      </c>
      <c r="F442" s="15"/>
      <c r="G442" s="16" t="str">
        <f>"227.73"</f>
        <v>227.73</v>
      </c>
      <c r="H442" s="17">
        <f t="shared" si="6"/>
        <v>219.73</v>
      </c>
      <c r="I442" s="18"/>
      <c r="J442" s="15">
        <v>3</v>
      </c>
      <c r="K442" s="15">
        <v>2016</v>
      </c>
      <c r="L442" s="15" t="str">
        <f>"232.93"</f>
        <v>232.93</v>
      </c>
      <c r="M442" s="15"/>
      <c r="N442" s="15"/>
      <c r="O442" s="15"/>
      <c r="P442" s="15"/>
      <c r="Q442" s="15"/>
      <c r="R442" s="15"/>
      <c r="S442" s="15" t="str">
        <f>"233.22"</f>
        <v>233.22</v>
      </c>
      <c r="T442" s="15" t="str">
        <f>"263.46"</f>
        <v>263.46</v>
      </c>
      <c r="U442" s="15"/>
      <c r="V442" s="15"/>
      <c r="W442" s="15"/>
      <c r="X442" s="15" t="str">
        <f>"256.70"</f>
        <v>256.70</v>
      </c>
      <c r="Y442" s="15"/>
      <c r="Z442" s="15" t="str">
        <f>"222.23"</f>
        <v>222.23</v>
      </c>
      <c r="AA442" s="15"/>
      <c r="AB442" s="15"/>
      <c r="AC442" s="15"/>
      <c r="AD442" s="15"/>
      <c r="AE442" s="15"/>
      <c r="AF442" s="15"/>
      <c r="AG442" s="15"/>
      <c r="AH442" s="15"/>
      <c r="AI442" s="15"/>
    </row>
    <row r="443" spans="1:35">
      <c r="A443" s="14">
        <v>441</v>
      </c>
      <c r="B443" s="14">
        <v>2671</v>
      </c>
      <c r="C443" s="14" t="s">
        <v>588</v>
      </c>
      <c r="D443" s="14" t="s">
        <v>150</v>
      </c>
      <c r="E443" s="15" t="str">
        <f>"228.42"</f>
        <v>228.42</v>
      </c>
      <c r="F443" s="15"/>
      <c r="G443" s="16" t="str">
        <f>"228.42"</f>
        <v>228.42</v>
      </c>
      <c r="H443" s="17">
        <f t="shared" si="6"/>
        <v>220.42</v>
      </c>
      <c r="I443" s="18"/>
      <c r="J443" s="15">
        <v>5</v>
      </c>
      <c r="K443" s="15">
        <v>2016</v>
      </c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 t="str">
        <f>"213.26"</f>
        <v>213.26</v>
      </c>
      <c r="AC443" s="15"/>
      <c r="AD443" s="15" t="str">
        <f>"243.57"</f>
        <v>243.57</v>
      </c>
      <c r="AE443" s="15"/>
      <c r="AF443" s="15"/>
      <c r="AG443" s="15"/>
      <c r="AH443" s="15"/>
      <c r="AI443" s="15"/>
    </row>
    <row r="444" spans="1:35">
      <c r="A444" s="14">
        <v>442</v>
      </c>
      <c r="B444" s="14">
        <v>10069</v>
      </c>
      <c r="C444" s="14" t="s">
        <v>589</v>
      </c>
      <c r="D444" s="14" t="s">
        <v>51</v>
      </c>
      <c r="E444" s="15" t="str">
        <f>"228.71"</f>
        <v>228.71</v>
      </c>
      <c r="F444" s="15"/>
      <c r="G444" s="16" t="str">
        <f>"228.71"</f>
        <v>228.71</v>
      </c>
      <c r="H444" s="17">
        <f t="shared" si="6"/>
        <v>220.71</v>
      </c>
      <c r="I444" s="18"/>
      <c r="J444" s="15">
        <v>3</v>
      </c>
      <c r="K444" s="15">
        <v>2016</v>
      </c>
      <c r="L444" s="15" t="str">
        <f>"272.37"</f>
        <v>272.37</v>
      </c>
      <c r="M444" s="15"/>
      <c r="N444" s="15"/>
      <c r="O444" s="15"/>
      <c r="P444" s="15"/>
      <c r="Q444" s="15"/>
      <c r="R444" s="15"/>
      <c r="S444" s="15" t="str">
        <f>"254.07"</f>
        <v>254.07</v>
      </c>
      <c r="T444" s="15" t="str">
        <f>"231.00"</f>
        <v>231.00</v>
      </c>
      <c r="U444" s="15"/>
      <c r="V444" s="15"/>
      <c r="W444" s="15"/>
      <c r="X444" s="15" t="str">
        <f>"226.41"</f>
        <v>226.41</v>
      </c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</row>
    <row r="445" spans="1:35">
      <c r="A445" s="14">
        <v>443</v>
      </c>
      <c r="B445" s="14">
        <v>1719</v>
      </c>
      <c r="C445" s="14" t="s">
        <v>590</v>
      </c>
      <c r="D445" s="14" t="s">
        <v>419</v>
      </c>
      <c r="E445" s="15" t="str">
        <f>"181.81"</f>
        <v>181.81</v>
      </c>
      <c r="F445" s="15"/>
      <c r="G445" s="16" t="str">
        <f>"229.37"</f>
        <v>229.37</v>
      </c>
      <c r="H445" s="17">
        <f t="shared" si="6"/>
        <v>221.37</v>
      </c>
      <c r="I445" s="18" t="s">
        <v>43</v>
      </c>
      <c r="J445" s="15">
        <v>2</v>
      </c>
      <c r="K445" s="15">
        <v>2016</v>
      </c>
      <c r="L445" s="15" t="str">
        <f>"181.81"</f>
        <v>181.81</v>
      </c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 t="str">
        <f>"201.37"</f>
        <v>201.37</v>
      </c>
      <c r="AA445" s="15"/>
      <c r="AB445" s="15"/>
      <c r="AC445" s="15"/>
      <c r="AD445" s="15"/>
      <c r="AE445" s="15"/>
      <c r="AF445" s="15"/>
      <c r="AG445" s="15"/>
      <c r="AH445" s="15"/>
      <c r="AI445" s="15"/>
    </row>
    <row r="446" spans="1:35">
      <c r="A446" s="14">
        <v>444</v>
      </c>
      <c r="B446" s="14">
        <v>2451</v>
      </c>
      <c r="C446" s="14" t="s">
        <v>591</v>
      </c>
      <c r="D446" s="14" t="s">
        <v>390</v>
      </c>
      <c r="E446" s="15" t="str">
        <f>"201.74"</f>
        <v>201.74</v>
      </c>
      <c r="F446" s="15"/>
      <c r="G446" s="16" t="str">
        <f>"229.74"</f>
        <v>229.74</v>
      </c>
      <c r="H446" s="17">
        <f t="shared" si="6"/>
        <v>221.74</v>
      </c>
      <c r="I446" s="18" t="s">
        <v>40</v>
      </c>
      <c r="J446" s="15">
        <v>1</v>
      </c>
      <c r="K446" s="15">
        <v>2016</v>
      </c>
      <c r="L446" s="15" t="str">
        <f>"201.74"</f>
        <v>201.74</v>
      </c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</row>
    <row r="447" spans="1:35">
      <c r="A447" s="14">
        <v>445</v>
      </c>
      <c r="B447" s="14">
        <v>10127</v>
      </c>
      <c r="C447" s="14" t="s">
        <v>592</v>
      </c>
      <c r="D447" s="14" t="s">
        <v>58</v>
      </c>
      <c r="E447" s="15" t="str">
        <f>"229.76"</f>
        <v>229.76</v>
      </c>
      <c r="F447" s="15"/>
      <c r="G447" s="16" t="str">
        <f>"229.76"</f>
        <v>229.76</v>
      </c>
      <c r="H447" s="17">
        <f t="shared" si="6"/>
        <v>221.76</v>
      </c>
      <c r="I447" s="18"/>
      <c r="J447" s="15">
        <v>3</v>
      </c>
      <c r="K447" s="15">
        <v>2016</v>
      </c>
      <c r="L447" s="15" t="str">
        <f>"340.46"</f>
        <v>340.46</v>
      </c>
      <c r="M447" s="15"/>
      <c r="N447" s="15"/>
      <c r="O447" s="15"/>
      <c r="P447" s="15"/>
      <c r="Q447" s="15"/>
      <c r="R447" s="15"/>
      <c r="S447" s="15"/>
      <c r="T447" s="15"/>
      <c r="U447" s="15" t="str">
        <f>"471.82"</f>
        <v>471.82</v>
      </c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 t="str">
        <f>"228.00"</f>
        <v>228.00</v>
      </c>
      <c r="AH447" s="15" t="str">
        <f>"253.42"</f>
        <v>253.42</v>
      </c>
      <c r="AI447" s="15" t="str">
        <f>"231.52"</f>
        <v>231.52</v>
      </c>
    </row>
    <row r="448" spans="1:35">
      <c r="A448" s="14">
        <v>446</v>
      </c>
      <c r="B448" s="14">
        <v>1876</v>
      </c>
      <c r="C448" s="14" t="s">
        <v>593</v>
      </c>
      <c r="D448" s="14" t="s">
        <v>51</v>
      </c>
      <c r="E448" s="15" t="str">
        <f>"220.58"</f>
        <v>220.58</v>
      </c>
      <c r="F448" s="15"/>
      <c r="G448" s="16" t="str">
        <f>"230.05"</f>
        <v>230.05</v>
      </c>
      <c r="H448" s="17">
        <f t="shared" si="6"/>
        <v>222.05</v>
      </c>
      <c r="I448" s="18"/>
      <c r="J448" s="15">
        <v>3</v>
      </c>
      <c r="K448" s="15">
        <v>2016</v>
      </c>
      <c r="L448" s="15" t="str">
        <f>"220.58"</f>
        <v>220.58</v>
      </c>
      <c r="M448" s="15"/>
      <c r="N448" s="15"/>
      <c r="O448" s="15"/>
      <c r="P448" s="15"/>
      <c r="Q448" s="15"/>
      <c r="R448" s="15"/>
      <c r="S448" s="15" t="str">
        <f>"231.62"</f>
        <v>231.62</v>
      </c>
      <c r="T448" s="15" t="str">
        <f>"229.44"</f>
        <v>229.44</v>
      </c>
      <c r="U448" s="15"/>
      <c r="V448" s="15"/>
      <c r="W448" s="15"/>
      <c r="X448" s="15" t="str">
        <f>"249.07"</f>
        <v>249.07</v>
      </c>
      <c r="Y448" s="15" t="str">
        <f>"230.65"</f>
        <v>230.65</v>
      </c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</row>
    <row r="449" spans="1:35">
      <c r="A449" s="14">
        <v>447</v>
      </c>
      <c r="B449" s="14">
        <v>8006</v>
      </c>
      <c r="C449" s="14" t="s">
        <v>594</v>
      </c>
      <c r="D449" s="14" t="s">
        <v>254</v>
      </c>
      <c r="E449" s="15" t="str">
        <f>"219.99"</f>
        <v>219.99</v>
      </c>
      <c r="F449" s="15"/>
      <c r="G449" s="16" t="str">
        <f>"230.27"</f>
        <v>230.27</v>
      </c>
      <c r="H449" s="17">
        <f t="shared" si="6"/>
        <v>222.27</v>
      </c>
      <c r="I449" s="18" t="s">
        <v>43</v>
      </c>
      <c r="J449" s="15">
        <v>2</v>
      </c>
      <c r="K449" s="15">
        <v>2016</v>
      </c>
      <c r="L449" s="15" t="str">
        <f>"237.70"</f>
        <v>237.70</v>
      </c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 t="str">
        <f>"202.27"</f>
        <v>202.27</v>
      </c>
      <c r="AA449" s="15"/>
      <c r="AB449" s="15"/>
      <c r="AC449" s="15"/>
      <c r="AD449" s="15"/>
      <c r="AE449" s="15"/>
      <c r="AF449" s="15"/>
      <c r="AG449" s="15"/>
      <c r="AH449" s="15"/>
      <c r="AI449" s="15"/>
    </row>
    <row r="450" spans="1:35">
      <c r="A450" s="14">
        <v>448</v>
      </c>
      <c r="B450" s="14">
        <v>10861</v>
      </c>
      <c r="C450" s="14" t="s">
        <v>595</v>
      </c>
      <c r="D450" s="14" t="s">
        <v>51</v>
      </c>
      <c r="E450" s="15" t="str">
        <f>"230.61"</f>
        <v>230.61</v>
      </c>
      <c r="F450" s="15"/>
      <c r="G450" s="16" t="str">
        <f>"230.61"</f>
        <v>230.61</v>
      </c>
      <c r="H450" s="17">
        <f t="shared" si="6"/>
        <v>222.61</v>
      </c>
      <c r="I450" s="18"/>
      <c r="J450" s="15">
        <v>5</v>
      </c>
      <c r="K450" s="15">
        <v>2016</v>
      </c>
      <c r="L450" s="15"/>
      <c r="M450" s="15"/>
      <c r="N450" s="15"/>
      <c r="O450" s="15"/>
      <c r="P450" s="15"/>
      <c r="Q450" s="15"/>
      <c r="R450" s="15"/>
      <c r="S450" s="15" t="str">
        <f>"243.47"</f>
        <v>243.47</v>
      </c>
      <c r="T450" s="15" t="str">
        <f>"280.96"</f>
        <v>280.96</v>
      </c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 t="str">
        <f>"221.28"</f>
        <v>221.28</v>
      </c>
      <c r="AF450" s="15"/>
      <c r="AG450" s="15" t="str">
        <f>"239.93"</f>
        <v>239.93</v>
      </c>
      <c r="AH450" s="15" t="str">
        <f>"265.09"</f>
        <v>265.09</v>
      </c>
      <c r="AI450" s="15" t="str">
        <f>"244.31"</f>
        <v>244.31</v>
      </c>
    </row>
    <row r="451" spans="1:35">
      <c r="A451" s="14">
        <v>449</v>
      </c>
      <c r="B451" s="14">
        <v>1343</v>
      </c>
      <c r="C451" s="14" t="s">
        <v>596</v>
      </c>
      <c r="D451" s="14" t="s">
        <v>168</v>
      </c>
      <c r="E451" s="15" t="str">
        <f>"148.39"</f>
        <v>148.39</v>
      </c>
      <c r="F451" s="15"/>
      <c r="G451" s="16" t="str">
        <f>"231.47"</f>
        <v>231.47</v>
      </c>
      <c r="H451" s="17">
        <f t="shared" ref="H451:H514" si="7">G451-8</f>
        <v>223.47</v>
      </c>
      <c r="I451" s="18"/>
      <c r="J451" s="15">
        <v>3</v>
      </c>
      <c r="K451" s="15">
        <v>2016</v>
      </c>
      <c r="L451" s="15" t="str">
        <f>"148.39"</f>
        <v>148.39</v>
      </c>
      <c r="M451" s="15"/>
      <c r="N451" s="15"/>
      <c r="O451" s="15"/>
      <c r="P451" s="15"/>
      <c r="Q451" s="15"/>
      <c r="R451" s="15"/>
      <c r="S451" s="15"/>
      <c r="T451" s="15"/>
      <c r="U451" s="15"/>
      <c r="V451" s="15" t="str">
        <f>"248.11"</f>
        <v>248.11</v>
      </c>
      <c r="W451" s="15"/>
      <c r="X451" s="15"/>
      <c r="Y451" s="15"/>
      <c r="Z451" s="15"/>
      <c r="AA451" s="15" t="str">
        <f>"259.15"</f>
        <v>259.15</v>
      </c>
      <c r="AB451" s="15"/>
      <c r="AC451" s="15" t="str">
        <f>"214.82"</f>
        <v>214.82</v>
      </c>
      <c r="AD451" s="15"/>
      <c r="AE451" s="15"/>
      <c r="AF451" s="15"/>
      <c r="AG451" s="15"/>
      <c r="AH451" s="15"/>
      <c r="AI451" s="15"/>
    </row>
    <row r="452" spans="1:35">
      <c r="A452" s="14">
        <v>450</v>
      </c>
      <c r="B452" s="14">
        <v>4167</v>
      </c>
      <c r="C452" s="14" t="s">
        <v>597</v>
      </c>
      <c r="D452" s="14" t="s">
        <v>598</v>
      </c>
      <c r="E452" s="15" t="str">
        <f>"203.83"</f>
        <v>203.83</v>
      </c>
      <c r="F452" s="15"/>
      <c r="G452" s="16" t="str">
        <f>"231.83"</f>
        <v>231.83</v>
      </c>
      <c r="H452" s="17">
        <f t="shared" si="7"/>
        <v>223.83</v>
      </c>
      <c r="I452" s="18" t="s">
        <v>40</v>
      </c>
      <c r="J452" s="15">
        <v>1</v>
      </c>
      <c r="K452" s="15">
        <v>2016</v>
      </c>
      <c r="L452" s="15" t="str">
        <f>"203.83"</f>
        <v>203.83</v>
      </c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</row>
    <row r="453" spans="1:35">
      <c r="A453" s="14">
        <v>451</v>
      </c>
      <c r="B453" s="14">
        <v>6392</v>
      </c>
      <c r="C453" s="14" t="s">
        <v>599</v>
      </c>
      <c r="D453" s="14" t="s">
        <v>55</v>
      </c>
      <c r="E453" s="15" t="str">
        <f>"203.87"</f>
        <v>203.87</v>
      </c>
      <c r="F453" s="15"/>
      <c r="G453" s="16" t="str">
        <f>"231.87"</f>
        <v>231.87</v>
      </c>
      <c r="H453" s="17">
        <f t="shared" si="7"/>
        <v>223.87</v>
      </c>
      <c r="I453" s="18" t="s">
        <v>40</v>
      </c>
      <c r="J453" s="15">
        <v>1</v>
      </c>
      <c r="K453" s="15">
        <v>2016</v>
      </c>
      <c r="L453" s="15" t="str">
        <f>"203.87"</f>
        <v>203.87</v>
      </c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</row>
    <row r="454" spans="1:35">
      <c r="A454" s="14">
        <v>452</v>
      </c>
      <c r="B454" s="14">
        <v>13</v>
      </c>
      <c r="C454" s="14" t="s">
        <v>600</v>
      </c>
      <c r="D454" s="14" t="s">
        <v>601</v>
      </c>
      <c r="E454" s="15" t="str">
        <f>"232.59"</f>
        <v>232.59</v>
      </c>
      <c r="F454" s="15"/>
      <c r="G454" s="16" t="str">
        <f>"232.59"</f>
        <v>232.59</v>
      </c>
      <c r="H454" s="17">
        <f t="shared" si="7"/>
        <v>224.59</v>
      </c>
      <c r="I454" s="18"/>
      <c r="J454" s="15">
        <v>3</v>
      </c>
      <c r="K454" s="15">
        <v>2016</v>
      </c>
      <c r="L454" s="15" t="str">
        <f>"250.92"</f>
        <v>250.92</v>
      </c>
      <c r="M454" s="15"/>
      <c r="N454" s="15"/>
      <c r="O454" s="15"/>
      <c r="P454" s="15"/>
      <c r="Q454" s="15"/>
      <c r="R454" s="15" t="str">
        <f>"215.81"</f>
        <v>215.81</v>
      </c>
      <c r="S454" s="15"/>
      <c r="T454" s="15"/>
      <c r="U454" s="15"/>
      <c r="V454" s="15"/>
      <c r="W454" s="15"/>
      <c r="X454" s="15"/>
      <c r="Y454" s="15"/>
      <c r="Z454" s="15"/>
      <c r="AA454" s="15"/>
      <c r="AB454" s="15" t="str">
        <f>"249.37"</f>
        <v>249.37</v>
      </c>
      <c r="AC454" s="15"/>
      <c r="AD454" s="15" t="str">
        <f>"255.02"</f>
        <v>255.02</v>
      </c>
      <c r="AE454" s="15"/>
      <c r="AF454" s="15"/>
      <c r="AG454" s="15"/>
      <c r="AH454" s="15"/>
      <c r="AI454" s="15"/>
    </row>
    <row r="455" spans="1:35">
      <c r="A455" s="14">
        <v>453</v>
      </c>
      <c r="B455" s="14">
        <v>3264</v>
      </c>
      <c r="C455" s="14" t="s">
        <v>602</v>
      </c>
      <c r="D455" s="14" t="s">
        <v>603</v>
      </c>
      <c r="E455" s="15" t="str">
        <f>"233.03"</f>
        <v>233.03</v>
      </c>
      <c r="F455" s="15"/>
      <c r="G455" s="16" t="str">
        <f>"233.03"</f>
        <v>233.03</v>
      </c>
      <c r="H455" s="17">
        <f t="shared" si="7"/>
        <v>225.03</v>
      </c>
      <c r="I455" s="18" t="s">
        <v>43</v>
      </c>
      <c r="J455" s="15">
        <v>4</v>
      </c>
      <c r="K455" s="15">
        <v>2016</v>
      </c>
      <c r="L455" s="15"/>
      <c r="M455" s="15"/>
      <c r="N455" s="15"/>
      <c r="O455" s="15"/>
      <c r="P455" s="15"/>
      <c r="Q455" s="15" t="str">
        <f>"205.03"</f>
        <v>205.03</v>
      </c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</row>
    <row r="456" spans="1:35">
      <c r="A456" s="14">
        <v>454</v>
      </c>
      <c r="B456" s="14">
        <v>10292</v>
      </c>
      <c r="C456" s="14" t="s">
        <v>604</v>
      </c>
      <c r="D456" s="14" t="s">
        <v>119</v>
      </c>
      <c r="E456" s="15" t="str">
        <f>"302.50"</f>
        <v>302.50</v>
      </c>
      <c r="F456" s="15"/>
      <c r="G456" s="16" t="str">
        <f>"233.23"</f>
        <v>233.23</v>
      </c>
      <c r="H456" s="17">
        <f t="shared" si="7"/>
        <v>225.23</v>
      </c>
      <c r="I456" s="18" t="s">
        <v>43</v>
      </c>
      <c r="J456" s="15">
        <v>2</v>
      </c>
      <c r="K456" s="15">
        <v>2016</v>
      </c>
      <c r="L456" s="15" t="str">
        <f>"399.76"</f>
        <v>399.76</v>
      </c>
      <c r="M456" s="15" t="str">
        <f>"205.23"</f>
        <v>205.23</v>
      </c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</row>
    <row r="457" spans="1:35">
      <c r="A457" s="14">
        <v>455</v>
      </c>
      <c r="B457" s="14">
        <v>10282</v>
      </c>
      <c r="C457" s="14" t="s">
        <v>605</v>
      </c>
      <c r="D457" s="14" t="s">
        <v>45</v>
      </c>
      <c r="E457" s="15" t="str">
        <f>"262.15"</f>
        <v>262.15</v>
      </c>
      <c r="F457" s="15"/>
      <c r="G457" s="16" t="str">
        <f>"233.38"</f>
        <v>233.38</v>
      </c>
      <c r="H457" s="17">
        <f t="shared" si="7"/>
        <v>225.38</v>
      </c>
      <c r="I457" s="18" t="s">
        <v>43</v>
      </c>
      <c r="J457" s="15">
        <v>2</v>
      </c>
      <c r="K457" s="15">
        <v>2016</v>
      </c>
      <c r="L457" s="15" t="str">
        <f>"318.92"</f>
        <v>318.92</v>
      </c>
      <c r="M457" s="15" t="str">
        <f>"205.38"</f>
        <v>205.38</v>
      </c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</row>
    <row r="458" spans="1:35">
      <c r="A458" s="14">
        <v>456</v>
      </c>
      <c r="B458" s="14">
        <v>10578</v>
      </c>
      <c r="C458" s="14" t="s">
        <v>606</v>
      </c>
      <c r="D458" s="14" t="s">
        <v>51</v>
      </c>
      <c r="E458" s="15" t="str">
        <f>"233.91"</f>
        <v>233.91</v>
      </c>
      <c r="F458" s="15"/>
      <c r="G458" s="16" t="str">
        <f>"233.91"</f>
        <v>233.91</v>
      </c>
      <c r="H458" s="17">
        <f t="shared" si="7"/>
        <v>225.91</v>
      </c>
      <c r="I458" s="18"/>
      <c r="J458" s="15">
        <v>3</v>
      </c>
      <c r="K458" s="15">
        <v>2016</v>
      </c>
      <c r="L458" s="15" t="str">
        <f>"405.94"</f>
        <v>405.94</v>
      </c>
      <c r="M458" s="15"/>
      <c r="N458" s="15"/>
      <c r="O458" s="15"/>
      <c r="P458" s="15"/>
      <c r="Q458" s="15"/>
      <c r="R458" s="15"/>
      <c r="S458" s="15" t="str">
        <f>"237.09"</f>
        <v>237.09</v>
      </c>
      <c r="T458" s="15" t="str">
        <f>"244.60"</f>
        <v>244.60</v>
      </c>
      <c r="U458" s="15"/>
      <c r="V458" s="15"/>
      <c r="W458" s="15"/>
      <c r="X458" s="15" t="str">
        <f>"356.05"</f>
        <v>356.05</v>
      </c>
      <c r="Y458" s="15" t="str">
        <f>"230.72"</f>
        <v>230.72</v>
      </c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</row>
    <row r="459" spans="1:35">
      <c r="A459" s="14">
        <v>457</v>
      </c>
      <c r="B459" s="14">
        <v>2329</v>
      </c>
      <c r="C459" s="14" t="s">
        <v>607</v>
      </c>
      <c r="D459" s="14" t="s">
        <v>245</v>
      </c>
      <c r="E459" s="15" t="str">
        <f>"206.06"</f>
        <v>206.06</v>
      </c>
      <c r="F459" s="15"/>
      <c r="G459" s="16" t="str">
        <f>"234.06"</f>
        <v>234.06</v>
      </c>
      <c r="H459" s="17">
        <f t="shared" si="7"/>
        <v>226.06</v>
      </c>
      <c r="I459" s="18" t="s">
        <v>40</v>
      </c>
      <c r="J459" s="15">
        <v>1</v>
      </c>
      <c r="K459" s="15">
        <v>2016</v>
      </c>
      <c r="L459" s="15" t="str">
        <f>"206.06"</f>
        <v>206.06</v>
      </c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</row>
    <row r="460" spans="1:35">
      <c r="A460" s="14">
        <v>458</v>
      </c>
      <c r="B460" s="14">
        <v>10714</v>
      </c>
      <c r="C460" s="14" t="s">
        <v>608</v>
      </c>
      <c r="D460" s="14" t="s">
        <v>286</v>
      </c>
      <c r="E460" s="15" t="str">
        <f>"233.12"</f>
        <v>233.12</v>
      </c>
      <c r="F460" s="15"/>
      <c r="G460" s="16" t="str">
        <f>"234.28"</f>
        <v>234.28</v>
      </c>
      <c r="H460" s="17">
        <f t="shared" si="7"/>
        <v>226.28</v>
      </c>
      <c r="I460" s="18" t="s">
        <v>43</v>
      </c>
      <c r="J460" s="15">
        <v>2</v>
      </c>
      <c r="K460" s="15">
        <v>2016</v>
      </c>
      <c r="L460" s="15" t="str">
        <f>"259.96"</f>
        <v>259.96</v>
      </c>
      <c r="M460" s="15"/>
      <c r="N460" s="15"/>
      <c r="O460" s="15"/>
      <c r="P460" s="15"/>
      <c r="Q460" s="15"/>
      <c r="R460" s="15"/>
      <c r="S460" s="15"/>
      <c r="T460" s="15"/>
      <c r="U460" s="15"/>
      <c r="V460" s="15" t="str">
        <f>"206.28"</f>
        <v>206.28</v>
      </c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</row>
    <row r="461" spans="1:35">
      <c r="A461" s="14">
        <v>459</v>
      </c>
      <c r="B461" s="14">
        <v>2018</v>
      </c>
      <c r="C461" s="14" t="s">
        <v>609</v>
      </c>
      <c r="D461" s="14" t="s">
        <v>610</v>
      </c>
      <c r="E461" s="15" t="str">
        <f>"206.55"</f>
        <v>206.55</v>
      </c>
      <c r="F461" s="15"/>
      <c r="G461" s="16" t="str">
        <f>"234.55"</f>
        <v>234.55</v>
      </c>
      <c r="H461" s="17">
        <f t="shared" si="7"/>
        <v>226.55</v>
      </c>
      <c r="I461" s="18" t="s">
        <v>40</v>
      </c>
      <c r="J461" s="15">
        <v>1</v>
      </c>
      <c r="K461" s="15">
        <v>2016</v>
      </c>
      <c r="L461" s="15" t="str">
        <f>"206.55"</f>
        <v>206.55</v>
      </c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</row>
    <row r="462" spans="1:35">
      <c r="A462" s="14">
        <v>460</v>
      </c>
      <c r="B462" s="14">
        <v>8413</v>
      </c>
      <c r="C462" s="14" t="s">
        <v>611</v>
      </c>
      <c r="D462" s="14" t="s">
        <v>162</v>
      </c>
      <c r="E462" s="15" t="str">
        <f>"206.79"</f>
        <v>206.79</v>
      </c>
      <c r="F462" s="15"/>
      <c r="G462" s="16" t="str">
        <f>"234.79"</f>
        <v>234.79</v>
      </c>
      <c r="H462" s="17">
        <f t="shared" si="7"/>
        <v>226.79</v>
      </c>
      <c r="I462" s="18" t="s">
        <v>40</v>
      </c>
      <c r="J462" s="15">
        <v>1</v>
      </c>
      <c r="K462" s="15">
        <v>2016</v>
      </c>
      <c r="L462" s="15" t="str">
        <f>"206.79"</f>
        <v>206.79</v>
      </c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</row>
    <row r="463" spans="1:35">
      <c r="A463" s="14">
        <v>461</v>
      </c>
      <c r="B463" s="14">
        <v>8485</v>
      </c>
      <c r="C463" s="14" t="s">
        <v>612</v>
      </c>
      <c r="D463" s="14" t="s">
        <v>51</v>
      </c>
      <c r="E463" s="15" t="str">
        <f>"206.93"</f>
        <v>206.93</v>
      </c>
      <c r="F463" s="15"/>
      <c r="G463" s="16" t="str">
        <f>"234.93"</f>
        <v>234.93</v>
      </c>
      <c r="H463" s="17">
        <f t="shared" si="7"/>
        <v>226.93</v>
      </c>
      <c r="I463" s="18" t="s">
        <v>40</v>
      </c>
      <c r="J463" s="15">
        <v>1</v>
      </c>
      <c r="K463" s="15">
        <v>2016</v>
      </c>
      <c r="L463" s="15" t="str">
        <f>"206.93"</f>
        <v>206.93</v>
      </c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</row>
    <row r="464" spans="1:35">
      <c r="A464" s="14">
        <v>462</v>
      </c>
      <c r="B464" s="14">
        <v>8615</v>
      </c>
      <c r="C464" s="14" t="s">
        <v>613</v>
      </c>
      <c r="D464" s="14" t="s">
        <v>51</v>
      </c>
      <c r="E464" s="15" t="str">
        <f>"179.36"</f>
        <v>179.36</v>
      </c>
      <c r="F464" s="15"/>
      <c r="G464" s="16" t="str">
        <f>"235.06"</f>
        <v>235.06</v>
      </c>
      <c r="H464" s="17">
        <f t="shared" si="7"/>
        <v>227.06</v>
      </c>
      <c r="I464" s="18"/>
      <c r="J464" s="15">
        <v>3</v>
      </c>
      <c r="K464" s="15">
        <v>2016</v>
      </c>
      <c r="L464" s="15" t="str">
        <f>"179.36"</f>
        <v>179.36</v>
      </c>
      <c r="M464" s="15"/>
      <c r="N464" s="15"/>
      <c r="O464" s="15"/>
      <c r="P464" s="15"/>
      <c r="Q464" s="15"/>
      <c r="R464" s="15"/>
      <c r="S464" s="15"/>
      <c r="T464" s="15" t="str">
        <f>"236.38"</f>
        <v>236.38</v>
      </c>
      <c r="U464" s="15"/>
      <c r="V464" s="15"/>
      <c r="W464" s="15"/>
      <c r="X464" s="15"/>
      <c r="Y464" s="15" t="str">
        <f>"233.74"</f>
        <v>233.74</v>
      </c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</row>
    <row r="465" spans="1:35">
      <c r="A465" s="14">
        <v>463</v>
      </c>
      <c r="B465" s="14">
        <v>11023</v>
      </c>
      <c r="C465" s="14" t="s">
        <v>614</v>
      </c>
      <c r="D465" s="14" t="s">
        <v>258</v>
      </c>
      <c r="E465" s="15" t="str">
        <f>"235.45"</f>
        <v>235.45</v>
      </c>
      <c r="F465" s="15"/>
      <c r="G465" s="16" t="str">
        <f>"235.45"</f>
        <v>235.45</v>
      </c>
      <c r="H465" s="17">
        <f t="shared" si="7"/>
        <v>227.45</v>
      </c>
      <c r="I465" s="18" t="s">
        <v>43</v>
      </c>
      <c r="J465" s="15">
        <v>4</v>
      </c>
      <c r="K465" s="15">
        <v>2016</v>
      </c>
      <c r="L465" s="15"/>
      <c r="M465" s="15"/>
      <c r="N465" s="15"/>
      <c r="O465" s="15"/>
      <c r="P465" s="15"/>
      <c r="Q465" s="15" t="str">
        <f>"207.45"</f>
        <v>207.45</v>
      </c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</row>
    <row r="466" spans="1:35">
      <c r="A466" s="14">
        <v>464</v>
      </c>
      <c r="B466" s="14">
        <v>3026</v>
      </c>
      <c r="C466" s="14" t="s">
        <v>615</v>
      </c>
      <c r="D466" s="14" t="s">
        <v>390</v>
      </c>
      <c r="E466" s="15" t="str">
        <f>"207.81"</f>
        <v>207.81</v>
      </c>
      <c r="F466" s="15"/>
      <c r="G466" s="16" t="str">
        <f>"235.81"</f>
        <v>235.81</v>
      </c>
      <c r="H466" s="17">
        <f t="shared" si="7"/>
        <v>227.81</v>
      </c>
      <c r="I466" s="18" t="s">
        <v>40</v>
      </c>
      <c r="J466" s="15">
        <v>1</v>
      </c>
      <c r="K466" s="15">
        <v>2016</v>
      </c>
      <c r="L466" s="15" t="str">
        <f>"207.81"</f>
        <v>207.81</v>
      </c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</row>
    <row r="467" spans="1:35">
      <c r="A467" s="14">
        <v>465</v>
      </c>
      <c r="B467" s="14">
        <v>2192</v>
      </c>
      <c r="C467" s="14" t="s">
        <v>616</v>
      </c>
      <c r="D467" s="14" t="s">
        <v>51</v>
      </c>
      <c r="E467" s="15" t="str">
        <f>"235.95"</f>
        <v>235.95</v>
      </c>
      <c r="F467" s="15"/>
      <c r="G467" s="16" t="str">
        <f>"235.95"</f>
        <v>235.95</v>
      </c>
      <c r="H467" s="17">
        <f t="shared" si="7"/>
        <v>227.95</v>
      </c>
      <c r="I467" s="18"/>
      <c r="J467" s="15">
        <v>3</v>
      </c>
      <c r="K467" s="15">
        <v>2016</v>
      </c>
      <c r="L467" s="15" t="str">
        <f>"306.80"</f>
        <v>306.80</v>
      </c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 t="str">
        <f>"239.44"</f>
        <v>239.44</v>
      </c>
      <c r="Y467" s="15"/>
      <c r="Z467" s="15"/>
      <c r="AA467" s="15"/>
      <c r="AB467" s="15"/>
      <c r="AC467" s="15"/>
      <c r="AD467" s="15"/>
      <c r="AE467" s="15"/>
      <c r="AF467" s="15"/>
      <c r="AG467" s="15" t="str">
        <f>"232.45"</f>
        <v>232.45</v>
      </c>
      <c r="AH467" s="15"/>
      <c r="AI467" s="15"/>
    </row>
    <row r="468" spans="1:35">
      <c r="A468" s="14">
        <v>466</v>
      </c>
      <c r="B468" s="14">
        <v>10068</v>
      </c>
      <c r="C468" s="14" t="s">
        <v>617</v>
      </c>
      <c r="D468" s="14" t="s">
        <v>51</v>
      </c>
      <c r="E468" s="15" t="str">
        <f>"200.34"</f>
        <v>200.34</v>
      </c>
      <c r="F468" s="15"/>
      <c r="G468" s="16" t="str">
        <f>"236.36"</f>
        <v>236.36</v>
      </c>
      <c r="H468" s="17">
        <f t="shared" si="7"/>
        <v>228.36</v>
      </c>
      <c r="I468" s="18"/>
      <c r="J468" s="15">
        <v>3</v>
      </c>
      <c r="K468" s="15">
        <v>2016</v>
      </c>
      <c r="L468" s="15" t="str">
        <f>"200.34"</f>
        <v>200.34</v>
      </c>
      <c r="M468" s="15"/>
      <c r="N468" s="15"/>
      <c r="O468" s="15"/>
      <c r="P468" s="15"/>
      <c r="Q468" s="15"/>
      <c r="R468" s="15"/>
      <c r="S468" s="15"/>
      <c r="T468" s="15" t="str">
        <f>"216.82"</f>
        <v>216.82</v>
      </c>
      <c r="U468" s="15"/>
      <c r="V468" s="15"/>
      <c r="W468" s="15"/>
      <c r="X468" s="15"/>
      <c r="Y468" s="15" t="str">
        <f>"255.90"</f>
        <v>255.90</v>
      </c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</row>
    <row r="469" spans="1:35">
      <c r="A469" s="14">
        <v>467</v>
      </c>
      <c r="B469" s="14">
        <v>2146</v>
      </c>
      <c r="C469" s="14" t="s">
        <v>618</v>
      </c>
      <c r="D469" s="14" t="s">
        <v>371</v>
      </c>
      <c r="E469" s="15" t="str">
        <f>"208.95"</f>
        <v>208.95</v>
      </c>
      <c r="F469" s="15"/>
      <c r="G469" s="16" t="str">
        <f>"236.95"</f>
        <v>236.95</v>
      </c>
      <c r="H469" s="17">
        <f t="shared" si="7"/>
        <v>228.95</v>
      </c>
      <c r="I469" s="18" t="s">
        <v>40</v>
      </c>
      <c r="J469" s="15">
        <v>1</v>
      </c>
      <c r="K469" s="15">
        <v>2016</v>
      </c>
      <c r="L469" s="15" t="str">
        <f>"208.95"</f>
        <v>208.95</v>
      </c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</row>
    <row r="470" spans="1:35">
      <c r="A470" s="14">
        <v>468</v>
      </c>
      <c r="B470" s="14">
        <v>1546</v>
      </c>
      <c r="C470" s="14" t="s">
        <v>619</v>
      </c>
      <c r="D470" s="14" t="s">
        <v>131</v>
      </c>
      <c r="E470" s="15" t="str">
        <f>"246.40"</f>
        <v>246.40</v>
      </c>
      <c r="F470" s="15"/>
      <c r="G470" s="16" t="str">
        <f>"237.29"</f>
        <v>237.29</v>
      </c>
      <c r="H470" s="17">
        <f t="shared" si="7"/>
        <v>229.29</v>
      </c>
      <c r="I470" s="18" t="s">
        <v>43</v>
      </c>
      <c r="J470" s="15">
        <v>2</v>
      </c>
      <c r="K470" s="15">
        <v>2016</v>
      </c>
      <c r="L470" s="15" t="str">
        <f>"283.50"</f>
        <v>283.50</v>
      </c>
      <c r="M470" s="15"/>
      <c r="N470" s="15"/>
      <c r="O470" s="15"/>
      <c r="P470" s="15"/>
      <c r="Q470" s="15" t="str">
        <f>"209.29"</f>
        <v>209.29</v>
      </c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</row>
    <row r="471" spans="1:35">
      <c r="A471" s="14">
        <v>469</v>
      </c>
      <c r="B471" s="14">
        <v>10515</v>
      </c>
      <c r="C471" s="14" t="s">
        <v>620</v>
      </c>
      <c r="D471" s="14" t="s">
        <v>76</v>
      </c>
      <c r="E471" s="15" t="str">
        <f>"209.55"</f>
        <v>209.55</v>
      </c>
      <c r="F471" s="15"/>
      <c r="G471" s="16" t="str">
        <f>"237.55"</f>
        <v>237.55</v>
      </c>
      <c r="H471" s="17">
        <f t="shared" si="7"/>
        <v>229.55</v>
      </c>
      <c r="I471" s="18" t="s">
        <v>40</v>
      </c>
      <c r="J471" s="15">
        <v>1</v>
      </c>
      <c r="K471" s="15">
        <v>2016</v>
      </c>
      <c r="L471" s="15" t="str">
        <f>"209.55"</f>
        <v>209.55</v>
      </c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</row>
    <row r="472" spans="1:35">
      <c r="A472" s="14">
        <v>470</v>
      </c>
      <c r="B472" s="14">
        <v>10071</v>
      </c>
      <c r="C472" s="14" t="s">
        <v>621</v>
      </c>
      <c r="D472" s="14" t="s">
        <v>51</v>
      </c>
      <c r="E472" s="15" t="str">
        <f>"224.73"</f>
        <v>224.73</v>
      </c>
      <c r="F472" s="15"/>
      <c r="G472" s="16" t="str">
        <f>"238.24"</f>
        <v>238.24</v>
      </c>
      <c r="H472" s="17">
        <f t="shared" si="7"/>
        <v>230.24</v>
      </c>
      <c r="I472" s="18"/>
      <c r="J472" s="15">
        <v>3</v>
      </c>
      <c r="K472" s="15">
        <v>2016</v>
      </c>
      <c r="L472" s="15" t="str">
        <f>"246.43"</f>
        <v>246.43</v>
      </c>
      <c r="M472" s="15"/>
      <c r="N472" s="15"/>
      <c r="O472" s="15"/>
      <c r="P472" s="15"/>
      <c r="Q472" s="15"/>
      <c r="R472" s="15"/>
      <c r="S472" s="15" t="str">
        <f>"203.02"</f>
        <v>203.02</v>
      </c>
      <c r="T472" s="15" t="str">
        <f>"273.45"</f>
        <v>273.45</v>
      </c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</row>
    <row r="473" spans="1:35">
      <c r="A473" s="14">
        <v>471</v>
      </c>
      <c r="B473" s="14">
        <v>5144</v>
      </c>
      <c r="C473" s="14" t="s">
        <v>622</v>
      </c>
      <c r="D473" s="14" t="s">
        <v>419</v>
      </c>
      <c r="E473" s="15" t="str">
        <f>"238.42"</f>
        <v>238.42</v>
      </c>
      <c r="F473" s="15"/>
      <c r="G473" s="16" t="str">
        <f>"238.42"</f>
        <v>238.42</v>
      </c>
      <c r="H473" s="17">
        <f t="shared" si="7"/>
        <v>230.42</v>
      </c>
      <c r="I473" s="18" t="s">
        <v>43</v>
      </c>
      <c r="J473" s="15">
        <v>4</v>
      </c>
      <c r="K473" s="15">
        <v>2016</v>
      </c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 t="str">
        <f>"210.42"</f>
        <v>210.42</v>
      </c>
      <c r="AA473" s="15"/>
      <c r="AB473" s="15"/>
      <c r="AC473" s="15"/>
      <c r="AD473" s="15"/>
      <c r="AE473" s="15"/>
      <c r="AF473" s="15"/>
      <c r="AG473" s="15"/>
      <c r="AH473" s="15"/>
      <c r="AI473" s="15"/>
    </row>
    <row r="474" spans="1:35">
      <c r="A474" s="14">
        <v>472</v>
      </c>
      <c r="B474" s="14">
        <v>5166</v>
      </c>
      <c r="C474" s="14" t="s">
        <v>623</v>
      </c>
      <c r="D474" s="14" t="s">
        <v>529</v>
      </c>
      <c r="E474" s="15" t="str">
        <f>"211.32"</f>
        <v>211.32</v>
      </c>
      <c r="F474" s="15"/>
      <c r="G474" s="16" t="str">
        <f>"238.99"</f>
        <v>238.99</v>
      </c>
      <c r="H474" s="17">
        <f t="shared" si="7"/>
        <v>230.99</v>
      </c>
      <c r="I474" s="18" t="s">
        <v>43</v>
      </c>
      <c r="J474" s="15">
        <v>2</v>
      </c>
      <c r="K474" s="15">
        <v>2016</v>
      </c>
      <c r="L474" s="15" t="str">
        <f>"211.64"</f>
        <v>211.64</v>
      </c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 t="str">
        <f>"210.99"</f>
        <v>210.99</v>
      </c>
      <c r="AD474" s="15"/>
      <c r="AE474" s="15"/>
      <c r="AF474" s="15"/>
      <c r="AG474" s="15"/>
      <c r="AH474" s="15"/>
      <c r="AI474" s="15"/>
    </row>
    <row r="475" spans="1:35">
      <c r="A475" s="14">
        <v>473</v>
      </c>
      <c r="B475" s="14">
        <v>10226</v>
      </c>
      <c r="C475" s="14" t="s">
        <v>624</v>
      </c>
      <c r="D475" s="14" t="s">
        <v>289</v>
      </c>
      <c r="E475" s="15" t="str">
        <f>"211.18"</f>
        <v>211.18</v>
      </c>
      <c r="F475" s="15"/>
      <c r="G475" s="16" t="str">
        <f>"239.18"</f>
        <v>239.18</v>
      </c>
      <c r="H475" s="17">
        <f t="shared" si="7"/>
        <v>231.18</v>
      </c>
      <c r="I475" s="18" t="s">
        <v>40</v>
      </c>
      <c r="J475" s="15">
        <v>1</v>
      </c>
      <c r="K475" s="15">
        <v>2016</v>
      </c>
      <c r="L475" s="15" t="str">
        <f>"211.18"</f>
        <v>211.18</v>
      </c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</row>
    <row r="476" spans="1:35">
      <c r="A476" s="14">
        <v>474</v>
      </c>
      <c r="B476" s="14">
        <v>3093</v>
      </c>
      <c r="C476" s="14" t="s">
        <v>625</v>
      </c>
      <c r="D476" s="14" t="s">
        <v>626</v>
      </c>
      <c r="E476" s="15" t="str">
        <f>"211.43"</f>
        <v>211.43</v>
      </c>
      <c r="F476" s="15"/>
      <c r="G476" s="16" t="str">
        <f>"239.43"</f>
        <v>239.43</v>
      </c>
      <c r="H476" s="17">
        <f t="shared" si="7"/>
        <v>231.43</v>
      </c>
      <c r="I476" s="18" t="s">
        <v>40</v>
      </c>
      <c r="J476" s="15">
        <v>1</v>
      </c>
      <c r="K476" s="15">
        <v>2016</v>
      </c>
      <c r="L476" s="15" t="str">
        <f>"211.43"</f>
        <v>211.43</v>
      </c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</row>
    <row r="477" spans="1:35">
      <c r="A477" s="14">
        <v>475</v>
      </c>
      <c r="B477" s="14">
        <v>10841</v>
      </c>
      <c r="C477" s="14" t="s">
        <v>627</v>
      </c>
      <c r="D477" s="14" t="s">
        <v>51</v>
      </c>
      <c r="E477" s="15" t="str">
        <f>"240.10"</f>
        <v>240.10</v>
      </c>
      <c r="F477" s="15"/>
      <c r="G477" s="16" t="str">
        <f>"240.10"</f>
        <v>240.10</v>
      </c>
      <c r="H477" s="17">
        <f t="shared" si="7"/>
        <v>232.1</v>
      </c>
      <c r="I477" s="18"/>
      <c r="J477" s="15">
        <v>5</v>
      </c>
      <c r="K477" s="15">
        <v>2016</v>
      </c>
      <c r="L477" s="15"/>
      <c r="M477" s="15"/>
      <c r="N477" s="15"/>
      <c r="O477" s="15"/>
      <c r="P477" s="15" t="str">
        <f>"321.96"</f>
        <v>321.96</v>
      </c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 t="str">
        <f>"248.67"</f>
        <v>248.67</v>
      </c>
      <c r="AH477" s="15" t="str">
        <f>"251.69"</f>
        <v>251.69</v>
      </c>
      <c r="AI477" s="15" t="str">
        <f>"231.52"</f>
        <v>231.52</v>
      </c>
    </row>
    <row r="478" spans="1:35">
      <c r="A478" s="14">
        <v>476</v>
      </c>
      <c r="B478" s="14">
        <v>7864</v>
      </c>
      <c r="C478" s="14" t="s">
        <v>628</v>
      </c>
      <c r="D478" s="14" t="s">
        <v>49</v>
      </c>
      <c r="E478" s="15" t="str">
        <f>"212.42"</f>
        <v>212.42</v>
      </c>
      <c r="F478" s="15"/>
      <c r="G478" s="16" t="str">
        <f>"240.42"</f>
        <v>240.42</v>
      </c>
      <c r="H478" s="17">
        <f t="shared" si="7"/>
        <v>232.42</v>
      </c>
      <c r="I478" s="18" t="s">
        <v>40</v>
      </c>
      <c r="J478" s="15">
        <v>1</v>
      </c>
      <c r="K478" s="15">
        <v>2016</v>
      </c>
      <c r="L478" s="15" t="str">
        <f>"212.42"</f>
        <v>212.42</v>
      </c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</row>
    <row r="479" spans="1:35">
      <c r="A479" s="14">
        <v>477</v>
      </c>
      <c r="B479" s="14">
        <v>10966</v>
      </c>
      <c r="C479" s="14" t="s">
        <v>629</v>
      </c>
      <c r="D479" s="14" t="s">
        <v>125</v>
      </c>
      <c r="E479" s="15" t="str">
        <f>"240.78"</f>
        <v>240.78</v>
      </c>
      <c r="F479" s="15"/>
      <c r="G479" s="16" t="str">
        <f>"240.78"</f>
        <v>240.78</v>
      </c>
      <c r="H479" s="17">
        <f t="shared" si="7"/>
        <v>232.78</v>
      </c>
      <c r="I479" s="18"/>
      <c r="J479" s="15">
        <v>5</v>
      </c>
      <c r="K479" s="15">
        <v>2016</v>
      </c>
      <c r="L479" s="15"/>
      <c r="M479" s="15" t="str">
        <f>"244.28"</f>
        <v>244.28</v>
      </c>
      <c r="N479" s="15"/>
      <c r="O479" s="15" t="str">
        <f>"237.28"</f>
        <v>237.28</v>
      </c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</row>
    <row r="480" spans="1:35">
      <c r="A480" s="14">
        <v>478</v>
      </c>
      <c r="B480" s="14">
        <v>10671</v>
      </c>
      <c r="C480" s="14" t="s">
        <v>630</v>
      </c>
      <c r="D480" s="14" t="s">
        <v>108</v>
      </c>
      <c r="E480" s="15" t="str">
        <f>"212.95"</f>
        <v>212.95</v>
      </c>
      <c r="F480" s="15"/>
      <c r="G480" s="16" t="str">
        <f>"240.95"</f>
        <v>240.95</v>
      </c>
      <c r="H480" s="17">
        <f t="shared" si="7"/>
        <v>232.95</v>
      </c>
      <c r="I480" s="18" t="s">
        <v>40</v>
      </c>
      <c r="J480" s="15">
        <v>1</v>
      </c>
      <c r="K480" s="15">
        <v>2016</v>
      </c>
      <c r="L480" s="15" t="str">
        <f>"212.95"</f>
        <v>212.95</v>
      </c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</row>
    <row r="481" spans="1:35">
      <c r="A481" s="14">
        <v>479</v>
      </c>
      <c r="B481" s="14">
        <v>3398</v>
      </c>
      <c r="C481" s="14" t="s">
        <v>631</v>
      </c>
      <c r="D481" s="14" t="s">
        <v>632</v>
      </c>
      <c r="E481" s="15" t="str">
        <f>"223.06"</f>
        <v>223.06</v>
      </c>
      <c r="F481" s="15"/>
      <c r="G481" s="16" t="str">
        <f>"241.21"</f>
        <v>241.21</v>
      </c>
      <c r="H481" s="17">
        <f t="shared" si="7"/>
        <v>233.21</v>
      </c>
      <c r="I481" s="18"/>
      <c r="J481" s="15">
        <v>3</v>
      </c>
      <c r="K481" s="15">
        <v>2016</v>
      </c>
      <c r="L481" s="15" t="str">
        <f>"225.24"</f>
        <v>225.24</v>
      </c>
      <c r="M481" s="15"/>
      <c r="N481" s="15"/>
      <c r="O481" s="15"/>
      <c r="P481" s="15"/>
      <c r="Q481" s="15"/>
      <c r="R481" s="15" t="str">
        <f>"220.87"</f>
        <v>220.87</v>
      </c>
      <c r="S481" s="15"/>
      <c r="T481" s="15"/>
      <c r="U481" s="15"/>
      <c r="V481" s="15"/>
      <c r="W481" s="15" t="str">
        <f>"261.54"</f>
        <v>261.54</v>
      </c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</row>
    <row r="482" spans="1:35">
      <c r="A482" s="14">
        <v>480</v>
      </c>
      <c r="B482" s="14">
        <v>2361</v>
      </c>
      <c r="C482" s="14" t="s">
        <v>633</v>
      </c>
      <c r="D482" s="14" t="s">
        <v>371</v>
      </c>
      <c r="E482" s="15" t="str">
        <f>"190.46"</f>
        <v>190.46</v>
      </c>
      <c r="F482" s="15"/>
      <c r="G482" s="16" t="str">
        <f>"241.38"</f>
        <v>241.38</v>
      </c>
      <c r="H482" s="17">
        <f t="shared" si="7"/>
        <v>233.38</v>
      </c>
      <c r="I482" s="18" t="s">
        <v>43</v>
      </c>
      <c r="J482" s="15">
        <v>2</v>
      </c>
      <c r="K482" s="15">
        <v>2016</v>
      </c>
      <c r="L482" s="15" t="str">
        <f>"190.46"</f>
        <v>190.46</v>
      </c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 t="str">
        <f>"213.38"</f>
        <v>213.38</v>
      </c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</row>
    <row r="483" spans="1:35">
      <c r="A483" s="14">
        <v>481</v>
      </c>
      <c r="B483" s="14">
        <v>2191</v>
      </c>
      <c r="C483" s="14" t="s">
        <v>634</v>
      </c>
      <c r="D483" s="14" t="s">
        <v>51</v>
      </c>
      <c r="E483" s="15" t="str">
        <f>"241.91"</f>
        <v>241.91</v>
      </c>
      <c r="F483" s="15"/>
      <c r="G483" s="16" t="str">
        <f>"241.91"</f>
        <v>241.91</v>
      </c>
      <c r="H483" s="17">
        <f t="shared" si="7"/>
        <v>233.91</v>
      </c>
      <c r="I483" s="18"/>
      <c r="J483" s="15">
        <v>3</v>
      </c>
      <c r="K483" s="15">
        <v>2016</v>
      </c>
      <c r="L483" s="15" t="str">
        <f>"325.83"</f>
        <v>325.83</v>
      </c>
      <c r="M483" s="15"/>
      <c r="N483" s="15"/>
      <c r="O483" s="15"/>
      <c r="P483" s="15"/>
      <c r="Q483" s="15"/>
      <c r="R483" s="15"/>
      <c r="S483" s="15" t="str">
        <f>"226.95"</f>
        <v>226.95</v>
      </c>
      <c r="T483" s="15" t="str">
        <f>"256.86"</f>
        <v>256.86</v>
      </c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</row>
    <row r="484" spans="1:35">
      <c r="A484" s="14">
        <v>482</v>
      </c>
      <c r="B484" s="14">
        <v>10086</v>
      </c>
      <c r="C484" s="14" t="s">
        <v>635</v>
      </c>
      <c r="D484" s="14" t="s">
        <v>51</v>
      </c>
      <c r="E484" s="15" t="str">
        <f>"214.40"</f>
        <v>214.40</v>
      </c>
      <c r="F484" s="15"/>
      <c r="G484" s="16" t="str">
        <f>"242.40"</f>
        <v>242.40</v>
      </c>
      <c r="H484" s="17">
        <f t="shared" si="7"/>
        <v>234.4</v>
      </c>
      <c r="I484" s="18" t="s">
        <v>40</v>
      </c>
      <c r="J484" s="15">
        <v>1</v>
      </c>
      <c r="K484" s="15">
        <v>2016</v>
      </c>
      <c r="L484" s="15" t="str">
        <f>"214.40"</f>
        <v>214.40</v>
      </c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</row>
    <row r="485" spans="1:35">
      <c r="A485" s="14">
        <v>483</v>
      </c>
      <c r="B485" s="14">
        <v>10709</v>
      </c>
      <c r="C485" s="14" t="s">
        <v>636</v>
      </c>
      <c r="D485" s="14" t="s">
        <v>51</v>
      </c>
      <c r="E485" s="15" t="str">
        <f>"243.64"</f>
        <v>243.64</v>
      </c>
      <c r="F485" s="15"/>
      <c r="G485" s="16" t="str">
        <f>"243.64"</f>
        <v>243.64</v>
      </c>
      <c r="H485" s="17">
        <f t="shared" si="7"/>
        <v>235.64</v>
      </c>
      <c r="I485" s="18"/>
      <c r="J485" s="15">
        <v>3</v>
      </c>
      <c r="K485" s="15">
        <v>2016</v>
      </c>
      <c r="L485" s="15" t="str">
        <f>"620.48"</f>
        <v>620.48</v>
      </c>
      <c r="M485" s="15"/>
      <c r="N485" s="15"/>
      <c r="O485" s="15"/>
      <c r="P485" s="15" t="str">
        <f>"329.74"</f>
        <v>329.74</v>
      </c>
      <c r="Q485" s="15"/>
      <c r="R485" s="15"/>
      <c r="S485" s="15"/>
      <c r="T485" s="15"/>
      <c r="U485" s="15"/>
      <c r="V485" s="15"/>
      <c r="W485" s="15"/>
      <c r="X485" s="15" t="str">
        <f>"302.03"</f>
        <v>302.03</v>
      </c>
      <c r="Y485" s="15"/>
      <c r="Z485" s="15"/>
      <c r="AA485" s="15"/>
      <c r="AB485" s="15"/>
      <c r="AC485" s="15"/>
      <c r="AD485" s="15"/>
      <c r="AE485" s="15"/>
      <c r="AF485" s="15"/>
      <c r="AG485" s="15" t="str">
        <f>"248.36"</f>
        <v>248.36</v>
      </c>
      <c r="AH485" s="15" t="str">
        <f>"238.91"</f>
        <v>238.91</v>
      </c>
      <c r="AI485" s="15"/>
    </row>
    <row r="486" spans="1:35">
      <c r="A486" s="14">
        <v>484</v>
      </c>
      <c r="B486" s="14">
        <v>10944</v>
      </c>
      <c r="C486" s="14" t="s">
        <v>637</v>
      </c>
      <c r="D486" s="14" t="s">
        <v>55</v>
      </c>
      <c r="E486" s="15" t="str">
        <f>"244.02"</f>
        <v>244.02</v>
      </c>
      <c r="F486" s="15"/>
      <c r="G486" s="16" t="str">
        <f>"244.02"</f>
        <v>244.02</v>
      </c>
      <c r="H486" s="17">
        <f t="shared" si="7"/>
        <v>236.02</v>
      </c>
      <c r="I486" s="18" t="s">
        <v>43</v>
      </c>
      <c r="J486" s="15">
        <v>4</v>
      </c>
      <c r="K486" s="15">
        <v>2016</v>
      </c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 t="str">
        <f>"216.02"</f>
        <v>216.02</v>
      </c>
      <c r="AA486" s="15"/>
      <c r="AB486" s="15"/>
      <c r="AC486" s="15"/>
      <c r="AD486" s="15"/>
      <c r="AE486" s="15"/>
      <c r="AF486" s="15"/>
      <c r="AG486" s="15"/>
      <c r="AH486" s="15"/>
      <c r="AI486" s="15"/>
    </row>
    <row r="487" spans="1:35">
      <c r="A487" s="14">
        <v>485</v>
      </c>
      <c r="B487" s="14">
        <v>10815</v>
      </c>
      <c r="C487" s="14" t="s">
        <v>638</v>
      </c>
      <c r="D487" s="14" t="s">
        <v>58</v>
      </c>
      <c r="E487" s="15" t="str">
        <f>"244.30"</f>
        <v>244.30</v>
      </c>
      <c r="F487" s="15"/>
      <c r="G487" s="16" t="str">
        <f>"244.30"</f>
        <v>244.30</v>
      </c>
      <c r="H487" s="17">
        <f t="shared" si="7"/>
        <v>236.3</v>
      </c>
      <c r="I487" s="18" t="s">
        <v>43</v>
      </c>
      <c r="J487" s="15">
        <v>4</v>
      </c>
      <c r="K487" s="15">
        <v>2016</v>
      </c>
      <c r="L487" s="15"/>
      <c r="M487" s="15"/>
      <c r="N487" s="15"/>
      <c r="O487" s="15"/>
      <c r="P487" s="15"/>
      <c r="Q487" s="15"/>
      <c r="R487" s="15"/>
      <c r="S487" s="15"/>
      <c r="T487" s="15"/>
      <c r="U487" s="15" t="str">
        <f>"216.30"</f>
        <v>216.30</v>
      </c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</row>
    <row r="488" spans="1:35">
      <c r="A488" s="14">
        <v>486</v>
      </c>
      <c r="B488" s="14">
        <v>7651</v>
      </c>
      <c r="C488" s="14" t="s">
        <v>639</v>
      </c>
      <c r="D488" s="14" t="s">
        <v>289</v>
      </c>
      <c r="E488" s="15" t="str">
        <f>"274.54"</f>
        <v>274.54</v>
      </c>
      <c r="F488" s="15"/>
      <c r="G488" s="16" t="str">
        <f>"244.85"</f>
        <v>244.85</v>
      </c>
      <c r="H488" s="17">
        <f t="shared" si="7"/>
        <v>236.85</v>
      </c>
      <c r="I488" s="18" t="s">
        <v>43</v>
      </c>
      <c r="J488" s="15">
        <v>2</v>
      </c>
      <c r="K488" s="15">
        <v>2016</v>
      </c>
      <c r="L488" s="15" t="str">
        <f>"332.23"</f>
        <v>332.23</v>
      </c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 t="str">
        <f>"216.85"</f>
        <v>216.85</v>
      </c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</row>
    <row r="489" spans="1:35">
      <c r="A489" s="14">
        <v>487</v>
      </c>
      <c r="B489" s="14">
        <v>10409</v>
      </c>
      <c r="C489" s="14" t="s">
        <v>640</v>
      </c>
      <c r="D489" s="14" t="s">
        <v>58</v>
      </c>
      <c r="E489" s="15" t="str">
        <f>"196.78"</f>
        <v>196.78</v>
      </c>
      <c r="F489" s="15"/>
      <c r="G489" s="16" t="str">
        <f>"245.04"</f>
        <v>245.04</v>
      </c>
      <c r="H489" s="17">
        <f t="shared" si="7"/>
        <v>237.04</v>
      </c>
      <c r="I489" s="18"/>
      <c r="J489" s="15">
        <v>3</v>
      </c>
      <c r="K489" s="15">
        <v>2016</v>
      </c>
      <c r="L489" s="15" t="str">
        <f>"239.84"</f>
        <v>239.84</v>
      </c>
      <c r="M489" s="15"/>
      <c r="N489" s="15"/>
      <c r="O489" s="15"/>
      <c r="P489" s="15"/>
      <c r="Q489" s="15"/>
      <c r="R489" s="15"/>
      <c r="S489" s="15"/>
      <c r="T489" s="15"/>
      <c r="U489" s="15" t="str">
        <f>"336.36"</f>
        <v>336.36</v>
      </c>
      <c r="V489" s="15"/>
      <c r="W489" s="15"/>
      <c r="X489" s="15"/>
      <c r="Y489" s="15"/>
      <c r="Z489" s="15" t="str">
        <f>"153.72"</f>
        <v>153.72</v>
      </c>
      <c r="AA489" s="15"/>
      <c r="AB489" s="15"/>
      <c r="AC489" s="15"/>
      <c r="AD489" s="15"/>
      <c r="AE489" s="15"/>
      <c r="AF489" s="15"/>
      <c r="AG489" s="15"/>
      <c r="AH489" s="15"/>
      <c r="AI489" s="15"/>
    </row>
    <row r="490" spans="1:35">
      <c r="A490" s="14">
        <v>488</v>
      </c>
      <c r="B490" s="14">
        <v>2706</v>
      </c>
      <c r="C490" s="14" t="s">
        <v>641</v>
      </c>
      <c r="D490" s="14" t="s">
        <v>39</v>
      </c>
      <c r="E490" s="15" t="str">
        <f>"217.45"</f>
        <v>217.45</v>
      </c>
      <c r="F490" s="15"/>
      <c r="G490" s="16" t="str">
        <f>"245.45"</f>
        <v>245.45</v>
      </c>
      <c r="H490" s="17">
        <f t="shared" si="7"/>
        <v>237.45</v>
      </c>
      <c r="I490" s="18" t="s">
        <v>40</v>
      </c>
      <c r="J490" s="15">
        <v>1</v>
      </c>
      <c r="K490" s="15">
        <v>2016</v>
      </c>
      <c r="L490" s="15" t="str">
        <f>"217.45"</f>
        <v>217.45</v>
      </c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</row>
    <row r="491" spans="1:35">
      <c r="A491" s="14">
        <v>489</v>
      </c>
      <c r="B491" s="14">
        <v>10869</v>
      </c>
      <c r="C491" s="14" t="s">
        <v>642</v>
      </c>
      <c r="D491" s="14" t="s">
        <v>51</v>
      </c>
      <c r="E491" s="15" t="str">
        <f>"246.08"</f>
        <v>246.08</v>
      </c>
      <c r="F491" s="15"/>
      <c r="G491" s="16" t="str">
        <f>"246.08"</f>
        <v>246.08</v>
      </c>
      <c r="H491" s="17">
        <f t="shared" si="7"/>
        <v>238.08</v>
      </c>
      <c r="I491" s="18"/>
      <c r="J491" s="15">
        <v>5</v>
      </c>
      <c r="K491" s="15">
        <v>2016</v>
      </c>
      <c r="L491" s="15"/>
      <c r="M491" s="15"/>
      <c r="N491" s="15"/>
      <c r="O491" s="15"/>
      <c r="P491" s="15"/>
      <c r="Q491" s="15"/>
      <c r="R491" s="15"/>
      <c r="S491" s="15" t="str">
        <f>"537.49"</f>
        <v>537.49</v>
      </c>
      <c r="T491" s="15"/>
      <c r="U491" s="15"/>
      <c r="V491" s="15"/>
      <c r="W491" s="15"/>
      <c r="X491" s="15" t="str">
        <f>"360.60"</f>
        <v>360.60</v>
      </c>
      <c r="Y491" s="15" t="str">
        <f>"307.44"</f>
        <v>307.44</v>
      </c>
      <c r="Z491" s="15"/>
      <c r="AA491" s="15"/>
      <c r="AB491" s="15"/>
      <c r="AC491" s="15"/>
      <c r="AD491" s="15"/>
      <c r="AE491" s="15" t="str">
        <f>"252.23"</f>
        <v>252.23</v>
      </c>
      <c r="AF491" s="15"/>
      <c r="AG491" s="15" t="str">
        <f>"239.93"</f>
        <v>239.93</v>
      </c>
      <c r="AH491" s="15"/>
      <c r="AI491" s="15"/>
    </row>
    <row r="492" spans="1:35">
      <c r="A492" s="14">
        <v>490</v>
      </c>
      <c r="B492" s="14">
        <v>10599</v>
      </c>
      <c r="C492" s="14" t="s">
        <v>643</v>
      </c>
      <c r="D492" s="14" t="s">
        <v>51</v>
      </c>
      <c r="E492" s="15" t="str">
        <f>"246.14"</f>
        <v>246.14</v>
      </c>
      <c r="F492" s="15"/>
      <c r="G492" s="16" t="str">
        <f>"246.14"</f>
        <v>246.14</v>
      </c>
      <c r="H492" s="17">
        <f t="shared" si="7"/>
        <v>238.14</v>
      </c>
      <c r="I492" s="18"/>
      <c r="J492" s="15">
        <v>3</v>
      </c>
      <c r="K492" s="15">
        <v>2016</v>
      </c>
      <c r="L492" s="15" t="str">
        <f>"301.94"</f>
        <v>301.94</v>
      </c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 t="str">
        <f>"263.69"</f>
        <v>263.69</v>
      </c>
      <c r="Y492" s="15" t="str">
        <f>"304.21"</f>
        <v>304.21</v>
      </c>
      <c r="Z492" s="15"/>
      <c r="AA492" s="15"/>
      <c r="AB492" s="15"/>
      <c r="AC492" s="15"/>
      <c r="AD492" s="15"/>
      <c r="AE492" s="15"/>
      <c r="AF492" s="15"/>
      <c r="AG492" s="15" t="str">
        <f>"265.06"</f>
        <v>265.06</v>
      </c>
      <c r="AH492" s="15" t="str">
        <f>"267.30"</f>
        <v>267.30</v>
      </c>
      <c r="AI492" s="15" t="str">
        <f>"228.59"</f>
        <v>228.59</v>
      </c>
    </row>
    <row r="493" spans="1:35">
      <c r="A493" s="14">
        <v>491</v>
      </c>
      <c r="B493" s="14">
        <v>7566</v>
      </c>
      <c r="C493" s="14" t="s">
        <v>644</v>
      </c>
      <c r="D493" s="14" t="s">
        <v>162</v>
      </c>
      <c r="E493" s="15" t="str">
        <f>"184.82"</f>
        <v>184.82</v>
      </c>
      <c r="F493" s="15"/>
      <c r="G493" s="16" t="str">
        <f>"246.37"</f>
        <v>246.37</v>
      </c>
      <c r="H493" s="17">
        <f t="shared" si="7"/>
        <v>238.37</v>
      </c>
      <c r="I493" s="18" t="s">
        <v>43</v>
      </c>
      <c r="J493" s="15">
        <v>2</v>
      </c>
      <c r="K493" s="15">
        <v>2016</v>
      </c>
      <c r="L493" s="15" t="str">
        <f>"184.82"</f>
        <v>184.82</v>
      </c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 t="str">
        <f>"218.37"</f>
        <v>218.37</v>
      </c>
      <c r="AF493" s="15"/>
      <c r="AG493" s="15"/>
      <c r="AH493" s="15"/>
      <c r="AI493" s="15"/>
    </row>
    <row r="494" spans="1:35">
      <c r="A494" s="14">
        <v>492</v>
      </c>
      <c r="B494" s="14">
        <v>3080</v>
      </c>
      <c r="C494" s="14" t="s">
        <v>645</v>
      </c>
      <c r="D494" s="14" t="s">
        <v>390</v>
      </c>
      <c r="E494" s="15" t="str">
        <f>"218.49"</f>
        <v>218.49</v>
      </c>
      <c r="F494" s="15"/>
      <c r="G494" s="16" t="str">
        <f>"246.49"</f>
        <v>246.49</v>
      </c>
      <c r="H494" s="17">
        <f t="shared" si="7"/>
        <v>238.49</v>
      </c>
      <c r="I494" s="18" t="s">
        <v>40</v>
      </c>
      <c r="J494" s="15">
        <v>1</v>
      </c>
      <c r="K494" s="15">
        <v>2016</v>
      </c>
      <c r="L494" s="15" t="str">
        <f>"218.49"</f>
        <v>218.49</v>
      </c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</row>
    <row r="495" spans="1:35">
      <c r="A495" s="14">
        <v>493</v>
      </c>
      <c r="B495" s="14">
        <v>10285</v>
      </c>
      <c r="C495" s="14" t="s">
        <v>646</v>
      </c>
      <c r="D495" s="14" t="s">
        <v>58</v>
      </c>
      <c r="E495" s="15" t="str">
        <f>"246.52"</f>
        <v>246.52</v>
      </c>
      <c r="F495" s="15"/>
      <c r="G495" s="16" t="str">
        <f>"246.52"</f>
        <v>246.52</v>
      </c>
      <c r="H495" s="17">
        <f t="shared" si="7"/>
        <v>238.52</v>
      </c>
      <c r="I495" s="18"/>
      <c r="J495" s="15">
        <v>3</v>
      </c>
      <c r="K495" s="15">
        <v>2016</v>
      </c>
      <c r="L495" s="15" t="str">
        <f>"303.60"</f>
        <v>303.60</v>
      </c>
      <c r="M495" s="15"/>
      <c r="N495" s="15"/>
      <c r="O495" s="15"/>
      <c r="P495" s="15" t="str">
        <f>"320.90"</f>
        <v>320.90</v>
      </c>
      <c r="Q495" s="15"/>
      <c r="R495" s="15"/>
      <c r="S495" s="15"/>
      <c r="T495" s="15"/>
      <c r="U495" s="15" t="str">
        <f>"489.44"</f>
        <v>489.44</v>
      </c>
      <c r="V495" s="15"/>
      <c r="W495" s="15"/>
      <c r="X495" s="15"/>
      <c r="Y495" s="15"/>
      <c r="Z495" s="15" t="str">
        <f>"251.79"</f>
        <v>251.79</v>
      </c>
      <c r="AA495" s="15"/>
      <c r="AB495" s="15"/>
      <c r="AC495" s="15"/>
      <c r="AD495" s="15"/>
      <c r="AE495" s="15"/>
      <c r="AF495" s="15" t="str">
        <f>"241.24"</f>
        <v>241.24</v>
      </c>
      <c r="AG495" s="15"/>
      <c r="AH495" s="15"/>
      <c r="AI495" s="15"/>
    </row>
    <row r="496" spans="1:35">
      <c r="A496" s="14">
        <v>494</v>
      </c>
      <c r="B496" s="14">
        <v>2507</v>
      </c>
      <c r="C496" s="14" t="s">
        <v>647</v>
      </c>
      <c r="D496" s="14" t="s">
        <v>184</v>
      </c>
      <c r="E496" s="15" t="str">
        <f>"218.55"</f>
        <v>218.55</v>
      </c>
      <c r="F496" s="15"/>
      <c r="G496" s="16" t="str">
        <f>"246.55"</f>
        <v>246.55</v>
      </c>
      <c r="H496" s="17">
        <f t="shared" si="7"/>
        <v>238.55</v>
      </c>
      <c r="I496" s="18" t="s">
        <v>40</v>
      </c>
      <c r="J496" s="15">
        <v>1</v>
      </c>
      <c r="K496" s="15">
        <v>2016</v>
      </c>
      <c r="L496" s="15" t="str">
        <f>"218.55"</f>
        <v>218.55</v>
      </c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</row>
    <row r="497" spans="1:35">
      <c r="A497" s="14">
        <v>495</v>
      </c>
      <c r="B497" s="14">
        <v>8482</v>
      </c>
      <c r="C497" s="14" t="s">
        <v>648</v>
      </c>
      <c r="D497" s="14" t="s">
        <v>51</v>
      </c>
      <c r="E497" s="15" t="str">
        <f>"246.76"</f>
        <v>246.76</v>
      </c>
      <c r="F497" s="15"/>
      <c r="G497" s="16" t="str">
        <f>"246.76"</f>
        <v>246.76</v>
      </c>
      <c r="H497" s="17">
        <f t="shared" si="7"/>
        <v>238.76</v>
      </c>
      <c r="I497" s="18"/>
      <c r="J497" s="15">
        <v>3</v>
      </c>
      <c r="K497" s="15">
        <v>2016</v>
      </c>
      <c r="L497" s="15" t="str">
        <f>"266.98"</f>
        <v>266.98</v>
      </c>
      <c r="M497" s="15"/>
      <c r="N497" s="15"/>
      <c r="O497" s="15"/>
      <c r="P497" s="15"/>
      <c r="Q497" s="15"/>
      <c r="R497" s="15"/>
      <c r="S497" s="15" t="str">
        <f>"242.33"</f>
        <v>242.33</v>
      </c>
      <c r="T497" s="15" t="str">
        <f>"308.60"</f>
        <v>308.60</v>
      </c>
      <c r="U497" s="15"/>
      <c r="V497" s="15"/>
      <c r="W497" s="15"/>
      <c r="X497" s="15" t="str">
        <f>"251.19"</f>
        <v>251.19</v>
      </c>
      <c r="Y497" s="15" t="str">
        <f>"259.26"</f>
        <v>259.26</v>
      </c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</row>
    <row r="498" spans="1:35">
      <c r="A498" s="14">
        <v>496</v>
      </c>
      <c r="B498" s="14">
        <v>6457</v>
      </c>
      <c r="C498" s="14" t="s">
        <v>649</v>
      </c>
      <c r="D498" s="14" t="s">
        <v>371</v>
      </c>
      <c r="E498" s="15" t="str">
        <f>"218.83"</f>
        <v>218.83</v>
      </c>
      <c r="F498" s="15"/>
      <c r="G498" s="16" t="str">
        <f>"246.83"</f>
        <v>246.83</v>
      </c>
      <c r="H498" s="17">
        <f t="shared" si="7"/>
        <v>238.83</v>
      </c>
      <c r="I498" s="18" t="s">
        <v>40</v>
      </c>
      <c r="J498" s="15">
        <v>1</v>
      </c>
      <c r="K498" s="15">
        <v>2016</v>
      </c>
      <c r="L498" s="15" t="str">
        <f>"218.83"</f>
        <v>218.83</v>
      </c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</row>
    <row r="499" spans="1:35">
      <c r="A499" s="14">
        <v>497</v>
      </c>
      <c r="B499" s="14">
        <v>2897</v>
      </c>
      <c r="C499" s="14" t="s">
        <v>650</v>
      </c>
      <c r="D499" s="14" t="s">
        <v>88</v>
      </c>
      <c r="E499" s="15" t="str">
        <f>"219.40"</f>
        <v>219.40</v>
      </c>
      <c r="F499" s="15"/>
      <c r="G499" s="16" t="str">
        <f>"247.40"</f>
        <v>247.40</v>
      </c>
      <c r="H499" s="17">
        <f t="shared" si="7"/>
        <v>239.4</v>
      </c>
      <c r="I499" s="18" t="s">
        <v>40</v>
      </c>
      <c r="J499" s="15">
        <v>1</v>
      </c>
      <c r="K499" s="15">
        <v>2016</v>
      </c>
      <c r="L499" s="15" t="str">
        <f>"219.40"</f>
        <v>219.40</v>
      </c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</row>
    <row r="500" spans="1:35">
      <c r="A500" s="14">
        <v>498</v>
      </c>
      <c r="B500" s="14">
        <v>8333</v>
      </c>
      <c r="C500" s="14" t="s">
        <v>651</v>
      </c>
      <c r="D500" s="14" t="s">
        <v>119</v>
      </c>
      <c r="E500" s="15" t="str">
        <f>"248.18"</f>
        <v>248.18</v>
      </c>
      <c r="F500" s="15"/>
      <c r="G500" s="16" t="str">
        <f>"248.18"</f>
        <v>248.18</v>
      </c>
      <c r="H500" s="17">
        <f t="shared" si="7"/>
        <v>240.18</v>
      </c>
      <c r="I500" s="18"/>
      <c r="J500" s="15">
        <v>3</v>
      </c>
      <c r="K500" s="15">
        <v>2016</v>
      </c>
      <c r="L500" s="15" t="str">
        <f>"269.88"</f>
        <v>269.88</v>
      </c>
      <c r="M500" s="15" t="str">
        <f>"257.51"</f>
        <v>257.51</v>
      </c>
      <c r="N500" s="15"/>
      <c r="O500" s="15" t="str">
        <f>"238.84"</f>
        <v>238.84</v>
      </c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</row>
    <row r="501" spans="1:35">
      <c r="A501" s="14">
        <v>499</v>
      </c>
      <c r="B501" s="14">
        <v>5343</v>
      </c>
      <c r="C501" s="14" t="s">
        <v>652</v>
      </c>
      <c r="D501" s="14" t="s">
        <v>187</v>
      </c>
      <c r="E501" s="15" t="str">
        <f>"220.30"</f>
        <v>220.30</v>
      </c>
      <c r="F501" s="15"/>
      <c r="G501" s="16" t="str">
        <f>"248.30"</f>
        <v>248.30</v>
      </c>
      <c r="H501" s="17">
        <f t="shared" si="7"/>
        <v>240.3</v>
      </c>
      <c r="I501" s="18" t="s">
        <v>40</v>
      </c>
      <c r="J501" s="15">
        <v>1</v>
      </c>
      <c r="K501" s="15">
        <v>2016</v>
      </c>
      <c r="L501" s="15" t="str">
        <f>"220.30"</f>
        <v>220.30</v>
      </c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</row>
    <row r="502" spans="1:35">
      <c r="A502" s="14">
        <v>500</v>
      </c>
      <c r="B502" s="14">
        <v>6466</v>
      </c>
      <c r="C502" s="14" t="s">
        <v>653</v>
      </c>
      <c r="D502" s="14" t="s">
        <v>654</v>
      </c>
      <c r="E502" s="15" t="str">
        <f>"156.43"</f>
        <v>156.43</v>
      </c>
      <c r="F502" s="15"/>
      <c r="G502" s="16" t="str">
        <f>"248.78"</f>
        <v>248.78</v>
      </c>
      <c r="H502" s="17">
        <f t="shared" si="7"/>
        <v>240.78</v>
      </c>
      <c r="I502" s="18" t="s">
        <v>43</v>
      </c>
      <c r="J502" s="15">
        <v>2</v>
      </c>
      <c r="K502" s="15">
        <v>2016</v>
      </c>
      <c r="L502" s="15" t="str">
        <f>"156.43"</f>
        <v>156.43</v>
      </c>
      <c r="M502" s="15"/>
      <c r="N502" s="15"/>
      <c r="O502" s="15"/>
      <c r="P502" s="15"/>
      <c r="Q502" s="15"/>
      <c r="R502" s="15"/>
      <c r="S502" s="15"/>
      <c r="T502" s="15"/>
      <c r="U502" s="15"/>
      <c r="V502" s="15" t="str">
        <f>"220.78"</f>
        <v>220.78</v>
      </c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</row>
    <row r="503" spans="1:35">
      <c r="A503" s="14">
        <v>501</v>
      </c>
      <c r="B503" s="14">
        <v>10483</v>
      </c>
      <c r="C503" s="14" t="s">
        <v>655</v>
      </c>
      <c r="D503" s="14" t="s">
        <v>58</v>
      </c>
      <c r="E503" s="15" t="str">
        <f>"224.19"</f>
        <v>224.19</v>
      </c>
      <c r="F503" s="15"/>
      <c r="G503" s="16" t="str">
        <f>"249.38"</f>
        <v>249.38</v>
      </c>
      <c r="H503" s="17">
        <f t="shared" si="7"/>
        <v>241.38</v>
      </c>
      <c r="I503" s="18"/>
      <c r="J503" s="15">
        <v>3</v>
      </c>
      <c r="K503" s="15">
        <v>2016</v>
      </c>
      <c r="L503" s="15" t="str">
        <f>"224.19"</f>
        <v>224.19</v>
      </c>
      <c r="M503" s="15"/>
      <c r="N503" s="15"/>
      <c r="O503" s="15"/>
      <c r="P503" s="15"/>
      <c r="Q503" s="15"/>
      <c r="R503" s="15"/>
      <c r="S503" s="15"/>
      <c r="T503" s="15"/>
      <c r="U503" s="15" t="str">
        <f>"501.00"</f>
        <v>501.00</v>
      </c>
      <c r="V503" s="15" t="str">
        <f>"258.36"</f>
        <v>258.36</v>
      </c>
      <c r="W503" s="15"/>
      <c r="X503" s="15"/>
      <c r="Y503" s="15"/>
      <c r="Z503" s="15"/>
      <c r="AA503" s="15"/>
      <c r="AB503" s="15"/>
      <c r="AC503" s="15"/>
      <c r="AD503" s="15"/>
      <c r="AE503" s="15"/>
      <c r="AF503" s="15" t="str">
        <f>"240.39"</f>
        <v>240.39</v>
      </c>
      <c r="AG503" s="15"/>
      <c r="AH503" s="15"/>
      <c r="AI503" s="15"/>
    </row>
    <row r="504" spans="1:35">
      <c r="A504" s="14">
        <v>502</v>
      </c>
      <c r="B504" s="14">
        <v>8311</v>
      </c>
      <c r="C504" s="14" t="s">
        <v>656</v>
      </c>
      <c r="D504" s="14" t="s">
        <v>47</v>
      </c>
      <c r="E504" s="15" t="str">
        <f>"249.81"</f>
        <v>249.81</v>
      </c>
      <c r="F504" s="15"/>
      <c r="G504" s="16" t="str">
        <f>"249.81"</f>
        <v>249.81</v>
      </c>
      <c r="H504" s="17">
        <f t="shared" si="7"/>
        <v>241.81</v>
      </c>
      <c r="I504" s="18"/>
      <c r="J504" s="15">
        <v>3</v>
      </c>
      <c r="K504" s="15">
        <v>2016</v>
      </c>
      <c r="L504" s="15" t="str">
        <f>"319.37"</f>
        <v>319.37</v>
      </c>
      <c r="M504" s="15"/>
      <c r="N504" s="15"/>
      <c r="O504" s="15"/>
      <c r="P504" s="15"/>
      <c r="Q504" s="15" t="str">
        <f>"223.38"</f>
        <v>223.38</v>
      </c>
      <c r="R504" s="15"/>
      <c r="S504" s="15"/>
      <c r="T504" s="15"/>
      <c r="U504" s="15"/>
      <c r="V504" s="15"/>
      <c r="W504" s="15" t="str">
        <f>"276.23"</f>
        <v>276.23</v>
      </c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</row>
    <row r="505" spans="1:35">
      <c r="A505" s="14">
        <v>503</v>
      </c>
      <c r="B505" s="14">
        <v>8361</v>
      </c>
      <c r="C505" s="14" t="s">
        <v>657</v>
      </c>
      <c r="D505" s="14" t="s">
        <v>58</v>
      </c>
      <c r="E505" s="15" t="str">
        <f>"299.56"</f>
        <v>299.56</v>
      </c>
      <c r="F505" s="15"/>
      <c r="G505" s="16" t="str">
        <f>"249.82"</f>
        <v>249.82</v>
      </c>
      <c r="H505" s="17">
        <f t="shared" si="7"/>
        <v>241.82</v>
      </c>
      <c r="I505" s="18" t="s">
        <v>43</v>
      </c>
      <c r="J505" s="15">
        <v>2</v>
      </c>
      <c r="K505" s="15">
        <v>2016</v>
      </c>
      <c r="L505" s="15" t="str">
        <f>"377.30"</f>
        <v>377.30</v>
      </c>
      <c r="M505" s="15"/>
      <c r="N505" s="15"/>
      <c r="O505" s="15"/>
      <c r="P505" s="15"/>
      <c r="Q505" s="15"/>
      <c r="R505" s="15"/>
      <c r="S505" s="15"/>
      <c r="T505" s="15"/>
      <c r="U505" s="15" t="str">
        <f>"221.82"</f>
        <v>221.82</v>
      </c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</row>
    <row r="506" spans="1:35">
      <c r="A506" s="14">
        <v>504</v>
      </c>
      <c r="B506" s="14">
        <v>2894</v>
      </c>
      <c r="C506" s="14" t="s">
        <v>658</v>
      </c>
      <c r="D506" s="14" t="s">
        <v>88</v>
      </c>
      <c r="E506" s="15" t="str">
        <f>"249.96"</f>
        <v>249.96</v>
      </c>
      <c r="F506" s="15"/>
      <c r="G506" s="16" t="str">
        <f>"249.96"</f>
        <v>249.96</v>
      </c>
      <c r="H506" s="17">
        <f t="shared" si="7"/>
        <v>241.96</v>
      </c>
      <c r="I506" s="18" t="s">
        <v>43</v>
      </c>
      <c r="J506" s="15">
        <v>4</v>
      </c>
      <c r="K506" s="15">
        <v>2016</v>
      </c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 t="str">
        <f>"221.96"</f>
        <v>221.96</v>
      </c>
      <c r="AA506" s="15"/>
      <c r="AB506" s="15"/>
      <c r="AC506" s="15"/>
      <c r="AD506" s="15"/>
      <c r="AE506" s="15"/>
      <c r="AF506" s="15"/>
      <c r="AG506" s="15"/>
      <c r="AH506" s="15"/>
      <c r="AI506" s="15"/>
    </row>
    <row r="507" spans="1:35">
      <c r="A507" s="14">
        <v>505</v>
      </c>
      <c r="B507" s="14">
        <v>5407</v>
      </c>
      <c r="C507" s="14" t="s">
        <v>659</v>
      </c>
      <c r="D507" s="14" t="s">
        <v>131</v>
      </c>
      <c r="E507" s="15" t="str">
        <f>"259.26"</f>
        <v>259.26</v>
      </c>
      <c r="F507" s="15"/>
      <c r="G507" s="16" t="str">
        <f>"250.02"</f>
        <v>250.02</v>
      </c>
      <c r="H507" s="17">
        <f t="shared" si="7"/>
        <v>242.02</v>
      </c>
      <c r="I507" s="18" t="s">
        <v>43</v>
      </c>
      <c r="J507" s="15">
        <v>2</v>
      </c>
      <c r="K507" s="15">
        <v>2016</v>
      </c>
      <c r="L507" s="15" t="str">
        <f>"296.50"</f>
        <v>296.50</v>
      </c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 t="str">
        <f>"222.02"</f>
        <v>222.02</v>
      </c>
      <c r="AA507" s="15"/>
      <c r="AB507" s="15"/>
      <c r="AC507" s="15"/>
      <c r="AD507" s="15"/>
      <c r="AE507" s="15"/>
      <c r="AF507" s="15"/>
      <c r="AG507" s="15"/>
      <c r="AH507" s="15"/>
      <c r="AI507" s="15"/>
    </row>
    <row r="508" spans="1:35">
      <c r="A508" s="14">
        <v>506</v>
      </c>
      <c r="B508" s="14">
        <v>6129</v>
      </c>
      <c r="C508" s="14" t="s">
        <v>660</v>
      </c>
      <c r="D508" s="14" t="s">
        <v>187</v>
      </c>
      <c r="E508" s="15" t="str">
        <f>"222.13"</f>
        <v>222.13</v>
      </c>
      <c r="F508" s="15"/>
      <c r="G508" s="16" t="str">
        <f>"250.13"</f>
        <v>250.13</v>
      </c>
      <c r="H508" s="17">
        <f t="shared" si="7"/>
        <v>242.13</v>
      </c>
      <c r="I508" s="18" t="s">
        <v>40</v>
      </c>
      <c r="J508" s="15">
        <v>1</v>
      </c>
      <c r="K508" s="15">
        <v>2016</v>
      </c>
      <c r="L508" s="15" t="str">
        <f>"222.13"</f>
        <v>222.13</v>
      </c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</row>
    <row r="509" spans="1:35">
      <c r="A509" s="14">
        <v>507</v>
      </c>
      <c r="B509" s="14">
        <v>3910</v>
      </c>
      <c r="C509" s="14" t="s">
        <v>661</v>
      </c>
      <c r="D509" s="14" t="s">
        <v>529</v>
      </c>
      <c r="E509" s="15" t="str">
        <f>"222.36"</f>
        <v>222.36</v>
      </c>
      <c r="F509" s="15"/>
      <c r="G509" s="16" t="str">
        <f>"250.36"</f>
        <v>250.36</v>
      </c>
      <c r="H509" s="17">
        <f t="shared" si="7"/>
        <v>242.36</v>
      </c>
      <c r="I509" s="18" t="s">
        <v>40</v>
      </c>
      <c r="J509" s="15">
        <v>1</v>
      </c>
      <c r="K509" s="15">
        <v>2016</v>
      </c>
      <c r="L509" s="15" t="str">
        <f>"222.36"</f>
        <v>222.36</v>
      </c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</row>
    <row r="510" spans="1:35">
      <c r="A510" s="14">
        <v>508</v>
      </c>
      <c r="B510" s="14">
        <v>2286</v>
      </c>
      <c r="C510" s="14" t="s">
        <v>662</v>
      </c>
      <c r="D510" s="14" t="s">
        <v>291</v>
      </c>
      <c r="E510" s="15" t="str">
        <f>"222.50"</f>
        <v>222.50</v>
      </c>
      <c r="F510" s="15"/>
      <c r="G510" s="16" t="str">
        <f>"250.50"</f>
        <v>250.50</v>
      </c>
      <c r="H510" s="17">
        <f t="shared" si="7"/>
        <v>242.5</v>
      </c>
      <c r="I510" s="18" t="s">
        <v>40</v>
      </c>
      <c r="J510" s="15">
        <v>1</v>
      </c>
      <c r="K510" s="15">
        <v>2016</v>
      </c>
      <c r="L510" s="15" t="str">
        <f>"222.50"</f>
        <v>222.50</v>
      </c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</row>
    <row r="511" spans="1:35">
      <c r="A511" s="14">
        <v>509</v>
      </c>
      <c r="B511" s="14">
        <v>11008</v>
      </c>
      <c r="C511" s="14" t="s">
        <v>663</v>
      </c>
      <c r="D511" s="14" t="s">
        <v>102</v>
      </c>
      <c r="E511" s="15" t="str">
        <f>"250.82"</f>
        <v>250.82</v>
      </c>
      <c r="F511" s="15"/>
      <c r="G511" s="16" t="str">
        <f>"250.82"</f>
        <v>250.82</v>
      </c>
      <c r="H511" s="17">
        <f t="shared" si="7"/>
        <v>242.82</v>
      </c>
      <c r="I511" s="18"/>
      <c r="J511" s="15">
        <v>5</v>
      </c>
      <c r="K511" s="15">
        <v>2016</v>
      </c>
      <c r="L511" s="15"/>
      <c r="M511" s="15" t="str">
        <f>"250.38"</f>
        <v>250.38</v>
      </c>
      <c r="N511" s="15"/>
      <c r="O511" s="15"/>
      <c r="P511" s="15"/>
      <c r="Q511" s="15"/>
      <c r="R511" s="15"/>
      <c r="S511" s="15"/>
      <c r="T511" s="15"/>
      <c r="U511" s="15"/>
      <c r="V511" s="15" t="str">
        <f>"251.26"</f>
        <v>251.26</v>
      </c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</row>
    <row r="512" spans="1:35">
      <c r="A512" s="14">
        <v>510</v>
      </c>
      <c r="B512" s="14">
        <v>2095</v>
      </c>
      <c r="C512" s="14" t="s">
        <v>664</v>
      </c>
      <c r="D512" s="14" t="s">
        <v>482</v>
      </c>
      <c r="E512" s="15" t="str">
        <f>"223.43"</f>
        <v>223.43</v>
      </c>
      <c r="F512" s="15"/>
      <c r="G512" s="16" t="str">
        <f>"250.85"</f>
        <v>250.85</v>
      </c>
      <c r="H512" s="17">
        <f t="shared" si="7"/>
        <v>242.85</v>
      </c>
      <c r="I512" s="18"/>
      <c r="J512" s="15">
        <v>3</v>
      </c>
      <c r="K512" s="15">
        <v>2016</v>
      </c>
      <c r="L512" s="15" t="str">
        <f>"223.43"</f>
        <v>223.43</v>
      </c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 t="str">
        <f>"255.53"</f>
        <v>255.53</v>
      </c>
      <c r="X512" s="15"/>
      <c r="Y512" s="15"/>
      <c r="Z512" s="15"/>
      <c r="AA512" s="15"/>
      <c r="AB512" s="15" t="str">
        <f>"278.38"</f>
        <v>278.38</v>
      </c>
      <c r="AC512" s="15"/>
      <c r="AD512" s="15" t="str">
        <f>"246.17"</f>
        <v>246.17</v>
      </c>
      <c r="AE512" s="15"/>
      <c r="AF512" s="15"/>
      <c r="AG512" s="15"/>
      <c r="AH512" s="15"/>
      <c r="AI512" s="15"/>
    </row>
    <row r="513" spans="1:35">
      <c r="A513" s="14">
        <v>511</v>
      </c>
      <c r="B513" s="14">
        <v>2543</v>
      </c>
      <c r="C513" s="14" t="s">
        <v>665</v>
      </c>
      <c r="D513" s="14" t="s">
        <v>129</v>
      </c>
      <c r="E513" s="15" t="str">
        <f>"157.91"</f>
        <v>157.91</v>
      </c>
      <c r="F513" s="15"/>
      <c r="G513" s="16" t="str">
        <f>"251.25"</f>
        <v>251.25</v>
      </c>
      <c r="H513" s="17">
        <f t="shared" si="7"/>
        <v>243.25</v>
      </c>
      <c r="I513" s="18"/>
      <c r="J513" s="15">
        <v>3</v>
      </c>
      <c r="K513" s="15">
        <v>2016</v>
      </c>
      <c r="L513" s="15" t="str">
        <f>"169.11"</f>
        <v>169.11</v>
      </c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 t="str">
        <f>"355.79"</f>
        <v>355.79</v>
      </c>
      <c r="AC513" s="15"/>
      <c r="AD513" s="15" t="str">
        <f>"146.70"</f>
        <v>146.70</v>
      </c>
      <c r="AE513" s="15"/>
      <c r="AF513" s="15"/>
      <c r="AG513" s="15"/>
      <c r="AH513" s="15"/>
      <c r="AI513" s="15"/>
    </row>
    <row r="514" spans="1:35">
      <c r="A514" s="14">
        <v>512</v>
      </c>
      <c r="B514" s="14">
        <v>10140</v>
      </c>
      <c r="C514" s="14" t="s">
        <v>666</v>
      </c>
      <c r="D514" s="14" t="s">
        <v>58</v>
      </c>
      <c r="E514" s="15" t="str">
        <f>"251.26"</f>
        <v>251.26</v>
      </c>
      <c r="F514" s="15"/>
      <c r="G514" s="16" t="str">
        <f>"251.26"</f>
        <v>251.26</v>
      </c>
      <c r="H514" s="17">
        <f t="shared" si="7"/>
        <v>243.26</v>
      </c>
      <c r="I514" s="18"/>
      <c r="J514" s="15">
        <v>3</v>
      </c>
      <c r="K514" s="15">
        <v>2016</v>
      </c>
      <c r="L514" s="15" t="str">
        <f>"396.40"</f>
        <v>396.40</v>
      </c>
      <c r="M514" s="15"/>
      <c r="N514" s="15"/>
      <c r="O514" s="15"/>
      <c r="P514" s="15"/>
      <c r="Q514" s="15"/>
      <c r="R514" s="15"/>
      <c r="S514" s="15"/>
      <c r="T514" s="15"/>
      <c r="U514" s="15" t="str">
        <f>"698.70"</f>
        <v>698.70</v>
      </c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 t="str">
        <f>"440.17"</f>
        <v>440.17</v>
      </c>
      <c r="AH514" s="15" t="str">
        <f>"225.98"</f>
        <v>225.98</v>
      </c>
      <c r="AI514" s="15" t="str">
        <f>"276.54"</f>
        <v>276.54</v>
      </c>
    </row>
    <row r="515" spans="1:35">
      <c r="A515" s="14">
        <v>513</v>
      </c>
      <c r="B515" s="14">
        <v>5430</v>
      </c>
      <c r="C515" s="14" t="s">
        <v>667</v>
      </c>
      <c r="D515" s="14" t="s">
        <v>558</v>
      </c>
      <c r="E515" s="15" t="str">
        <f>"224.65"</f>
        <v>224.65</v>
      </c>
      <c r="F515" s="15"/>
      <c r="G515" s="16" t="str">
        <f>"252.65"</f>
        <v>252.65</v>
      </c>
      <c r="H515" s="17">
        <f t="shared" ref="H515:H578" si="8">G515-8</f>
        <v>244.65</v>
      </c>
      <c r="I515" s="18" t="s">
        <v>40</v>
      </c>
      <c r="J515" s="15">
        <v>1</v>
      </c>
      <c r="K515" s="15">
        <v>2016</v>
      </c>
      <c r="L515" s="15" t="str">
        <f>"224.65"</f>
        <v>224.65</v>
      </c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</row>
    <row r="516" spans="1:35">
      <c r="A516" s="14">
        <v>514</v>
      </c>
      <c r="B516" s="14">
        <v>2221</v>
      </c>
      <c r="C516" s="14" t="s">
        <v>668</v>
      </c>
      <c r="D516" s="14" t="s">
        <v>51</v>
      </c>
      <c r="E516" s="15" t="str">
        <f>"253.06"</f>
        <v>253.06</v>
      </c>
      <c r="F516" s="15"/>
      <c r="G516" s="16" t="str">
        <f>"253.06"</f>
        <v>253.06</v>
      </c>
      <c r="H516" s="17">
        <f t="shared" si="8"/>
        <v>245.06</v>
      </c>
      <c r="I516" s="18"/>
      <c r="J516" s="15">
        <v>3</v>
      </c>
      <c r="K516" s="15">
        <v>2016</v>
      </c>
      <c r="L516" s="15" t="str">
        <f>"309.36"</f>
        <v>309.36</v>
      </c>
      <c r="M516" s="15"/>
      <c r="N516" s="15"/>
      <c r="O516" s="15"/>
      <c r="P516" s="15"/>
      <c r="Q516" s="15"/>
      <c r="R516" s="15"/>
      <c r="S516" s="15" t="str">
        <f>"238.57"</f>
        <v>238.57</v>
      </c>
      <c r="T516" s="15" t="str">
        <f>"378.20"</f>
        <v>378.20</v>
      </c>
      <c r="U516" s="15"/>
      <c r="V516" s="15"/>
      <c r="W516" s="15"/>
      <c r="X516" s="15" t="str">
        <f>"371.30"</f>
        <v>371.30</v>
      </c>
      <c r="Y516" s="15" t="str">
        <f>"329.95"</f>
        <v>329.95</v>
      </c>
      <c r="Z516" s="15"/>
      <c r="AA516" s="15"/>
      <c r="AB516" s="15"/>
      <c r="AC516" s="15"/>
      <c r="AD516" s="15"/>
      <c r="AE516" s="15" t="str">
        <f>"267.55"</f>
        <v>267.55</v>
      </c>
      <c r="AF516" s="15"/>
      <c r="AG516" s="15" t="str">
        <f>"270.15"</f>
        <v>270.15</v>
      </c>
      <c r="AH516" s="15" t="str">
        <f>"283.86"</f>
        <v>283.86</v>
      </c>
      <c r="AI516" s="15" t="str">
        <f>"275.46"</f>
        <v>275.46</v>
      </c>
    </row>
    <row r="517" spans="1:35">
      <c r="A517" s="14">
        <v>515</v>
      </c>
      <c r="B517" s="14">
        <v>8363</v>
      </c>
      <c r="C517" s="14" t="s">
        <v>669</v>
      </c>
      <c r="D517" s="14" t="s">
        <v>265</v>
      </c>
      <c r="E517" s="15" t="str">
        <f>"226.03"</f>
        <v>226.03</v>
      </c>
      <c r="F517" s="15"/>
      <c r="G517" s="16" t="str">
        <f>"254.03"</f>
        <v>254.03</v>
      </c>
      <c r="H517" s="17">
        <f t="shared" si="8"/>
        <v>246.03</v>
      </c>
      <c r="I517" s="18" t="s">
        <v>40</v>
      </c>
      <c r="J517" s="15">
        <v>1</v>
      </c>
      <c r="K517" s="15">
        <v>2016</v>
      </c>
      <c r="L517" s="15" t="str">
        <f>"226.03"</f>
        <v>226.03</v>
      </c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</row>
    <row r="518" spans="1:35">
      <c r="A518" s="14">
        <v>516</v>
      </c>
      <c r="B518" s="14">
        <v>1433</v>
      </c>
      <c r="C518" s="14" t="s">
        <v>670</v>
      </c>
      <c r="D518" s="14" t="s">
        <v>671</v>
      </c>
      <c r="E518" s="15" t="str">
        <f>"226.04"</f>
        <v>226.04</v>
      </c>
      <c r="F518" s="15"/>
      <c r="G518" s="16" t="str">
        <f>"254.04"</f>
        <v>254.04</v>
      </c>
      <c r="H518" s="17">
        <f t="shared" si="8"/>
        <v>246.04</v>
      </c>
      <c r="I518" s="18" t="s">
        <v>40</v>
      </c>
      <c r="J518" s="15">
        <v>1</v>
      </c>
      <c r="K518" s="15">
        <v>2016</v>
      </c>
      <c r="L518" s="15" t="str">
        <f>"226.04"</f>
        <v>226.04</v>
      </c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</row>
    <row r="519" spans="1:35">
      <c r="A519" s="14">
        <v>517</v>
      </c>
      <c r="B519" s="14">
        <v>6859</v>
      </c>
      <c r="C519" s="14" t="s">
        <v>672</v>
      </c>
      <c r="D519" s="14" t="s">
        <v>673</v>
      </c>
      <c r="E519" s="15" t="str">
        <f>"226.06"</f>
        <v>226.06</v>
      </c>
      <c r="F519" s="15"/>
      <c r="G519" s="16" t="str">
        <f>"254.06"</f>
        <v>254.06</v>
      </c>
      <c r="H519" s="17">
        <f t="shared" si="8"/>
        <v>246.06</v>
      </c>
      <c r="I519" s="18" t="s">
        <v>40</v>
      </c>
      <c r="J519" s="15">
        <v>1</v>
      </c>
      <c r="K519" s="15">
        <v>2016</v>
      </c>
      <c r="L519" s="15" t="str">
        <f>"226.06"</f>
        <v>226.06</v>
      </c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</row>
    <row r="520" spans="1:35">
      <c r="A520" s="14">
        <v>518</v>
      </c>
      <c r="B520" s="14">
        <v>2577</v>
      </c>
      <c r="C520" s="14" t="s">
        <v>674</v>
      </c>
      <c r="D520" s="14" t="s">
        <v>279</v>
      </c>
      <c r="E520" s="15" t="str">
        <f>"254.46"</f>
        <v>254.46</v>
      </c>
      <c r="F520" s="15"/>
      <c r="G520" s="16" t="str">
        <f>"254.46"</f>
        <v>254.46</v>
      </c>
      <c r="H520" s="17">
        <f t="shared" si="8"/>
        <v>246.46</v>
      </c>
      <c r="I520" s="18" t="s">
        <v>43</v>
      </c>
      <c r="J520" s="15">
        <v>4</v>
      </c>
      <c r="K520" s="15">
        <v>2016</v>
      </c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 t="str">
        <f>"226.46"</f>
        <v>226.46</v>
      </c>
      <c r="AF520" s="15"/>
      <c r="AG520" s="15"/>
      <c r="AH520" s="15"/>
      <c r="AI520" s="15"/>
    </row>
    <row r="521" spans="1:35">
      <c r="A521" s="14">
        <v>519</v>
      </c>
      <c r="B521" s="14">
        <v>2116</v>
      </c>
      <c r="C521" s="14" t="s">
        <v>675</v>
      </c>
      <c r="D521" s="14" t="s">
        <v>88</v>
      </c>
      <c r="E521" s="15" t="str">
        <f>"226.59"</f>
        <v>226.59</v>
      </c>
      <c r="F521" s="15"/>
      <c r="G521" s="16" t="str">
        <f>"254.59"</f>
        <v>254.59</v>
      </c>
      <c r="H521" s="17">
        <f t="shared" si="8"/>
        <v>246.59</v>
      </c>
      <c r="I521" s="18" t="s">
        <v>40</v>
      </c>
      <c r="J521" s="15">
        <v>1</v>
      </c>
      <c r="K521" s="15">
        <v>2016</v>
      </c>
      <c r="L521" s="15" t="str">
        <f>"226.59"</f>
        <v>226.59</v>
      </c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</row>
    <row r="522" spans="1:35">
      <c r="A522" s="14">
        <v>520</v>
      </c>
      <c r="B522" s="14">
        <v>8498</v>
      </c>
      <c r="C522" s="14" t="s">
        <v>676</v>
      </c>
      <c r="D522" s="14" t="s">
        <v>51</v>
      </c>
      <c r="E522" s="15" t="str">
        <f>"254.70"</f>
        <v>254.70</v>
      </c>
      <c r="F522" s="15"/>
      <c r="G522" s="16" t="str">
        <f>"254.70"</f>
        <v>254.70</v>
      </c>
      <c r="H522" s="17">
        <f t="shared" si="8"/>
        <v>246.7</v>
      </c>
      <c r="I522" s="18"/>
      <c r="J522" s="15">
        <v>3</v>
      </c>
      <c r="K522" s="15">
        <v>2016</v>
      </c>
      <c r="L522" s="15" t="str">
        <f>"298.07"</f>
        <v>298.07</v>
      </c>
      <c r="M522" s="15"/>
      <c r="N522" s="15"/>
      <c r="O522" s="15"/>
      <c r="P522" s="15"/>
      <c r="Q522" s="15"/>
      <c r="R522" s="15"/>
      <c r="S522" s="15" t="str">
        <f>"243.70"</f>
        <v>243.70</v>
      </c>
      <c r="T522" s="15" t="str">
        <f>"276.21"</f>
        <v>276.21</v>
      </c>
      <c r="U522" s="15"/>
      <c r="V522" s="15"/>
      <c r="W522" s="15"/>
      <c r="X522" s="15" t="str">
        <f>"265.70"</f>
        <v>265.70</v>
      </c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</row>
    <row r="523" spans="1:35">
      <c r="A523" s="14">
        <v>521</v>
      </c>
      <c r="B523" s="14">
        <v>5379</v>
      </c>
      <c r="C523" s="14" t="s">
        <v>677</v>
      </c>
      <c r="D523" s="14" t="s">
        <v>158</v>
      </c>
      <c r="E523" s="15" t="str">
        <f>"252.83"</f>
        <v>252.83</v>
      </c>
      <c r="F523" s="15"/>
      <c r="G523" s="16" t="str">
        <f>"254.83"</f>
        <v>254.83</v>
      </c>
      <c r="H523" s="17">
        <f t="shared" si="8"/>
        <v>246.83</v>
      </c>
      <c r="I523" s="18" t="s">
        <v>43</v>
      </c>
      <c r="J523" s="15">
        <v>2</v>
      </c>
      <c r="K523" s="15">
        <v>2016</v>
      </c>
      <c r="L523" s="15" t="str">
        <f>"278.83"</f>
        <v>278.83</v>
      </c>
      <c r="M523" s="15" t="str">
        <f>"226.83"</f>
        <v>226.83</v>
      </c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</row>
    <row r="524" spans="1:35">
      <c r="A524" s="14">
        <v>522</v>
      </c>
      <c r="B524" s="14">
        <v>10246</v>
      </c>
      <c r="C524" s="14" t="s">
        <v>678</v>
      </c>
      <c r="D524" s="14" t="s">
        <v>85</v>
      </c>
      <c r="E524" s="15" t="str">
        <f>"227.35"</f>
        <v>227.35</v>
      </c>
      <c r="F524" s="15"/>
      <c r="G524" s="16" t="str">
        <f>"255.35"</f>
        <v>255.35</v>
      </c>
      <c r="H524" s="17">
        <f t="shared" si="8"/>
        <v>247.35</v>
      </c>
      <c r="I524" s="18" t="s">
        <v>40</v>
      </c>
      <c r="J524" s="15">
        <v>1</v>
      </c>
      <c r="K524" s="15">
        <v>2016</v>
      </c>
      <c r="L524" s="15" t="str">
        <f>"227.35"</f>
        <v>227.35</v>
      </c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</row>
    <row r="525" spans="1:35">
      <c r="A525" s="14">
        <v>523</v>
      </c>
      <c r="B525" s="14">
        <v>10552</v>
      </c>
      <c r="C525" s="14" t="s">
        <v>679</v>
      </c>
      <c r="D525" s="14" t="s">
        <v>51</v>
      </c>
      <c r="E525" s="15" t="str">
        <f>"255.36"</f>
        <v>255.36</v>
      </c>
      <c r="F525" s="15"/>
      <c r="G525" s="16" t="str">
        <f>"255.36"</f>
        <v>255.36</v>
      </c>
      <c r="H525" s="17">
        <f t="shared" si="8"/>
        <v>247.36</v>
      </c>
      <c r="I525" s="18"/>
      <c r="J525" s="15">
        <v>3</v>
      </c>
      <c r="K525" s="15">
        <v>2016</v>
      </c>
      <c r="L525" s="15" t="str">
        <f>"458.32"</f>
        <v>458.32</v>
      </c>
      <c r="M525" s="15"/>
      <c r="N525" s="15"/>
      <c r="O525" s="15"/>
      <c r="P525" s="15"/>
      <c r="Q525" s="15"/>
      <c r="R525" s="15"/>
      <c r="S525" s="15" t="str">
        <f>"380.57"</f>
        <v>380.57</v>
      </c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 t="str">
        <f>"261.56"</f>
        <v>261.56</v>
      </c>
      <c r="AH525" s="15" t="str">
        <f>"249.16"</f>
        <v>249.16</v>
      </c>
      <c r="AI525" s="15" t="str">
        <f>"276.07"</f>
        <v>276.07</v>
      </c>
    </row>
    <row r="526" spans="1:35">
      <c r="A526" s="14">
        <v>524</v>
      </c>
      <c r="B526" s="14">
        <v>8336</v>
      </c>
      <c r="C526" s="14" t="s">
        <v>680</v>
      </c>
      <c r="D526" s="14" t="s">
        <v>119</v>
      </c>
      <c r="E526" s="15" t="str">
        <f>"173.29"</f>
        <v>173.29</v>
      </c>
      <c r="F526" s="15"/>
      <c r="G526" s="16" t="str">
        <f>"255.39"</f>
        <v>255.39</v>
      </c>
      <c r="H526" s="17">
        <f t="shared" si="8"/>
        <v>247.39</v>
      </c>
      <c r="I526" s="18"/>
      <c r="J526" s="15">
        <v>3</v>
      </c>
      <c r="K526" s="15">
        <v>2016</v>
      </c>
      <c r="L526" s="15" t="str">
        <f>"173.29"</f>
        <v>173.29</v>
      </c>
      <c r="M526" s="15"/>
      <c r="N526" s="15" t="str">
        <f>"218.56"</f>
        <v>218.56</v>
      </c>
      <c r="O526" s="15"/>
      <c r="P526" s="15" t="str">
        <f>"292.22"</f>
        <v>292.22</v>
      </c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</row>
    <row r="527" spans="1:35">
      <c r="A527" s="14">
        <v>525</v>
      </c>
      <c r="B527" s="14">
        <v>2831</v>
      </c>
      <c r="C527" s="14" t="s">
        <v>681</v>
      </c>
      <c r="D527" s="14" t="s">
        <v>129</v>
      </c>
      <c r="E527" s="15" t="str">
        <f>"255.47"</f>
        <v>255.47</v>
      </c>
      <c r="F527" s="15"/>
      <c r="G527" s="16" t="str">
        <f>"255.47"</f>
        <v>255.47</v>
      </c>
      <c r="H527" s="17">
        <f t="shared" si="8"/>
        <v>247.47</v>
      </c>
      <c r="I527" s="18" t="s">
        <v>43</v>
      </c>
      <c r="J527" s="15">
        <v>4</v>
      </c>
      <c r="K527" s="15">
        <v>2016</v>
      </c>
      <c r="L527" s="15"/>
      <c r="M527" s="15"/>
      <c r="N527" s="15"/>
      <c r="O527" s="15"/>
      <c r="P527" s="15"/>
      <c r="Q527" s="15"/>
      <c r="R527" s="15" t="str">
        <f>"227.47"</f>
        <v>227.47</v>
      </c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</row>
    <row r="528" spans="1:35">
      <c r="A528" s="14">
        <v>526</v>
      </c>
      <c r="B528" s="14">
        <v>5728</v>
      </c>
      <c r="C528" s="14" t="s">
        <v>682</v>
      </c>
      <c r="D528" s="14" t="s">
        <v>119</v>
      </c>
      <c r="E528" s="15" t="str">
        <f>"237.73"</f>
        <v>237.73</v>
      </c>
      <c r="F528" s="15"/>
      <c r="G528" s="16" t="str">
        <f>"255.70"</f>
        <v>255.70</v>
      </c>
      <c r="H528" s="17">
        <f t="shared" si="8"/>
        <v>247.7</v>
      </c>
      <c r="I528" s="18"/>
      <c r="J528" s="15">
        <v>3</v>
      </c>
      <c r="K528" s="15">
        <v>2016</v>
      </c>
      <c r="L528" s="15" t="str">
        <f>"259.97"</f>
        <v>259.97</v>
      </c>
      <c r="M528" s="15" t="str">
        <f>"215.49"</f>
        <v>215.49</v>
      </c>
      <c r="N528" s="15"/>
      <c r="O528" s="15" t="str">
        <f>"295.90"</f>
        <v>295.90</v>
      </c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</row>
    <row r="529" spans="1:35">
      <c r="A529" s="14">
        <v>527</v>
      </c>
      <c r="B529" s="14">
        <v>2505</v>
      </c>
      <c r="C529" s="14" t="s">
        <v>683</v>
      </c>
      <c r="D529" s="14" t="s">
        <v>184</v>
      </c>
      <c r="E529" s="15" t="str">
        <f>"228.65"</f>
        <v>228.65</v>
      </c>
      <c r="F529" s="15"/>
      <c r="G529" s="16" t="str">
        <f>"256.65"</f>
        <v>256.65</v>
      </c>
      <c r="H529" s="17">
        <f t="shared" si="8"/>
        <v>248.64999999999998</v>
      </c>
      <c r="I529" s="18" t="s">
        <v>40</v>
      </c>
      <c r="J529" s="15">
        <v>1</v>
      </c>
      <c r="K529" s="15">
        <v>2016</v>
      </c>
      <c r="L529" s="15" t="str">
        <f>"228.65"</f>
        <v>228.65</v>
      </c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</row>
    <row r="530" spans="1:35">
      <c r="A530" s="14">
        <v>528</v>
      </c>
      <c r="B530" s="14">
        <v>10163</v>
      </c>
      <c r="C530" s="14" t="s">
        <v>684</v>
      </c>
      <c r="D530" s="14" t="s">
        <v>58</v>
      </c>
      <c r="E530" s="15" t="str">
        <f>"257.19"</f>
        <v>257.19</v>
      </c>
      <c r="F530" s="15"/>
      <c r="G530" s="16" t="str">
        <f>"257.19"</f>
        <v>257.19</v>
      </c>
      <c r="H530" s="17">
        <f t="shared" si="8"/>
        <v>249.19</v>
      </c>
      <c r="I530" s="18"/>
      <c r="J530" s="15">
        <v>3</v>
      </c>
      <c r="K530" s="15">
        <v>2016</v>
      </c>
      <c r="L530" s="15" t="str">
        <f>"416.15"</f>
        <v>416.15</v>
      </c>
      <c r="M530" s="15"/>
      <c r="N530" s="15"/>
      <c r="O530" s="15"/>
      <c r="P530" s="15" t="str">
        <f>"323.85"</f>
        <v>323.85</v>
      </c>
      <c r="Q530" s="15"/>
      <c r="R530" s="15"/>
      <c r="S530" s="15"/>
      <c r="T530" s="15"/>
      <c r="U530" s="15" t="str">
        <f>"429.96"</f>
        <v>429.96</v>
      </c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 t="str">
        <f>"272.69"</f>
        <v>272.69</v>
      </c>
      <c r="AH530" s="15" t="str">
        <f>"297.74"</f>
        <v>297.74</v>
      </c>
      <c r="AI530" s="15" t="str">
        <f>"241.69"</f>
        <v>241.69</v>
      </c>
    </row>
    <row r="531" spans="1:35">
      <c r="A531" s="14">
        <v>529</v>
      </c>
      <c r="B531" s="14">
        <v>11103</v>
      </c>
      <c r="C531" s="14" t="s">
        <v>685</v>
      </c>
      <c r="D531" s="14" t="s">
        <v>127</v>
      </c>
      <c r="E531" s="15" t="str">
        <f>"257.68"</f>
        <v>257.68</v>
      </c>
      <c r="F531" s="15"/>
      <c r="G531" s="16" t="str">
        <f>"257.68"</f>
        <v>257.68</v>
      </c>
      <c r="H531" s="17">
        <f t="shared" si="8"/>
        <v>249.68</v>
      </c>
      <c r="I531" s="18"/>
      <c r="J531" s="15">
        <v>5</v>
      </c>
      <c r="K531" s="15">
        <v>2016</v>
      </c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 t="str">
        <f>"249.86"</f>
        <v>249.86</v>
      </c>
      <c r="AB531" s="15"/>
      <c r="AC531" s="15" t="str">
        <f>"265.50"</f>
        <v>265.50</v>
      </c>
      <c r="AD531" s="15"/>
      <c r="AE531" s="15"/>
      <c r="AF531" s="15"/>
      <c r="AG531" s="15"/>
      <c r="AH531" s="15"/>
      <c r="AI531" s="15"/>
    </row>
    <row r="532" spans="1:35">
      <c r="A532" s="14">
        <v>530</v>
      </c>
      <c r="B532" s="14">
        <v>8504</v>
      </c>
      <c r="C532" s="14" t="s">
        <v>686</v>
      </c>
      <c r="D532" s="14" t="s">
        <v>51</v>
      </c>
      <c r="E532" s="15" t="str">
        <f>"193.32"</f>
        <v>193.32</v>
      </c>
      <c r="F532" s="15"/>
      <c r="G532" s="16" t="str">
        <f>"257.93"</f>
        <v>257.93</v>
      </c>
      <c r="H532" s="17">
        <f t="shared" si="8"/>
        <v>249.93</v>
      </c>
      <c r="I532" s="18" t="s">
        <v>43</v>
      </c>
      <c r="J532" s="15">
        <v>2</v>
      </c>
      <c r="K532" s="15">
        <v>2016</v>
      </c>
      <c r="L532" s="15" t="str">
        <f>"193.32"</f>
        <v>193.32</v>
      </c>
      <c r="M532" s="15"/>
      <c r="N532" s="15"/>
      <c r="O532" s="15"/>
      <c r="P532" s="15"/>
      <c r="Q532" s="15"/>
      <c r="R532" s="15"/>
      <c r="S532" s="15"/>
      <c r="T532" s="15" t="str">
        <f>"229.93"</f>
        <v>229.93</v>
      </c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</row>
    <row r="533" spans="1:35">
      <c r="A533" s="14">
        <v>531</v>
      </c>
      <c r="B533" s="14">
        <v>1427</v>
      </c>
      <c r="C533" s="14" t="s">
        <v>687</v>
      </c>
      <c r="D533" s="14" t="s">
        <v>316</v>
      </c>
      <c r="E533" s="15" t="str">
        <f>"230.09"</f>
        <v>230.09</v>
      </c>
      <c r="F533" s="15"/>
      <c r="G533" s="16" t="str">
        <f>"258.09"</f>
        <v>258.09</v>
      </c>
      <c r="H533" s="17">
        <f t="shared" si="8"/>
        <v>250.08999999999997</v>
      </c>
      <c r="I533" s="18" t="s">
        <v>40</v>
      </c>
      <c r="J533" s="15">
        <v>1</v>
      </c>
      <c r="K533" s="15">
        <v>2016</v>
      </c>
      <c r="L533" s="15" t="str">
        <f>"230.09"</f>
        <v>230.09</v>
      </c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</row>
    <row r="534" spans="1:35">
      <c r="A534" s="14">
        <v>532</v>
      </c>
      <c r="B534" s="14">
        <v>5109</v>
      </c>
      <c r="C534" s="14" t="s">
        <v>688</v>
      </c>
      <c r="D534" s="14" t="s">
        <v>273</v>
      </c>
      <c r="E534" s="15" t="str">
        <f>"230.95"</f>
        <v>230.95</v>
      </c>
      <c r="F534" s="15"/>
      <c r="G534" s="16" t="str">
        <f>"258.95"</f>
        <v>258.95</v>
      </c>
      <c r="H534" s="17">
        <f t="shared" si="8"/>
        <v>250.95</v>
      </c>
      <c r="I534" s="18" t="s">
        <v>40</v>
      </c>
      <c r="J534" s="15">
        <v>1</v>
      </c>
      <c r="K534" s="15">
        <v>2016</v>
      </c>
      <c r="L534" s="15" t="str">
        <f>"230.95"</f>
        <v>230.95</v>
      </c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</row>
    <row r="535" spans="1:35">
      <c r="A535" s="14">
        <v>533</v>
      </c>
      <c r="B535" s="14">
        <v>7587</v>
      </c>
      <c r="C535" s="14" t="s">
        <v>689</v>
      </c>
      <c r="D535" s="14" t="s">
        <v>150</v>
      </c>
      <c r="E535" s="15" t="str">
        <f>"254.95"</f>
        <v>254.95</v>
      </c>
      <c r="F535" s="15"/>
      <c r="G535" s="16" t="str">
        <f>"259.04"</f>
        <v>259.04</v>
      </c>
      <c r="H535" s="17">
        <f t="shared" si="8"/>
        <v>251.04000000000002</v>
      </c>
      <c r="I535" s="18"/>
      <c r="J535" s="15">
        <v>3</v>
      </c>
      <c r="K535" s="15">
        <v>2016</v>
      </c>
      <c r="L535" s="15" t="str">
        <f>"279.07"</f>
        <v>279.07</v>
      </c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 t="str">
        <f>"287.25"</f>
        <v>287.25</v>
      </c>
      <c r="AC535" s="15"/>
      <c r="AD535" s="15" t="str">
        <f>"230.83"</f>
        <v>230.83</v>
      </c>
      <c r="AE535" s="15"/>
      <c r="AF535" s="15"/>
      <c r="AG535" s="15"/>
      <c r="AH535" s="15"/>
      <c r="AI535" s="15"/>
    </row>
    <row r="536" spans="1:35">
      <c r="A536" s="14">
        <v>534</v>
      </c>
      <c r="B536" s="14">
        <v>10969</v>
      </c>
      <c r="C536" s="14" t="s">
        <v>690</v>
      </c>
      <c r="D536" s="14" t="s">
        <v>45</v>
      </c>
      <c r="E536" s="15" t="str">
        <f>"259.10"</f>
        <v>259.10</v>
      </c>
      <c r="F536" s="15"/>
      <c r="G536" s="16" t="str">
        <f>"259.10"</f>
        <v>259.10</v>
      </c>
      <c r="H536" s="17">
        <f t="shared" si="8"/>
        <v>251.10000000000002</v>
      </c>
      <c r="I536" s="18"/>
      <c r="J536" s="15">
        <v>5</v>
      </c>
      <c r="K536" s="15">
        <v>2016</v>
      </c>
      <c r="L536" s="15"/>
      <c r="M536" s="15"/>
      <c r="N536" s="15"/>
      <c r="O536" s="15"/>
      <c r="P536" s="15"/>
      <c r="Q536" s="15" t="str">
        <f>"166.72"</f>
        <v>166.72</v>
      </c>
      <c r="R536" s="15"/>
      <c r="S536" s="15"/>
      <c r="T536" s="15"/>
      <c r="U536" s="15"/>
      <c r="V536" s="15" t="str">
        <f>"351.47"</f>
        <v>351.47</v>
      </c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</row>
    <row r="537" spans="1:35">
      <c r="A537" s="14">
        <v>535</v>
      </c>
      <c r="B537" s="14">
        <v>5413</v>
      </c>
      <c r="C537" s="14" t="s">
        <v>691</v>
      </c>
      <c r="D537" s="14" t="s">
        <v>127</v>
      </c>
      <c r="E537" s="15" t="str">
        <f>"259.24"</f>
        <v>259.24</v>
      </c>
      <c r="F537" s="15"/>
      <c r="G537" s="16" t="str">
        <f>"259.24"</f>
        <v>259.24</v>
      </c>
      <c r="H537" s="17">
        <f t="shared" si="8"/>
        <v>251.24</v>
      </c>
      <c r="I537" s="18"/>
      <c r="J537" s="15">
        <v>5</v>
      </c>
      <c r="K537" s="15">
        <v>2016</v>
      </c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 t="str">
        <f>"257.84"</f>
        <v>257.84</v>
      </c>
      <c r="AB537" s="15"/>
      <c r="AC537" s="15" t="str">
        <f>"260.63"</f>
        <v>260.63</v>
      </c>
      <c r="AD537" s="15"/>
      <c r="AE537" s="15"/>
      <c r="AF537" s="15"/>
      <c r="AG537" s="15"/>
      <c r="AH537" s="15"/>
      <c r="AI537" s="15"/>
    </row>
    <row r="538" spans="1:35">
      <c r="A538" s="14">
        <v>536</v>
      </c>
      <c r="B538" s="14">
        <v>2264</v>
      </c>
      <c r="C538" s="14" t="s">
        <v>692</v>
      </c>
      <c r="D538" s="14" t="s">
        <v>51</v>
      </c>
      <c r="E538" s="15" t="str">
        <f>"259.53"</f>
        <v>259.53</v>
      </c>
      <c r="F538" s="15"/>
      <c r="G538" s="16" t="str">
        <f>"259.53"</f>
        <v>259.53</v>
      </c>
      <c r="H538" s="17">
        <f t="shared" si="8"/>
        <v>251.52999999999997</v>
      </c>
      <c r="I538" s="18"/>
      <c r="J538" s="15">
        <v>3</v>
      </c>
      <c r="K538" s="15">
        <v>2016</v>
      </c>
      <c r="L538" s="15" t="str">
        <f>"385.38"</f>
        <v>385.38</v>
      </c>
      <c r="M538" s="15"/>
      <c r="N538" s="15"/>
      <c r="O538" s="15"/>
      <c r="P538" s="15"/>
      <c r="Q538" s="15"/>
      <c r="R538" s="15"/>
      <c r="S538" s="15" t="str">
        <f>"336.58"</f>
        <v>336.58</v>
      </c>
      <c r="T538" s="15"/>
      <c r="U538" s="15"/>
      <c r="V538" s="15"/>
      <c r="W538" s="15"/>
      <c r="X538" s="15"/>
      <c r="Y538" s="15"/>
      <c r="Z538" s="15"/>
      <c r="AA538" s="15" t="str">
        <f>"302.39"</f>
        <v>302.39</v>
      </c>
      <c r="AB538" s="15"/>
      <c r="AC538" s="15" t="str">
        <f>"300.85"</f>
        <v>300.85</v>
      </c>
      <c r="AD538" s="15"/>
      <c r="AE538" s="15" t="str">
        <f>"251.45"</f>
        <v>251.45</v>
      </c>
      <c r="AF538" s="15"/>
      <c r="AG538" s="15" t="str">
        <f>"267.60"</f>
        <v>267.60</v>
      </c>
      <c r="AH538" s="15" t="str">
        <f>"297.58"</f>
        <v>297.58</v>
      </c>
      <c r="AI538" s="15" t="str">
        <f>"399.88"</f>
        <v>399.88</v>
      </c>
    </row>
    <row r="539" spans="1:35">
      <c r="A539" s="14">
        <v>537</v>
      </c>
      <c r="B539" s="14">
        <v>10058</v>
      </c>
      <c r="C539" s="14" t="s">
        <v>693</v>
      </c>
      <c r="D539" s="14" t="s">
        <v>51</v>
      </c>
      <c r="E539" s="15" t="str">
        <f>"259.83"</f>
        <v>259.83</v>
      </c>
      <c r="F539" s="15"/>
      <c r="G539" s="16" t="str">
        <f>"259.83"</f>
        <v>259.83</v>
      </c>
      <c r="H539" s="17">
        <f t="shared" si="8"/>
        <v>251.82999999999998</v>
      </c>
      <c r="I539" s="18"/>
      <c r="J539" s="15">
        <v>3</v>
      </c>
      <c r="K539" s="15">
        <v>2016</v>
      </c>
      <c r="L539" s="15" t="str">
        <f>"309.80"</f>
        <v>309.80</v>
      </c>
      <c r="M539" s="15"/>
      <c r="N539" s="15"/>
      <c r="O539" s="15"/>
      <c r="P539" s="15"/>
      <c r="Q539" s="15"/>
      <c r="R539" s="15"/>
      <c r="S539" s="15" t="str">
        <f>"277.77"</f>
        <v>277.77</v>
      </c>
      <c r="T539" s="15" t="str">
        <f>"261.05"</f>
        <v>261.05</v>
      </c>
      <c r="U539" s="15"/>
      <c r="V539" s="15"/>
      <c r="W539" s="15"/>
      <c r="X539" s="15" t="str">
        <f>"258.61"</f>
        <v>258.61</v>
      </c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</row>
    <row r="540" spans="1:35">
      <c r="A540" s="14">
        <v>538</v>
      </c>
      <c r="B540" s="14">
        <v>8497</v>
      </c>
      <c r="C540" s="14" t="s">
        <v>694</v>
      </c>
      <c r="D540" s="14" t="s">
        <v>51</v>
      </c>
      <c r="E540" s="15" t="str">
        <f>"232.03"</f>
        <v>232.03</v>
      </c>
      <c r="F540" s="15"/>
      <c r="G540" s="16" t="str">
        <f>"260.03"</f>
        <v>260.03</v>
      </c>
      <c r="H540" s="17">
        <f t="shared" si="8"/>
        <v>252.02999999999997</v>
      </c>
      <c r="I540" s="18" t="s">
        <v>40</v>
      </c>
      <c r="J540" s="15">
        <v>1</v>
      </c>
      <c r="K540" s="15">
        <v>2016</v>
      </c>
      <c r="L540" s="15" t="str">
        <f>"232.03"</f>
        <v>232.03</v>
      </c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</row>
    <row r="541" spans="1:35">
      <c r="A541" s="14">
        <v>539</v>
      </c>
      <c r="B541" s="14">
        <v>2037</v>
      </c>
      <c r="C541" s="14" t="s">
        <v>695</v>
      </c>
      <c r="D541" s="14" t="s">
        <v>343</v>
      </c>
      <c r="E541" s="15" t="str">
        <f>"192.56"</f>
        <v>192.56</v>
      </c>
      <c r="F541" s="15"/>
      <c r="G541" s="16" t="str">
        <f>"260.66"</f>
        <v>260.66</v>
      </c>
      <c r="H541" s="17">
        <f t="shared" si="8"/>
        <v>252.66000000000003</v>
      </c>
      <c r="I541" s="18" t="s">
        <v>43</v>
      </c>
      <c r="J541" s="15">
        <v>2</v>
      </c>
      <c r="K541" s="15">
        <v>2016</v>
      </c>
      <c r="L541" s="15" t="str">
        <f>"192.56"</f>
        <v>192.56</v>
      </c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 t="str">
        <f>"232.66"</f>
        <v>232.66</v>
      </c>
      <c r="AA541" s="15"/>
      <c r="AB541" s="15"/>
      <c r="AC541" s="15"/>
      <c r="AD541" s="15"/>
      <c r="AE541" s="15"/>
      <c r="AF541" s="15"/>
      <c r="AG541" s="15"/>
      <c r="AH541" s="15"/>
      <c r="AI541" s="15"/>
    </row>
    <row r="542" spans="1:35">
      <c r="A542" s="14">
        <v>540</v>
      </c>
      <c r="B542" s="14">
        <v>8626</v>
      </c>
      <c r="C542" s="14" t="s">
        <v>696</v>
      </c>
      <c r="D542" s="14" t="s">
        <v>51</v>
      </c>
      <c r="E542" s="15" t="str">
        <f>"177.53"</f>
        <v>177.53</v>
      </c>
      <c r="F542" s="15"/>
      <c r="G542" s="16" t="str">
        <f>"261.19"</f>
        <v>261.19</v>
      </c>
      <c r="H542" s="17">
        <f t="shared" si="8"/>
        <v>253.19</v>
      </c>
      <c r="I542" s="18" t="s">
        <v>43</v>
      </c>
      <c r="J542" s="15">
        <v>2</v>
      </c>
      <c r="K542" s="15">
        <v>2016</v>
      </c>
      <c r="L542" s="15" t="str">
        <f>"177.53"</f>
        <v>177.53</v>
      </c>
      <c r="M542" s="15"/>
      <c r="N542" s="15"/>
      <c r="O542" s="15"/>
      <c r="P542" s="15"/>
      <c r="Q542" s="15"/>
      <c r="R542" s="15"/>
      <c r="S542" s="15"/>
      <c r="T542" s="15" t="str">
        <f>"233.19"</f>
        <v>233.19</v>
      </c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</row>
    <row r="543" spans="1:35">
      <c r="A543" s="14">
        <v>541</v>
      </c>
      <c r="B543" s="14">
        <v>9547</v>
      </c>
      <c r="C543" s="14" t="s">
        <v>697</v>
      </c>
      <c r="D543" s="14" t="s">
        <v>70</v>
      </c>
      <c r="E543" s="15" t="str">
        <f>"149.54"</f>
        <v>149.54</v>
      </c>
      <c r="F543" s="15"/>
      <c r="G543" s="16" t="str">
        <f>"262.77"</f>
        <v>262.77</v>
      </c>
      <c r="H543" s="17">
        <f t="shared" si="8"/>
        <v>254.76999999999998</v>
      </c>
      <c r="I543" s="18" t="s">
        <v>43</v>
      </c>
      <c r="J543" s="15">
        <v>2</v>
      </c>
      <c r="K543" s="15">
        <v>2016</v>
      </c>
      <c r="L543" s="15" t="str">
        <f>"149.54"</f>
        <v>149.54</v>
      </c>
      <c r="M543" s="15"/>
      <c r="N543" s="15"/>
      <c r="O543" s="15"/>
      <c r="P543" s="15"/>
      <c r="Q543" s="15"/>
      <c r="R543" s="15"/>
      <c r="S543" s="15"/>
      <c r="T543" s="15"/>
      <c r="U543" s="15"/>
      <c r="V543" s="15" t="str">
        <f>"234.77"</f>
        <v>234.77</v>
      </c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</row>
    <row r="544" spans="1:35">
      <c r="A544" s="14">
        <v>542</v>
      </c>
      <c r="B544" s="14">
        <v>5071</v>
      </c>
      <c r="C544" s="14" t="s">
        <v>698</v>
      </c>
      <c r="D544" s="14" t="s">
        <v>671</v>
      </c>
      <c r="E544" s="15" t="str">
        <f>"263.53"</f>
        <v>263.53</v>
      </c>
      <c r="F544" s="15"/>
      <c r="G544" s="16" t="str">
        <f>"263.53"</f>
        <v>263.53</v>
      </c>
      <c r="H544" s="17">
        <f t="shared" si="8"/>
        <v>255.52999999999997</v>
      </c>
      <c r="I544" s="18"/>
      <c r="J544" s="15">
        <v>3</v>
      </c>
      <c r="K544" s="15">
        <v>2016</v>
      </c>
      <c r="L544" s="15" t="str">
        <f>"308.66"</f>
        <v>308.66</v>
      </c>
      <c r="M544" s="15"/>
      <c r="N544" s="15"/>
      <c r="O544" s="15"/>
      <c r="P544" s="15"/>
      <c r="Q544" s="15"/>
      <c r="R544" s="15" t="str">
        <f>"258.25"</f>
        <v>258.25</v>
      </c>
      <c r="S544" s="15"/>
      <c r="T544" s="15"/>
      <c r="U544" s="15"/>
      <c r="V544" s="15"/>
      <c r="W544" s="15" t="str">
        <f>"307.85"</f>
        <v>307.85</v>
      </c>
      <c r="X544" s="15"/>
      <c r="Y544" s="15"/>
      <c r="Z544" s="15"/>
      <c r="AA544" s="15"/>
      <c r="AB544" s="15" t="str">
        <f>"308.16"</f>
        <v>308.16</v>
      </c>
      <c r="AC544" s="15"/>
      <c r="AD544" s="15" t="str">
        <f>"268.80"</f>
        <v>268.80</v>
      </c>
      <c r="AE544" s="15"/>
      <c r="AF544" s="15"/>
      <c r="AG544" s="15"/>
      <c r="AH544" s="15"/>
      <c r="AI544" s="15"/>
    </row>
    <row r="545" spans="1:35">
      <c r="A545" s="14">
        <v>543</v>
      </c>
      <c r="B545" s="14">
        <v>1510</v>
      </c>
      <c r="C545" s="14" t="s">
        <v>699</v>
      </c>
      <c r="D545" s="14" t="s">
        <v>106</v>
      </c>
      <c r="E545" s="15" t="str">
        <f>"235.70"</f>
        <v>235.70</v>
      </c>
      <c r="F545" s="15"/>
      <c r="G545" s="16" t="str">
        <f>"263.70"</f>
        <v>263.70</v>
      </c>
      <c r="H545" s="17">
        <f t="shared" si="8"/>
        <v>255.7</v>
      </c>
      <c r="I545" s="18" t="s">
        <v>40</v>
      </c>
      <c r="J545" s="15">
        <v>1</v>
      </c>
      <c r="K545" s="15">
        <v>2016</v>
      </c>
      <c r="L545" s="15" t="str">
        <f>"235.70"</f>
        <v>235.70</v>
      </c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</row>
    <row r="546" spans="1:35">
      <c r="A546" s="14">
        <v>544</v>
      </c>
      <c r="B546" s="14">
        <v>8476</v>
      </c>
      <c r="C546" s="14" t="s">
        <v>700</v>
      </c>
      <c r="D546" s="14" t="s">
        <v>51</v>
      </c>
      <c r="E546" s="15" t="str">
        <f>"235.94"</f>
        <v>235.94</v>
      </c>
      <c r="F546" s="15"/>
      <c r="G546" s="16" t="str">
        <f>"263.94"</f>
        <v>263.94</v>
      </c>
      <c r="H546" s="17">
        <f t="shared" si="8"/>
        <v>255.94</v>
      </c>
      <c r="I546" s="18" t="s">
        <v>40</v>
      </c>
      <c r="J546" s="15">
        <v>1</v>
      </c>
      <c r="K546" s="15">
        <v>2016</v>
      </c>
      <c r="L546" s="15" t="str">
        <f>"235.94"</f>
        <v>235.94</v>
      </c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</row>
    <row r="547" spans="1:35">
      <c r="A547" s="14">
        <v>545</v>
      </c>
      <c r="B547" s="14">
        <v>10248</v>
      </c>
      <c r="C547" s="14" t="s">
        <v>701</v>
      </c>
      <c r="D547" s="14" t="s">
        <v>476</v>
      </c>
      <c r="E547" s="15" t="str">
        <f>"236.51"</f>
        <v>236.51</v>
      </c>
      <c r="F547" s="15"/>
      <c r="G547" s="16" t="str">
        <f>"264.51"</f>
        <v>264.51</v>
      </c>
      <c r="H547" s="17">
        <f t="shared" si="8"/>
        <v>256.51</v>
      </c>
      <c r="I547" s="18" t="s">
        <v>40</v>
      </c>
      <c r="J547" s="15">
        <v>1</v>
      </c>
      <c r="K547" s="15">
        <v>2016</v>
      </c>
      <c r="L547" s="15" t="str">
        <f>"236.51"</f>
        <v>236.51</v>
      </c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</row>
    <row r="548" spans="1:35">
      <c r="A548" s="14">
        <v>546</v>
      </c>
      <c r="B548" s="14">
        <v>5248</v>
      </c>
      <c r="C548" s="14" t="s">
        <v>702</v>
      </c>
      <c r="D548" s="14" t="s">
        <v>88</v>
      </c>
      <c r="E548" s="15" t="str">
        <f>"147.68"</f>
        <v>147.68</v>
      </c>
      <c r="F548" s="15"/>
      <c r="G548" s="16" t="str">
        <f>"264.94"</f>
        <v>264.94</v>
      </c>
      <c r="H548" s="17">
        <f t="shared" si="8"/>
        <v>256.94</v>
      </c>
      <c r="I548" s="18" t="s">
        <v>43</v>
      </c>
      <c r="J548" s="15">
        <v>2</v>
      </c>
      <c r="K548" s="15">
        <v>2016</v>
      </c>
      <c r="L548" s="15" t="str">
        <f>"147.68"</f>
        <v>147.68</v>
      </c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 t="str">
        <f>"236.94"</f>
        <v>236.94</v>
      </c>
      <c r="AA548" s="15"/>
      <c r="AB548" s="15"/>
      <c r="AC548" s="15"/>
      <c r="AD548" s="15"/>
      <c r="AE548" s="15"/>
      <c r="AF548" s="15"/>
      <c r="AG548" s="15"/>
      <c r="AH548" s="15"/>
      <c r="AI548" s="15"/>
    </row>
    <row r="549" spans="1:35">
      <c r="A549" s="14">
        <v>547</v>
      </c>
      <c r="B549" s="14">
        <v>10703</v>
      </c>
      <c r="C549" s="14" t="s">
        <v>703</v>
      </c>
      <c r="D549" s="14" t="s">
        <v>58</v>
      </c>
      <c r="E549" s="15" t="str">
        <f>"203.59"</f>
        <v>203.59</v>
      </c>
      <c r="F549" s="15"/>
      <c r="G549" s="16" t="str">
        <f>"264.95"</f>
        <v>264.95</v>
      </c>
      <c r="H549" s="17">
        <f t="shared" si="8"/>
        <v>256.95</v>
      </c>
      <c r="I549" s="18"/>
      <c r="J549" s="15">
        <v>3</v>
      </c>
      <c r="K549" s="15">
        <v>2016</v>
      </c>
      <c r="L549" s="15" t="str">
        <f>"203.59"</f>
        <v>203.59</v>
      </c>
      <c r="M549" s="15"/>
      <c r="N549" s="15" t="str">
        <f>"207.86"</f>
        <v>207.86</v>
      </c>
      <c r="O549" s="15"/>
      <c r="P549" s="15"/>
      <c r="Q549" s="15"/>
      <c r="R549" s="15"/>
      <c r="S549" s="15"/>
      <c r="T549" s="15"/>
      <c r="U549" s="15" t="str">
        <f>"322.04"</f>
        <v>322.04</v>
      </c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</row>
    <row r="550" spans="1:35">
      <c r="A550" s="14">
        <v>548</v>
      </c>
      <c r="B550" s="14">
        <v>4496</v>
      </c>
      <c r="C550" s="14" t="s">
        <v>704</v>
      </c>
      <c r="D550" s="14" t="s">
        <v>152</v>
      </c>
      <c r="E550" s="15" t="str">
        <f>"303.24"</f>
        <v>303.24</v>
      </c>
      <c r="F550" s="15"/>
      <c r="G550" s="16" t="str">
        <f>"265.50"</f>
        <v>265.50</v>
      </c>
      <c r="H550" s="17">
        <f t="shared" si="8"/>
        <v>257.5</v>
      </c>
      <c r="I550" s="18" t="s">
        <v>43</v>
      </c>
      <c r="J550" s="15">
        <v>2</v>
      </c>
      <c r="K550" s="15">
        <v>2016</v>
      </c>
      <c r="L550" s="15" t="str">
        <f>"368.98"</f>
        <v>368.98</v>
      </c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 t="str">
        <f>"237.50"</f>
        <v>237.50</v>
      </c>
      <c r="AA550" s="15"/>
      <c r="AB550" s="15"/>
      <c r="AC550" s="15"/>
      <c r="AD550" s="15"/>
      <c r="AE550" s="15"/>
      <c r="AF550" s="15"/>
      <c r="AG550" s="15"/>
      <c r="AH550" s="15"/>
      <c r="AI550" s="15"/>
    </row>
    <row r="551" spans="1:35">
      <c r="A551" s="14">
        <v>549</v>
      </c>
      <c r="B551" s="14">
        <v>10337</v>
      </c>
      <c r="C551" s="14" t="s">
        <v>705</v>
      </c>
      <c r="D551" s="14" t="s">
        <v>146</v>
      </c>
      <c r="E551" s="15" t="str">
        <f>"265.94"</f>
        <v>265.94</v>
      </c>
      <c r="F551" s="15"/>
      <c r="G551" s="16" t="str">
        <f>"265.94"</f>
        <v>265.94</v>
      </c>
      <c r="H551" s="17">
        <f t="shared" si="8"/>
        <v>257.94</v>
      </c>
      <c r="I551" s="18"/>
      <c r="J551" s="15">
        <v>3</v>
      </c>
      <c r="K551" s="15">
        <v>2016</v>
      </c>
      <c r="L551" s="15" t="str">
        <f>"301.09"</f>
        <v>301.09</v>
      </c>
      <c r="M551" s="15"/>
      <c r="N551" s="15" t="str">
        <f>"260.74"</f>
        <v>260.74</v>
      </c>
      <c r="O551" s="15"/>
      <c r="P551" s="15" t="str">
        <f>"271.13"</f>
        <v>271.13</v>
      </c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</row>
    <row r="552" spans="1:35">
      <c r="A552" s="14">
        <v>550</v>
      </c>
      <c r="B552" s="14">
        <v>1708</v>
      </c>
      <c r="C552" s="14" t="s">
        <v>706</v>
      </c>
      <c r="D552" s="14" t="s">
        <v>51</v>
      </c>
      <c r="E552" s="15" t="str">
        <f>"238.01"</f>
        <v>238.01</v>
      </c>
      <c r="F552" s="15"/>
      <c r="G552" s="16" t="str">
        <f>"266.01"</f>
        <v>266.01</v>
      </c>
      <c r="H552" s="17">
        <f t="shared" si="8"/>
        <v>258.01</v>
      </c>
      <c r="I552" s="18" t="s">
        <v>40</v>
      </c>
      <c r="J552" s="15">
        <v>1</v>
      </c>
      <c r="K552" s="15">
        <v>2016</v>
      </c>
      <c r="L552" s="15" t="str">
        <f>"238.01"</f>
        <v>238.01</v>
      </c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</row>
    <row r="553" spans="1:35">
      <c r="A553" s="14">
        <v>551</v>
      </c>
      <c r="B553" s="14">
        <v>10045</v>
      </c>
      <c r="C553" s="14" t="s">
        <v>707</v>
      </c>
      <c r="D553" s="14" t="s">
        <v>51</v>
      </c>
      <c r="E553" s="15" t="str">
        <f>"170.70"</f>
        <v>170.70</v>
      </c>
      <c r="F553" s="15"/>
      <c r="G553" s="16" t="str">
        <f>"266.64"</f>
        <v>266.64</v>
      </c>
      <c r="H553" s="17">
        <f t="shared" si="8"/>
        <v>258.64</v>
      </c>
      <c r="I553" s="18"/>
      <c r="J553" s="15">
        <v>3</v>
      </c>
      <c r="K553" s="15">
        <v>2016</v>
      </c>
      <c r="L553" s="15" t="str">
        <f>"170.70"</f>
        <v>170.70</v>
      </c>
      <c r="M553" s="15"/>
      <c r="N553" s="15"/>
      <c r="O553" s="15"/>
      <c r="P553" s="15"/>
      <c r="Q553" s="15"/>
      <c r="R553" s="15"/>
      <c r="S553" s="15"/>
      <c r="T553" s="15" t="str">
        <f>"333.62"</f>
        <v>333.62</v>
      </c>
      <c r="U553" s="15"/>
      <c r="V553" s="15"/>
      <c r="W553" s="15"/>
      <c r="X553" s="15"/>
      <c r="Y553" s="15" t="str">
        <f>"199.65"</f>
        <v>199.65</v>
      </c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</row>
    <row r="554" spans="1:35">
      <c r="A554" s="14">
        <v>552</v>
      </c>
      <c r="B554" s="14">
        <v>5357</v>
      </c>
      <c r="C554" s="14" t="s">
        <v>708</v>
      </c>
      <c r="D554" s="14" t="s">
        <v>119</v>
      </c>
      <c r="E554" s="15" t="str">
        <f>"249.13"</f>
        <v>249.13</v>
      </c>
      <c r="F554" s="15"/>
      <c r="G554" s="16" t="str">
        <f>"267.91"</f>
        <v>267.91</v>
      </c>
      <c r="H554" s="17">
        <f t="shared" si="8"/>
        <v>259.91000000000003</v>
      </c>
      <c r="I554" s="18"/>
      <c r="J554" s="15">
        <v>3</v>
      </c>
      <c r="K554" s="15">
        <v>2016</v>
      </c>
      <c r="L554" s="15" t="str">
        <f>"249.13"</f>
        <v>249.13</v>
      </c>
      <c r="M554" s="15"/>
      <c r="N554" s="15"/>
      <c r="O554" s="15"/>
      <c r="P554" s="15" t="str">
        <f>"276.85"</f>
        <v>276.85</v>
      </c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 t="str">
        <f>"258.97"</f>
        <v>258.97</v>
      </c>
      <c r="AG554" s="15"/>
      <c r="AH554" s="15"/>
      <c r="AI554" s="15"/>
    </row>
    <row r="555" spans="1:35">
      <c r="A555" s="14">
        <v>553</v>
      </c>
      <c r="B555" s="14">
        <v>2325</v>
      </c>
      <c r="C555" s="14" t="s">
        <v>709</v>
      </c>
      <c r="D555" s="14" t="s">
        <v>51</v>
      </c>
      <c r="E555" s="15" t="str">
        <f>"261.59"</f>
        <v>261.59</v>
      </c>
      <c r="F555" s="15"/>
      <c r="G555" s="16" t="str">
        <f>"268.01"</f>
        <v>268.01</v>
      </c>
      <c r="H555" s="17">
        <f t="shared" si="8"/>
        <v>260.01</v>
      </c>
      <c r="I555" s="18"/>
      <c r="J555" s="15">
        <v>3</v>
      </c>
      <c r="K555" s="15">
        <v>2016</v>
      </c>
      <c r="L555" s="15" t="str">
        <f>"294.40"</f>
        <v>294.40</v>
      </c>
      <c r="M555" s="15"/>
      <c r="N555" s="15"/>
      <c r="O555" s="15"/>
      <c r="P555" s="15"/>
      <c r="Q555" s="15"/>
      <c r="R555" s="15"/>
      <c r="S555" s="15" t="str">
        <f>"228.77"</f>
        <v>228.77</v>
      </c>
      <c r="T555" s="15" t="str">
        <f>"307.25"</f>
        <v>307.25</v>
      </c>
      <c r="U555" s="15"/>
      <c r="V555" s="15"/>
      <c r="W555" s="15"/>
      <c r="X555" s="15"/>
      <c r="Y555" s="15"/>
      <c r="Z555" s="15"/>
      <c r="AA555" s="15"/>
      <c r="AB555" s="15"/>
      <c r="AC555" s="15" t="str">
        <f>"397.92"</f>
        <v>397.92</v>
      </c>
      <c r="AD555" s="15"/>
      <c r="AE555" s="15"/>
      <c r="AF555" s="15"/>
      <c r="AG555" s="15"/>
      <c r="AH555" s="15"/>
      <c r="AI555" s="15"/>
    </row>
    <row r="556" spans="1:35">
      <c r="A556" s="14">
        <v>554</v>
      </c>
      <c r="B556" s="14">
        <v>2279</v>
      </c>
      <c r="C556" s="14" t="s">
        <v>710</v>
      </c>
      <c r="D556" s="14" t="s">
        <v>100</v>
      </c>
      <c r="E556" s="15" t="str">
        <f>"268.13"</f>
        <v>268.13</v>
      </c>
      <c r="F556" s="15"/>
      <c r="G556" s="16" t="str">
        <f>"268.13"</f>
        <v>268.13</v>
      </c>
      <c r="H556" s="17">
        <f t="shared" si="8"/>
        <v>260.13</v>
      </c>
      <c r="I556" s="18" t="s">
        <v>43</v>
      </c>
      <c r="J556" s="15">
        <v>4</v>
      </c>
      <c r="K556" s="15">
        <v>2016</v>
      </c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 t="str">
        <f>"240.13"</f>
        <v>240.13</v>
      </c>
      <c r="AF556" s="15"/>
      <c r="AG556" s="15"/>
      <c r="AH556" s="15"/>
      <c r="AI556" s="15"/>
    </row>
    <row r="557" spans="1:35">
      <c r="A557" s="14">
        <v>555</v>
      </c>
      <c r="B557" s="14">
        <v>10600</v>
      </c>
      <c r="C557" s="14" t="s">
        <v>711</v>
      </c>
      <c r="D557" s="14" t="s">
        <v>51</v>
      </c>
      <c r="E557" s="15" t="str">
        <f>"268.17"</f>
        <v>268.17</v>
      </c>
      <c r="F557" s="15"/>
      <c r="G557" s="16" t="str">
        <f>"268.17"</f>
        <v>268.17</v>
      </c>
      <c r="H557" s="17">
        <f t="shared" si="8"/>
        <v>260.17</v>
      </c>
      <c r="I557" s="18"/>
      <c r="J557" s="15">
        <v>3</v>
      </c>
      <c r="K557" s="15">
        <v>2016</v>
      </c>
      <c r="L557" s="15" t="str">
        <f>"396.68"</f>
        <v>396.68</v>
      </c>
      <c r="M557" s="15"/>
      <c r="N557" s="15"/>
      <c r="O557" s="15"/>
      <c r="P557" s="15"/>
      <c r="Q557" s="15"/>
      <c r="R557" s="15"/>
      <c r="S557" s="15" t="str">
        <f>"410.65"</f>
        <v>410.65</v>
      </c>
      <c r="T557" s="15" t="str">
        <f>"354.17"</f>
        <v>354.17</v>
      </c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 t="str">
        <f>"287.96"</f>
        <v>287.96</v>
      </c>
      <c r="AH557" s="15" t="str">
        <f>"248.37"</f>
        <v>248.37</v>
      </c>
      <c r="AI557" s="15"/>
    </row>
    <row r="558" spans="1:35">
      <c r="A558" s="14">
        <v>556</v>
      </c>
      <c r="B558" s="14">
        <v>6697</v>
      </c>
      <c r="C558" s="14" t="s">
        <v>712</v>
      </c>
      <c r="D558" s="14" t="s">
        <v>713</v>
      </c>
      <c r="E558" s="15" t="str">
        <f>"233.92"</f>
        <v>233.92</v>
      </c>
      <c r="F558" s="15"/>
      <c r="G558" s="16" t="str">
        <f>"268.22"</f>
        <v>268.22</v>
      </c>
      <c r="H558" s="17">
        <f t="shared" si="8"/>
        <v>260.22000000000003</v>
      </c>
      <c r="I558" s="18"/>
      <c r="J558" s="15">
        <v>3</v>
      </c>
      <c r="K558" s="15">
        <v>2016</v>
      </c>
      <c r="L558" s="15" t="str">
        <f>"233.92"</f>
        <v>233.92</v>
      </c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 t="str">
        <f>"252.62"</f>
        <v>252.62</v>
      </c>
      <c r="AA558" s="15"/>
      <c r="AB558" s="15"/>
      <c r="AC558" s="15"/>
      <c r="AD558" s="15"/>
      <c r="AE558" s="15" t="str">
        <f>"283.82"</f>
        <v>283.82</v>
      </c>
      <c r="AF558" s="15"/>
      <c r="AG558" s="15"/>
      <c r="AH558" s="15"/>
      <c r="AI558" s="15"/>
    </row>
    <row r="559" spans="1:35">
      <c r="A559" s="14">
        <v>557</v>
      </c>
      <c r="B559" s="14">
        <v>503</v>
      </c>
      <c r="C559" s="14" t="s">
        <v>714</v>
      </c>
      <c r="D559" s="14" t="s">
        <v>162</v>
      </c>
      <c r="E559" s="15" t="str">
        <f>"229.17"</f>
        <v>229.17</v>
      </c>
      <c r="F559" s="15"/>
      <c r="G559" s="16" t="str">
        <f>"268.53"</f>
        <v>268.53</v>
      </c>
      <c r="H559" s="17">
        <f t="shared" si="8"/>
        <v>260.52999999999997</v>
      </c>
      <c r="I559" s="18" t="s">
        <v>43</v>
      </c>
      <c r="J559" s="15">
        <v>2</v>
      </c>
      <c r="K559" s="15">
        <v>2016</v>
      </c>
      <c r="L559" s="15" t="str">
        <f>"229.17"</f>
        <v>229.17</v>
      </c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 t="str">
        <f>"240.53"</f>
        <v>240.53</v>
      </c>
      <c r="AA559" s="15"/>
      <c r="AB559" s="15"/>
      <c r="AC559" s="15"/>
      <c r="AD559" s="15"/>
      <c r="AE559" s="15"/>
      <c r="AF559" s="15"/>
      <c r="AG559" s="15"/>
      <c r="AH559" s="15"/>
      <c r="AI559" s="15"/>
    </row>
    <row r="560" spans="1:35">
      <c r="A560" s="14">
        <v>558</v>
      </c>
      <c r="B560" s="14">
        <v>2263</v>
      </c>
      <c r="C560" s="14" t="s">
        <v>715</v>
      </c>
      <c r="D560" s="14" t="s">
        <v>51</v>
      </c>
      <c r="E560" s="15" t="str">
        <f>"268.56"</f>
        <v>268.56</v>
      </c>
      <c r="F560" s="15"/>
      <c r="G560" s="16" t="str">
        <f>"268.56"</f>
        <v>268.56</v>
      </c>
      <c r="H560" s="17">
        <f t="shared" si="8"/>
        <v>260.56</v>
      </c>
      <c r="I560" s="18"/>
      <c r="J560" s="15">
        <v>3</v>
      </c>
      <c r="K560" s="15">
        <v>2016</v>
      </c>
      <c r="L560" s="15" t="str">
        <f>"398.65"</f>
        <v>398.65</v>
      </c>
      <c r="M560" s="15"/>
      <c r="N560" s="15"/>
      <c r="O560" s="15"/>
      <c r="P560" s="15"/>
      <c r="Q560" s="15"/>
      <c r="R560" s="15"/>
      <c r="S560" s="15" t="str">
        <f>"274.58"</f>
        <v>274.58</v>
      </c>
      <c r="T560" s="15" t="str">
        <f>"312.50"</f>
        <v>312.50</v>
      </c>
      <c r="U560" s="15"/>
      <c r="V560" s="15"/>
      <c r="W560" s="15"/>
      <c r="X560" s="15"/>
      <c r="Y560" s="15"/>
      <c r="Z560" s="15"/>
      <c r="AA560" s="15" t="str">
        <f>"576.78"</f>
        <v>576.78</v>
      </c>
      <c r="AB560" s="15"/>
      <c r="AC560" s="15" t="str">
        <f>"349.75"</f>
        <v>349.75</v>
      </c>
      <c r="AD560" s="15"/>
      <c r="AE560" s="15" t="str">
        <f>"297.96"</f>
        <v>297.96</v>
      </c>
      <c r="AF560" s="15"/>
      <c r="AG560" s="15" t="str">
        <f>"269.19"</f>
        <v>269.19</v>
      </c>
      <c r="AH560" s="15" t="str">
        <f>"267.93"</f>
        <v>267.93</v>
      </c>
      <c r="AI560" s="15" t="str">
        <f>"276.69"</f>
        <v>276.69</v>
      </c>
    </row>
    <row r="561" spans="1:35">
      <c r="A561" s="14">
        <v>559</v>
      </c>
      <c r="B561" s="14">
        <v>5400</v>
      </c>
      <c r="C561" s="14" t="s">
        <v>716</v>
      </c>
      <c r="D561" s="14" t="s">
        <v>713</v>
      </c>
      <c r="E561" s="15" t="str">
        <f>"268.92"</f>
        <v>268.92</v>
      </c>
      <c r="F561" s="15"/>
      <c r="G561" s="16" t="str">
        <f>"268.92"</f>
        <v>268.92</v>
      </c>
      <c r="H561" s="17">
        <f t="shared" si="8"/>
        <v>260.92</v>
      </c>
      <c r="I561" s="18"/>
      <c r="J561" s="15">
        <v>3</v>
      </c>
      <c r="K561" s="15">
        <v>2016</v>
      </c>
      <c r="L561" s="15" t="str">
        <f>"334.38"</f>
        <v>334.38</v>
      </c>
      <c r="M561" s="15"/>
      <c r="N561" s="15"/>
      <c r="O561" s="15"/>
      <c r="P561" s="15"/>
      <c r="Q561" s="15" t="str">
        <f>"237.83"</f>
        <v>237.83</v>
      </c>
      <c r="R561" s="15"/>
      <c r="S561" s="15"/>
      <c r="T561" s="15"/>
      <c r="U561" s="15"/>
      <c r="V561" s="15"/>
      <c r="W561" s="15" t="str">
        <f>"335.80"</f>
        <v>335.80</v>
      </c>
      <c r="X561" s="15"/>
      <c r="Y561" s="15"/>
      <c r="Z561" s="15" t="str">
        <f>"300.00"</f>
        <v>300.00</v>
      </c>
      <c r="AA561" s="15"/>
      <c r="AB561" s="15"/>
      <c r="AC561" s="15"/>
      <c r="AD561" s="15"/>
      <c r="AE561" s="15"/>
      <c r="AF561" s="15"/>
      <c r="AG561" s="15"/>
      <c r="AH561" s="15"/>
      <c r="AI561" s="15"/>
    </row>
    <row r="562" spans="1:35">
      <c r="A562" s="14">
        <v>560</v>
      </c>
      <c r="B562" s="14">
        <v>1621</v>
      </c>
      <c r="C562" s="14" t="s">
        <v>717</v>
      </c>
      <c r="D562" s="14" t="s">
        <v>476</v>
      </c>
      <c r="E562" s="15" t="str">
        <f>"240.92"</f>
        <v>240.92</v>
      </c>
      <c r="F562" s="15"/>
      <c r="G562" s="16" t="str">
        <f>"268.92"</f>
        <v>268.92</v>
      </c>
      <c r="H562" s="17">
        <f t="shared" si="8"/>
        <v>260.92</v>
      </c>
      <c r="I562" s="18" t="s">
        <v>40</v>
      </c>
      <c r="J562" s="15">
        <v>1</v>
      </c>
      <c r="K562" s="15">
        <v>2016</v>
      </c>
      <c r="L562" s="15" t="str">
        <f>"240.92"</f>
        <v>240.92</v>
      </c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</row>
    <row r="563" spans="1:35">
      <c r="A563" s="14">
        <v>561</v>
      </c>
      <c r="B563" s="14">
        <v>3377</v>
      </c>
      <c r="C563" s="14" t="s">
        <v>718</v>
      </c>
      <c r="D563" s="14" t="s">
        <v>713</v>
      </c>
      <c r="E563" s="15" t="str">
        <f>"174.56"</f>
        <v>174.56</v>
      </c>
      <c r="F563" s="15"/>
      <c r="G563" s="16" t="str">
        <f>"271.37"</f>
        <v>271.37</v>
      </c>
      <c r="H563" s="17">
        <f t="shared" si="8"/>
        <v>263.37</v>
      </c>
      <c r="I563" s="18" t="s">
        <v>43</v>
      </c>
      <c r="J563" s="15">
        <v>2</v>
      </c>
      <c r="K563" s="15">
        <v>2016</v>
      </c>
      <c r="L563" s="15" t="str">
        <f>"174.56"</f>
        <v>174.56</v>
      </c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 t="str">
        <f>"243.37"</f>
        <v>243.37</v>
      </c>
      <c r="AA563" s="15"/>
      <c r="AB563" s="15"/>
      <c r="AC563" s="15"/>
      <c r="AD563" s="15"/>
      <c r="AE563" s="15"/>
      <c r="AF563" s="15"/>
      <c r="AG563" s="15"/>
      <c r="AH563" s="15"/>
      <c r="AI563" s="15"/>
    </row>
    <row r="564" spans="1:35">
      <c r="A564" s="14">
        <v>562</v>
      </c>
      <c r="B564" s="14">
        <v>10616</v>
      </c>
      <c r="C564" s="14" t="s">
        <v>719</v>
      </c>
      <c r="D564" s="14" t="s">
        <v>51</v>
      </c>
      <c r="E564" s="15" t="str">
        <f>"271.66"</f>
        <v>271.66</v>
      </c>
      <c r="F564" s="15"/>
      <c r="G564" s="16" t="str">
        <f>"271.66"</f>
        <v>271.66</v>
      </c>
      <c r="H564" s="17">
        <f t="shared" si="8"/>
        <v>263.66000000000003</v>
      </c>
      <c r="I564" s="18"/>
      <c r="J564" s="15">
        <v>3</v>
      </c>
      <c r="K564" s="15">
        <v>2016</v>
      </c>
      <c r="L564" s="15" t="str">
        <f>"412.21"</f>
        <v>412.21</v>
      </c>
      <c r="M564" s="15"/>
      <c r="N564" s="15"/>
      <c r="O564" s="15"/>
      <c r="P564" s="15"/>
      <c r="Q564" s="15"/>
      <c r="R564" s="15"/>
      <c r="S564" s="15" t="str">
        <f>"458.17"</f>
        <v>458.17</v>
      </c>
      <c r="T564" s="15"/>
      <c r="U564" s="15"/>
      <c r="V564" s="15"/>
      <c r="W564" s="15"/>
      <c r="X564" s="15" t="str">
        <f>"341.11"</f>
        <v>341.11</v>
      </c>
      <c r="Y564" s="15" t="str">
        <f>"297.48"</f>
        <v>297.48</v>
      </c>
      <c r="Z564" s="15"/>
      <c r="AA564" s="15"/>
      <c r="AB564" s="15"/>
      <c r="AC564" s="15"/>
      <c r="AD564" s="15"/>
      <c r="AE564" s="15"/>
      <c r="AF564" s="15"/>
      <c r="AG564" s="15"/>
      <c r="AH564" s="15" t="str">
        <f>"292.06"</f>
        <v>292.06</v>
      </c>
      <c r="AI564" s="15" t="str">
        <f>"251.25"</f>
        <v>251.25</v>
      </c>
    </row>
    <row r="565" spans="1:35">
      <c r="A565" s="14">
        <v>563</v>
      </c>
      <c r="B565" s="14">
        <v>809</v>
      </c>
      <c r="C565" s="14" t="s">
        <v>720</v>
      </c>
      <c r="D565" s="14" t="s">
        <v>721</v>
      </c>
      <c r="E565" s="15" t="str">
        <f>"243.69"</f>
        <v>243.69</v>
      </c>
      <c r="F565" s="15"/>
      <c r="G565" s="16" t="str">
        <f>"271.69"</f>
        <v>271.69</v>
      </c>
      <c r="H565" s="17">
        <f t="shared" si="8"/>
        <v>263.69</v>
      </c>
      <c r="I565" s="18" t="s">
        <v>40</v>
      </c>
      <c r="J565" s="15">
        <v>1</v>
      </c>
      <c r="K565" s="15">
        <v>2016</v>
      </c>
      <c r="L565" s="15" t="str">
        <f>"243.69"</f>
        <v>243.69</v>
      </c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</row>
    <row r="566" spans="1:35">
      <c r="A566" s="14">
        <v>564</v>
      </c>
      <c r="B566" s="14">
        <v>1636</v>
      </c>
      <c r="C566" s="14" t="s">
        <v>722</v>
      </c>
      <c r="D566" s="14" t="s">
        <v>112</v>
      </c>
      <c r="E566" s="15" t="str">
        <f>"244.47"</f>
        <v>244.47</v>
      </c>
      <c r="F566" s="15"/>
      <c r="G566" s="16" t="str">
        <f>"272.47"</f>
        <v>272.47</v>
      </c>
      <c r="H566" s="17">
        <f t="shared" si="8"/>
        <v>264.47000000000003</v>
      </c>
      <c r="I566" s="18" t="s">
        <v>40</v>
      </c>
      <c r="J566" s="15">
        <v>1</v>
      </c>
      <c r="K566" s="15">
        <v>2016</v>
      </c>
      <c r="L566" s="15" t="str">
        <f>"244.47"</f>
        <v>244.47</v>
      </c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</row>
    <row r="567" spans="1:35">
      <c r="A567" s="14">
        <v>565</v>
      </c>
      <c r="B567" s="14">
        <v>1236</v>
      </c>
      <c r="C567" s="14" t="s">
        <v>723</v>
      </c>
      <c r="D567" s="14" t="s">
        <v>98</v>
      </c>
      <c r="E567" s="15" t="str">
        <f>"254.21"</f>
        <v>254.21</v>
      </c>
      <c r="F567" s="15"/>
      <c r="G567" s="16" t="str">
        <f>"272.52"</f>
        <v>272.52</v>
      </c>
      <c r="H567" s="17">
        <f t="shared" si="8"/>
        <v>264.52</v>
      </c>
      <c r="I567" s="18" t="s">
        <v>43</v>
      </c>
      <c r="J567" s="15">
        <v>2</v>
      </c>
      <c r="K567" s="15">
        <v>2016</v>
      </c>
      <c r="L567" s="15" t="str">
        <f>"263.89"</f>
        <v>263.89</v>
      </c>
      <c r="M567" s="15"/>
      <c r="N567" s="15"/>
      <c r="O567" s="15"/>
      <c r="P567" s="15"/>
      <c r="Q567" s="15"/>
      <c r="R567" s="15" t="str">
        <f>"244.52"</f>
        <v>244.52</v>
      </c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</row>
    <row r="568" spans="1:35">
      <c r="A568" s="14">
        <v>566</v>
      </c>
      <c r="B568" s="14">
        <v>3699</v>
      </c>
      <c r="C568" s="14" t="s">
        <v>724</v>
      </c>
      <c r="D568" s="14" t="s">
        <v>537</v>
      </c>
      <c r="E568" s="15" t="str">
        <f>"272.74"</f>
        <v>272.74</v>
      </c>
      <c r="F568" s="15"/>
      <c r="G568" s="16" t="str">
        <f>"272.74"</f>
        <v>272.74</v>
      </c>
      <c r="H568" s="17">
        <f t="shared" si="8"/>
        <v>264.74</v>
      </c>
      <c r="I568" s="18" t="s">
        <v>43</v>
      </c>
      <c r="J568" s="15">
        <v>4</v>
      </c>
      <c r="K568" s="15">
        <v>2016</v>
      </c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 t="str">
        <f>"244.74"</f>
        <v>244.74</v>
      </c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</row>
    <row r="569" spans="1:35">
      <c r="A569" s="14">
        <v>567</v>
      </c>
      <c r="B569" s="14">
        <v>3756</v>
      </c>
      <c r="C569" s="14" t="s">
        <v>725</v>
      </c>
      <c r="D569" s="14" t="s">
        <v>558</v>
      </c>
      <c r="E569" s="15" t="str">
        <f>"193.30"</f>
        <v>193.30</v>
      </c>
      <c r="F569" s="15"/>
      <c r="G569" s="16" t="str">
        <f>"272.95"</f>
        <v>272.95</v>
      </c>
      <c r="H569" s="17">
        <f t="shared" si="8"/>
        <v>264.95</v>
      </c>
      <c r="I569" s="18" t="s">
        <v>43</v>
      </c>
      <c r="J569" s="15">
        <v>2</v>
      </c>
      <c r="K569" s="15">
        <v>2016</v>
      </c>
      <c r="L569" s="15" t="str">
        <f>"193.30"</f>
        <v>193.30</v>
      </c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 t="str">
        <f>"244.95"</f>
        <v>244.95</v>
      </c>
      <c r="AA569" s="15"/>
      <c r="AB569" s="15"/>
      <c r="AC569" s="15"/>
      <c r="AD569" s="15"/>
      <c r="AE569" s="15"/>
      <c r="AF569" s="15"/>
      <c r="AG569" s="15"/>
      <c r="AH569" s="15"/>
      <c r="AI569" s="15"/>
    </row>
    <row r="570" spans="1:35">
      <c r="A570" s="14">
        <v>568</v>
      </c>
      <c r="B570" s="14">
        <v>10385</v>
      </c>
      <c r="C570" s="14" t="s">
        <v>726</v>
      </c>
      <c r="D570" s="14" t="s">
        <v>58</v>
      </c>
      <c r="E570" s="15" t="str">
        <f>"273.65"</f>
        <v>273.65</v>
      </c>
      <c r="F570" s="15"/>
      <c r="G570" s="16" t="str">
        <f>"273.65"</f>
        <v>273.65</v>
      </c>
      <c r="H570" s="17">
        <f t="shared" si="8"/>
        <v>265.64999999999998</v>
      </c>
      <c r="I570" s="18"/>
      <c r="J570" s="15">
        <v>3</v>
      </c>
      <c r="K570" s="15">
        <v>2016</v>
      </c>
      <c r="L570" s="15" t="str">
        <f>"345.27"</f>
        <v>345.27</v>
      </c>
      <c r="M570" s="15"/>
      <c r="N570" s="15" t="str">
        <f>"325.47"</f>
        <v>325.47</v>
      </c>
      <c r="O570" s="15"/>
      <c r="P570" s="15"/>
      <c r="Q570" s="15"/>
      <c r="R570" s="15"/>
      <c r="S570" s="15"/>
      <c r="T570" s="15"/>
      <c r="U570" s="15" t="str">
        <f>"493.84"</f>
        <v>493.84</v>
      </c>
      <c r="V570" s="15"/>
      <c r="W570" s="15"/>
      <c r="X570" s="15"/>
      <c r="Y570" s="15"/>
      <c r="Z570" s="15" t="str">
        <f>"221.82"</f>
        <v>221.82</v>
      </c>
      <c r="AA570" s="15"/>
      <c r="AB570" s="15"/>
      <c r="AC570" s="15"/>
      <c r="AD570" s="15"/>
      <c r="AE570" s="15"/>
      <c r="AF570" s="15"/>
      <c r="AG570" s="15"/>
      <c r="AH570" s="15"/>
      <c r="AI570" s="15"/>
    </row>
    <row r="571" spans="1:35">
      <c r="A571" s="14">
        <v>569</v>
      </c>
      <c r="B571" s="14">
        <v>5151</v>
      </c>
      <c r="C571" s="14" t="s">
        <v>727</v>
      </c>
      <c r="D571" s="14" t="s">
        <v>343</v>
      </c>
      <c r="E571" s="15" t="str">
        <f>"229.64"</f>
        <v>229.64</v>
      </c>
      <c r="F571" s="15"/>
      <c r="G571" s="16" t="str">
        <f>"273.71"</f>
        <v>273.71</v>
      </c>
      <c r="H571" s="17">
        <f t="shared" si="8"/>
        <v>265.70999999999998</v>
      </c>
      <c r="I571" s="18" t="s">
        <v>43</v>
      </c>
      <c r="J571" s="15">
        <v>2</v>
      </c>
      <c r="K571" s="15">
        <v>2016</v>
      </c>
      <c r="L571" s="15" t="str">
        <f>"229.64"</f>
        <v>229.64</v>
      </c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 t="str">
        <f>"245.71"</f>
        <v>245.71</v>
      </c>
      <c r="AF571" s="15"/>
      <c r="AG571" s="15"/>
      <c r="AH571" s="15"/>
      <c r="AI571" s="15"/>
    </row>
    <row r="572" spans="1:35">
      <c r="A572" s="14">
        <v>570</v>
      </c>
      <c r="B572" s="14">
        <v>8327</v>
      </c>
      <c r="C572" s="14" t="s">
        <v>728</v>
      </c>
      <c r="D572" s="14" t="s">
        <v>49</v>
      </c>
      <c r="E572" s="15" t="str">
        <f>"255.58"</f>
        <v>255.58</v>
      </c>
      <c r="F572" s="15"/>
      <c r="G572" s="16" t="str">
        <f>"274.17"</f>
        <v>274.17</v>
      </c>
      <c r="H572" s="17">
        <f t="shared" si="8"/>
        <v>266.17</v>
      </c>
      <c r="I572" s="18"/>
      <c r="J572" s="15">
        <v>3</v>
      </c>
      <c r="K572" s="15">
        <v>2016</v>
      </c>
      <c r="L572" s="15" t="str">
        <f>"256.75"</f>
        <v>256.75</v>
      </c>
      <c r="M572" s="15" t="str">
        <f>"293.93"</f>
        <v>293.93</v>
      </c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 t="str">
        <f>"254.41"</f>
        <v>254.41</v>
      </c>
      <c r="AG572" s="15"/>
      <c r="AH572" s="15"/>
      <c r="AI572" s="15"/>
    </row>
    <row r="573" spans="1:35">
      <c r="A573" s="14">
        <v>571</v>
      </c>
      <c r="B573" s="14">
        <v>8449</v>
      </c>
      <c r="C573" s="14" t="s">
        <v>729</v>
      </c>
      <c r="D573" s="14" t="s">
        <v>51</v>
      </c>
      <c r="E573" s="15" t="str">
        <f>"246.52"</f>
        <v>246.52</v>
      </c>
      <c r="F573" s="15"/>
      <c r="G573" s="16" t="str">
        <f>"274.52"</f>
        <v>274.52</v>
      </c>
      <c r="H573" s="17">
        <f t="shared" si="8"/>
        <v>266.52</v>
      </c>
      <c r="I573" s="18" t="s">
        <v>40</v>
      </c>
      <c r="J573" s="15">
        <v>1</v>
      </c>
      <c r="K573" s="15">
        <v>2016</v>
      </c>
      <c r="L573" s="15" t="str">
        <f>"246.52"</f>
        <v>246.52</v>
      </c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</row>
    <row r="574" spans="1:35">
      <c r="A574" s="14">
        <v>572</v>
      </c>
      <c r="B574" s="14">
        <v>10156</v>
      </c>
      <c r="C574" s="14" t="s">
        <v>730</v>
      </c>
      <c r="D574" s="14" t="s">
        <v>51</v>
      </c>
      <c r="E574" s="15" t="str">
        <f>"275.13"</f>
        <v>275.13</v>
      </c>
      <c r="F574" s="15"/>
      <c r="G574" s="16" t="str">
        <f>"275.13"</f>
        <v>275.13</v>
      </c>
      <c r="H574" s="17">
        <f t="shared" si="8"/>
        <v>267.13</v>
      </c>
      <c r="I574" s="18"/>
      <c r="J574" s="15">
        <v>3</v>
      </c>
      <c r="K574" s="15">
        <v>2016</v>
      </c>
      <c r="L574" s="15" t="str">
        <f>"385.09"</f>
        <v>385.09</v>
      </c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 t="str">
        <f>"262.13"</f>
        <v>262.13</v>
      </c>
      <c r="AF574" s="15"/>
      <c r="AG574" s="15" t="str">
        <f>"288.12"</f>
        <v>288.12</v>
      </c>
      <c r="AH574" s="15"/>
      <c r="AI574" s="15"/>
    </row>
    <row r="575" spans="1:35">
      <c r="A575" s="14">
        <v>573</v>
      </c>
      <c r="B575" s="14">
        <v>10657</v>
      </c>
      <c r="C575" s="14" t="s">
        <v>731</v>
      </c>
      <c r="D575" s="14" t="s">
        <v>45</v>
      </c>
      <c r="E575" s="15" t="str">
        <f>"319.68"</f>
        <v>319.68</v>
      </c>
      <c r="F575" s="15"/>
      <c r="G575" s="16" t="str">
        <f>"275.18"</f>
        <v>275.18</v>
      </c>
      <c r="H575" s="17">
        <f t="shared" si="8"/>
        <v>267.18</v>
      </c>
      <c r="I575" s="18" t="s">
        <v>43</v>
      </c>
      <c r="J575" s="15">
        <v>2</v>
      </c>
      <c r="K575" s="15">
        <v>2016</v>
      </c>
      <c r="L575" s="15" t="str">
        <f>"392.17"</f>
        <v>392.17</v>
      </c>
      <c r="M575" s="15" t="str">
        <f>"247.18"</f>
        <v>247.18</v>
      </c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</row>
    <row r="576" spans="1:35">
      <c r="A576" s="14">
        <v>574</v>
      </c>
      <c r="B576" s="14">
        <v>2319</v>
      </c>
      <c r="C576" s="14" t="s">
        <v>732</v>
      </c>
      <c r="D576" s="14" t="s">
        <v>51</v>
      </c>
      <c r="E576" s="15" t="str">
        <f>"275.37"</f>
        <v>275.37</v>
      </c>
      <c r="F576" s="15"/>
      <c r="G576" s="16" t="str">
        <f>"275.37"</f>
        <v>275.37</v>
      </c>
      <c r="H576" s="17">
        <f t="shared" si="8"/>
        <v>267.37</v>
      </c>
      <c r="I576" s="18"/>
      <c r="J576" s="15">
        <v>3</v>
      </c>
      <c r="K576" s="15">
        <v>2016</v>
      </c>
      <c r="L576" s="15" t="str">
        <f>"304.34"</f>
        <v>304.34</v>
      </c>
      <c r="M576" s="15"/>
      <c r="N576" s="15"/>
      <c r="O576" s="15"/>
      <c r="P576" s="15"/>
      <c r="Q576" s="15"/>
      <c r="R576" s="15"/>
      <c r="S576" s="15" t="str">
        <f>"403.59"</f>
        <v>403.59</v>
      </c>
      <c r="T576" s="15" t="str">
        <f>"344.82"</f>
        <v>344.82</v>
      </c>
      <c r="U576" s="15"/>
      <c r="V576" s="15"/>
      <c r="W576" s="15"/>
      <c r="X576" s="15" t="str">
        <f>"375.11"</f>
        <v>375.11</v>
      </c>
      <c r="Y576" s="15"/>
      <c r="Z576" s="15"/>
      <c r="AA576" s="15"/>
      <c r="AB576" s="15"/>
      <c r="AC576" s="15"/>
      <c r="AD576" s="15"/>
      <c r="AE576" s="15"/>
      <c r="AF576" s="15"/>
      <c r="AG576" s="15"/>
      <c r="AH576" s="15" t="str">
        <f>"272.50"</f>
        <v>272.50</v>
      </c>
      <c r="AI576" s="15" t="str">
        <f>"278.23"</f>
        <v>278.23</v>
      </c>
    </row>
    <row r="577" spans="1:35">
      <c r="A577" s="14">
        <v>575</v>
      </c>
      <c r="B577" s="14">
        <v>5031</v>
      </c>
      <c r="C577" s="14" t="s">
        <v>733</v>
      </c>
      <c r="D577" s="14" t="s">
        <v>74</v>
      </c>
      <c r="E577" s="15" t="str">
        <f>"247.48"</f>
        <v>247.48</v>
      </c>
      <c r="F577" s="15"/>
      <c r="G577" s="16" t="str">
        <f>"275.48"</f>
        <v>275.48</v>
      </c>
      <c r="H577" s="17">
        <f t="shared" si="8"/>
        <v>267.48</v>
      </c>
      <c r="I577" s="18" t="s">
        <v>40</v>
      </c>
      <c r="J577" s="15">
        <v>1</v>
      </c>
      <c r="K577" s="15">
        <v>2016</v>
      </c>
      <c r="L577" s="15" t="str">
        <f>"247.48"</f>
        <v>247.48</v>
      </c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</row>
    <row r="578" spans="1:35">
      <c r="A578" s="14">
        <v>576</v>
      </c>
      <c r="B578" s="14">
        <v>10508</v>
      </c>
      <c r="C578" s="14" t="s">
        <v>734</v>
      </c>
      <c r="D578" s="14" t="s">
        <v>51</v>
      </c>
      <c r="E578" s="15" t="str">
        <f>"280.31"</f>
        <v>280.31</v>
      </c>
      <c r="F578" s="15"/>
      <c r="G578" s="16" t="str">
        <f>"275.70"</f>
        <v>275.70</v>
      </c>
      <c r="H578" s="17">
        <f t="shared" si="8"/>
        <v>267.7</v>
      </c>
      <c r="I578" s="18" t="s">
        <v>43</v>
      </c>
      <c r="J578" s="15">
        <v>2</v>
      </c>
      <c r="K578" s="15">
        <v>2016</v>
      </c>
      <c r="L578" s="15" t="str">
        <f>"312.91"</f>
        <v>312.91</v>
      </c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 t="str">
        <f>"247.70"</f>
        <v>247.70</v>
      </c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</row>
    <row r="579" spans="1:35">
      <c r="A579" s="14">
        <v>577</v>
      </c>
      <c r="B579" s="14">
        <v>4234</v>
      </c>
      <c r="C579" s="14" t="s">
        <v>735</v>
      </c>
      <c r="D579" s="14" t="s">
        <v>74</v>
      </c>
      <c r="E579" s="15" t="str">
        <f>"247.95"</f>
        <v>247.95</v>
      </c>
      <c r="F579" s="15"/>
      <c r="G579" s="16" t="str">
        <f>"275.95"</f>
        <v>275.95</v>
      </c>
      <c r="H579" s="17">
        <f t="shared" ref="H579:H642" si="9">G579-8</f>
        <v>267.95</v>
      </c>
      <c r="I579" s="18" t="s">
        <v>40</v>
      </c>
      <c r="J579" s="15">
        <v>1</v>
      </c>
      <c r="K579" s="15">
        <v>2016</v>
      </c>
      <c r="L579" s="15" t="str">
        <f>"247.95"</f>
        <v>247.95</v>
      </c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</row>
    <row r="580" spans="1:35">
      <c r="A580" s="14">
        <v>578</v>
      </c>
      <c r="B580" s="14">
        <v>10624</v>
      </c>
      <c r="C580" s="14" t="s">
        <v>736</v>
      </c>
      <c r="D580" s="14" t="s">
        <v>51</v>
      </c>
      <c r="E580" s="15" t="str">
        <f>"248.22"</f>
        <v>248.22</v>
      </c>
      <c r="F580" s="15"/>
      <c r="G580" s="16" t="str">
        <f>"276.22"</f>
        <v>276.22</v>
      </c>
      <c r="H580" s="17">
        <f t="shared" si="9"/>
        <v>268.22000000000003</v>
      </c>
      <c r="I580" s="18" t="s">
        <v>40</v>
      </c>
      <c r="J580" s="15">
        <v>1</v>
      </c>
      <c r="K580" s="15">
        <v>2016</v>
      </c>
      <c r="L580" s="15" t="str">
        <f>"248.22"</f>
        <v>248.22</v>
      </c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</row>
    <row r="581" spans="1:35">
      <c r="A581" s="14">
        <v>579</v>
      </c>
      <c r="B581" s="14">
        <v>9971</v>
      </c>
      <c r="C581" s="14" t="s">
        <v>737</v>
      </c>
      <c r="D581" s="14" t="s">
        <v>738</v>
      </c>
      <c r="E581" s="15" t="str">
        <f>"248.96"</f>
        <v>248.96</v>
      </c>
      <c r="F581" s="15"/>
      <c r="G581" s="16" t="str">
        <f>"276.96"</f>
        <v>276.96</v>
      </c>
      <c r="H581" s="17">
        <f t="shared" si="9"/>
        <v>268.95999999999998</v>
      </c>
      <c r="I581" s="18" t="s">
        <v>40</v>
      </c>
      <c r="J581" s="15">
        <v>1</v>
      </c>
      <c r="K581" s="15">
        <v>2016</v>
      </c>
      <c r="L581" s="15" t="str">
        <f>"248.96"</f>
        <v>248.96</v>
      </c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</row>
    <row r="582" spans="1:35">
      <c r="A582" s="14">
        <v>580</v>
      </c>
      <c r="B582" s="14">
        <v>10696</v>
      </c>
      <c r="C582" s="14" t="s">
        <v>739</v>
      </c>
      <c r="D582" s="14" t="s">
        <v>127</v>
      </c>
      <c r="E582" s="15" t="str">
        <f>"249.19"</f>
        <v>249.19</v>
      </c>
      <c r="F582" s="15"/>
      <c r="G582" s="16" t="str">
        <f>"277.19"</f>
        <v>277.19</v>
      </c>
      <c r="H582" s="17">
        <f t="shared" si="9"/>
        <v>269.19</v>
      </c>
      <c r="I582" s="18" t="s">
        <v>40</v>
      </c>
      <c r="J582" s="15">
        <v>1</v>
      </c>
      <c r="K582" s="15">
        <v>2016</v>
      </c>
      <c r="L582" s="15" t="str">
        <f>"249.19"</f>
        <v>249.19</v>
      </c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</row>
    <row r="583" spans="1:35">
      <c r="A583" s="14">
        <v>581</v>
      </c>
      <c r="B583" s="14">
        <v>3177</v>
      </c>
      <c r="C583" s="14" t="s">
        <v>740</v>
      </c>
      <c r="D583" s="14" t="s">
        <v>371</v>
      </c>
      <c r="E583" s="15" t="str">
        <f>"134.90"</f>
        <v>134.90</v>
      </c>
      <c r="F583" s="15"/>
      <c r="G583" s="16" t="str">
        <f>"277.64"</f>
        <v>277.64</v>
      </c>
      <c r="H583" s="17">
        <f t="shared" si="9"/>
        <v>269.64</v>
      </c>
      <c r="I583" s="18" t="s">
        <v>43</v>
      </c>
      <c r="J583" s="15">
        <v>2</v>
      </c>
      <c r="K583" s="15">
        <v>2016</v>
      </c>
      <c r="L583" s="15" t="str">
        <f>"134.90"</f>
        <v>134.90</v>
      </c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 t="str">
        <f>"249.64"</f>
        <v>249.64</v>
      </c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</row>
    <row r="584" spans="1:35">
      <c r="A584" s="14">
        <v>582</v>
      </c>
      <c r="B584" s="14">
        <v>8021</v>
      </c>
      <c r="C584" s="14" t="s">
        <v>741</v>
      </c>
      <c r="D584" s="14" t="s">
        <v>125</v>
      </c>
      <c r="E584" s="15" t="str">
        <f>"250.45"</f>
        <v>250.45</v>
      </c>
      <c r="F584" s="15"/>
      <c r="G584" s="16" t="str">
        <f>"278.45"</f>
        <v>278.45</v>
      </c>
      <c r="H584" s="17">
        <f t="shared" si="9"/>
        <v>270.45</v>
      </c>
      <c r="I584" s="18" t="s">
        <v>40</v>
      </c>
      <c r="J584" s="15">
        <v>1</v>
      </c>
      <c r="K584" s="15">
        <v>2016</v>
      </c>
      <c r="L584" s="15" t="str">
        <f>"250.45"</f>
        <v>250.45</v>
      </c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</row>
    <row r="585" spans="1:35">
      <c r="A585" s="14">
        <v>583</v>
      </c>
      <c r="B585" s="14">
        <v>2333</v>
      </c>
      <c r="C585" s="14" t="s">
        <v>742</v>
      </c>
      <c r="D585" s="14" t="s">
        <v>51</v>
      </c>
      <c r="E585" s="15" t="str">
        <f>"278.49"</f>
        <v>278.49</v>
      </c>
      <c r="F585" s="15"/>
      <c r="G585" s="16" t="str">
        <f>"278.49"</f>
        <v>278.49</v>
      </c>
      <c r="H585" s="17">
        <f t="shared" si="9"/>
        <v>270.49</v>
      </c>
      <c r="I585" s="18"/>
      <c r="J585" s="15">
        <v>3</v>
      </c>
      <c r="K585" s="15">
        <v>2016</v>
      </c>
      <c r="L585" s="15" t="str">
        <f>"478.59"</f>
        <v>478.59</v>
      </c>
      <c r="M585" s="15"/>
      <c r="N585" s="15"/>
      <c r="O585" s="15"/>
      <c r="P585" s="15"/>
      <c r="Q585" s="15"/>
      <c r="R585" s="15"/>
      <c r="S585" s="15" t="str">
        <f>"401.65"</f>
        <v>401.65</v>
      </c>
      <c r="T585" s="15"/>
      <c r="U585" s="15"/>
      <c r="V585" s="15"/>
      <c r="W585" s="15"/>
      <c r="X585" s="15" t="str">
        <f>"293.45"</f>
        <v>293.45</v>
      </c>
      <c r="Y585" s="15"/>
      <c r="Z585" s="15"/>
      <c r="AA585" s="15"/>
      <c r="AB585" s="15"/>
      <c r="AC585" s="15"/>
      <c r="AD585" s="15"/>
      <c r="AE585" s="15"/>
      <c r="AF585" s="15"/>
      <c r="AG585" s="15" t="str">
        <f>"267.76"</f>
        <v>267.76</v>
      </c>
      <c r="AH585" s="15" t="str">
        <f>"289.22"</f>
        <v>289.22</v>
      </c>
      <c r="AI585" s="15"/>
    </row>
    <row r="586" spans="1:35">
      <c r="A586" s="14">
        <v>584</v>
      </c>
      <c r="B586" s="14">
        <v>1870</v>
      </c>
      <c r="C586" s="14" t="s">
        <v>743</v>
      </c>
      <c r="D586" s="14" t="s">
        <v>51</v>
      </c>
      <c r="E586" s="15" t="str">
        <f>"279.04"</f>
        <v>279.04</v>
      </c>
      <c r="F586" s="15"/>
      <c r="G586" s="16" t="str">
        <f>"279.04"</f>
        <v>279.04</v>
      </c>
      <c r="H586" s="17">
        <f t="shared" si="9"/>
        <v>271.04000000000002</v>
      </c>
      <c r="I586" s="18"/>
      <c r="J586" s="15">
        <v>3</v>
      </c>
      <c r="K586" s="15">
        <v>2016</v>
      </c>
      <c r="L586" s="15" t="str">
        <f>"329.84"</f>
        <v>329.84</v>
      </c>
      <c r="M586" s="15"/>
      <c r="N586" s="15"/>
      <c r="O586" s="15"/>
      <c r="P586" s="15"/>
      <c r="Q586" s="15"/>
      <c r="R586" s="15"/>
      <c r="S586" s="15" t="str">
        <f>"276.06"</f>
        <v>276.06</v>
      </c>
      <c r="T586" s="15" t="str">
        <f>"282.02"</f>
        <v>282.02</v>
      </c>
      <c r="U586" s="15"/>
      <c r="V586" s="15"/>
      <c r="W586" s="15"/>
      <c r="X586" s="15" t="str">
        <f>"445.33"</f>
        <v>445.33</v>
      </c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</row>
    <row r="587" spans="1:35">
      <c r="A587" s="14">
        <v>585</v>
      </c>
      <c r="B587" s="14">
        <v>10062</v>
      </c>
      <c r="C587" s="14" t="s">
        <v>744</v>
      </c>
      <c r="D587" s="14" t="s">
        <v>51</v>
      </c>
      <c r="E587" s="15" t="str">
        <f>"207.26"</f>
        <v>207.26</v>
      </c>
      <c r="F587" s="15"/>
      <c r="G587" s="16" t="str">
        <f>"279.29"</f>
        <v>279.29</v>
      </c>
      <c r="H587" s="17">
        <f t="shared" si="9"/>
        <v>271.29000000000002</v>
      </c>
      <c r="I587" s="18"/>
      <c r="J587" s="15">
        <v>3</v>
      </c>
      <c r="K587" s="15">
        <v>2016</v>
      </c>
      <c r="L587" s="15" t="str">
        <f>"207.26"</f>
        <v>207.26</v>
      </c>
      <c r="M587" s="15"/>
      <c r="N587" s="15"/>
      <c r="O587" s="15"/>
      <c r="P587" s="15"/>
      <c r="Q587" s="15"/>
      <c r="R587" s="15"/>
      <c r="S587" s="15"/>
      <c r="T587" s="15" t="str">
        <f>"312.85"</f>
        <v>312.85</v>
      </c>
      <c r="U587" s="15"/>
      <c r="V587" s="15"/>
      <c r="W587" s="15"/>
      <c r="X587" s="15"/>
      <c r="Y587" s="15" t="str">
        <f>"245.73"</f>
        <v>245.73</v>
      </c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</row>
    <row r="588" spans="1:35">
      <c r="A588" s="14">
        <v>586</v>
      </c>
      <c r="B588" s="14">
        <v>7323</v>
      </c>
      <c r="C588" s="14" t="s">
        <v>745</v>
      </c>
      <c r="D588" s="14" t="s">
        <v>291</v>
      </c>
      <c r="E588" s="15" t="str">
        <f>"251.34"</f>
        <v>251.34</v>
      </c>
      <c r="F588" s="15"/>
      <c r="G588" s="16" t="str">
        <f>"279.34"</f>
        <v>279.34</v>
      </c>
      <c r="H588" s="17">
        <f t="shared" si="9"/>
        <v>271.33999999999997</v>
      </c>
      <c r="I588" s="18" t="s">
        <v>40</v>
      </c>
      <c r="J588" s="15">
        <v>1</v>
      </c>
      <c r="K588" s="15">
        <v>2016</v>
      </c>
      <c r="L588" s="15" t="str">
        <f>"251.34"</f>
        <v>251.34</v>
      </c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</row>
    <row r="589" spans="1:35">
      <c r="A589" s="14">
        <v>587</v>
      </c>
      <c r="B589" s="14">
        <v>10346</v>
      </c>
      <c r="C589" s="14" t="s">
        <v>746</v>
      </c>
      <c r="D589" s="14" t="s">
        <v>51</v>
      </c>
      <c r="E589" s="15" t="str">
        <f>"251.84"</f>
        <v>251.84</v>
      </c>
      <c r="F589" s="15"/>
      <c r="G589" s="16" t="str">
        <f>"279.55"</f>
        <v>279.55</v>
      </c>
      <c r="H589" s="17">
        <f t="shared" si="9"/>
        <v>271.55</v>
      </c>
      <c r="I589" s="18"/>
      <c r="J589" s="15">
        <v>3</v>
      </c>
      <c r="K589" s="15">
        <v>2016</v>
      </c>
      <c r="L589" s="15" t="str">
        <f>"251.84"</f>
        <v>251.84</v>
      </c>
      <c r="M589" s="15"/>
      <c r="N589" s="15"/>
      <c r="O589" s="15"/>
      <c r="P589" s="15"/>
      <c r="Q589" s="15"/>
      <c r="R589" s="15"/>
      <c r="S589" s="15" t="str">
        <f>"261.48"</f>
        <v>261.48</v>
      </c>
      <c r="T589" s="15" t="str">
        <f>"359.20"</f>
        <v>359.20</v>
      </c>
      <c r="U589" s="15"/>
      <c r="V589" s="15"/>
      <c r="W589" s="15"/>
      <c r="X589" s="15" t="str">
        <f>"337.09"</f>
        <v>337.09</v>
      </c>
      <c r="Y589" s="15" t="str">
        <f>"297.62"</f>
        <v>297.62</v>
      </c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</row>
    <row r="590" spans="1:35">
      <c r="A590" s="14">
        <v>588</v>
      </c>
      <c r="B590" s="14">
        <v>6393</v>
      </c>
      <c r="C590" s="14" t="s">
        <v>747</v>
      </c>
      <c r="D590" s="14" t="s">
        <v>55</v>
      </c>
      <c r="E590" s="15" t="str">
        <f>"251.79"</f>
        <v>251.79</v>
      </c>
      <c r="F590" s="15"/>
      <c r="G590" s="16" t="str">
        <f>"279.79"</f>
        <v>279.79</v>
      </c>
      <c r="H590" s="17">
        <f t="shared" si="9"/>
        <v>271.79000000000002</v>
      </c>
      <c r="I590" s="18" t="s">
        <v>40</v>
      </c>
      <c r="J590" s="15">
        <v>1</v>
      </c>
      <c r="K590" s="15">
        <v>2016</v>
      </c>
      <c r="L590" s="15" t="str">
        <f>"251.79"</f>
        <v>251.79</v>
      </c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</row>
    <row r="591" spans="1:35">
      <c r="A591" s="14">
        <v>589</v>
      </c>
      <c r="B591" s="14">
        <v>10576</v>
      </c>
      <c r="C591" s="14" t="s">
        <v>748</v>
      </c>
      <c r="D591" s="14" t="s">
        <v>51</v>
      </c>
      <c r="E591" s="15" t="str">
        <f>"280.05"</f>
        <v>280.05</v>
      </c>
      <c r="F591" s="15"/>
      <c r="G591" s="16" t="str">
        <f>"280.05"</f>
        <v>280.05</v>
      </c>
      <c r="H591" s="17">
        <f t="shared" si="9"/>
        <v>272.05</v>
      </c>
      <c r="I591" s="18"/>
      <c r="J591" s="15">
        <v>3</v>
      </c>
      <c r="K591" s="15">
        <v>2016</v>
      </c>
      <c r="L591" s="15" t="str">
        <f>"362.99"</f>
        <v>362.99</v>
      </c>
      <c r="M591" s="15"/>
      <c r="N591" s="15"/>
      <c r="O591" s="15"/>
      <c r="P591" s="15"/>
      <c r="Q591" s="15"/>
      <c r="R591" s="15"/>
      <c r="S591" s="15" t="str">
        <f>"268.43"</f>
        <v>268.43</v>
      </c>
      <c r="T591" s="15" t="str">
        <f>"291.66"</f>
        <v>291.66</v>
      </c>
      <c r="U591" s="15"/>
      <c r="V591" s="15"/>
      <c r="W591" s="15"/>
      <c r="X591" s="15" t="str">
        <f>"325.65"</f>
        <v>325.65</v>
      </c>
      <c r="Y591" s="15" t="str">
        <f>"403.02"</f>
        <v>403.02</v>
      </c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</row>
    <row r="592" spans="1:35">
      <c r="A592" s="14">
        <v>590</v>
      </c>
      <c r="B592" s="14">
        <v>8066</v>
      </c>
      <c r="C592" s="14" t="s">
        <v>749</v>
      </c>
      <c r="D592" s="14" t="s">
        <v>750</v>
      </c>
      <c r="E592" s="15" t="str">
        <f>"280.36"</f>
        <v>280.36</v>
      </c>
      <c r="F592" s="15"/>
      <c r="G592" s="16" t="str">
        <f>"280.36"</f>
        <v>280.36</v>
      </c>
      <c r="H592" s="17">
        <f t="shared" si="9"/>
        <v>272.36</v>
      </c>
      <c r="I592" s="18" t="s">
        <v>43</v>
      </c>
      <c r="J592" s="15">
        <v>4</v>
      </c>
      <c r="K592" s="15">
        <v>2016</v>
      </c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 t="str">
        <f>"252.36"</f>
        <v>252.36</v>
      </c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</row>
    <row r="593" spans="1:35">
      <c r="A593" s="14">
        <v>591</v>
      </c>
      <c r="B593" s="14">
        <v>10589</v>
      </c>
      <c r="C593" s="14" t="s">
        <v>751</v>
      </c>
      <c r="D593" s="14" t="s">
        <v>51</v>
      </c>
      <c r="E593" s="15" t="str">
        <f>"330.05"</f>
        <v>330.05</v>
      </c>
      <c r="F593" s="15"/>
      <c r="G593" s="16" t="str">
        <f>"280.47"</f>
        <v>280.47</v>
      </c>
      <c r="H593" s="17">
        <f t="shared" si="9"/>
        <v>272.47000000000003</v>
      </c>
      <c r="I593" s="18" t="s">
        <v>43</v>
      </c>
      <c r="J593" s="15">
        <v>2</v>
      </c>
      <c r="K593" s="15">
        <v>2016</v>
      </c>
      <c r="L593" s="15" t="str">
        <f>"407.62"</f>
        <v>407.62</v>
      </c>
      <c r="M593" s="15"/>
      <c r="N593" s="15"/>
      <c r="O593" s="15"/>
      <c r="P593" s="15"/>
      <c r="Q593" s="15"/>
      <c r="R593" s="15"/>
      <c r="S593" s="15" t="str">
        <f>"252.47"</f>
        <v>252.47</v>
      </c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</row>
    <row r="594" spans="1:35">
      <c r="A594" s="14">
        <v>592</v>
      </c>
      <c r="B594" s="14">
        <v>1296</v>
      </c>
      <c r="C594" s="14" t="s">
        <v>752</v>
      </c>
      <c r="D594" s="14" t="s">
        <v>112</v>
      </c>
      <c r="E594" s="15" t="str">
        <f>"253.40"</f>
        <v>253.40</v>
      </c>
      <c r="F594" s="15"/>
      <c r="G594" s="16" t="str">
        <f>"281.40"</f>
        <v>281.40</v>
      </c>
      <c r="H594" s="17">
        <f t="shared" si="9"/>
        <v>273.39999999999998</v>
      </c>
      <c r="I594" s="18" t="s">
        <v>40</v>
      </c>
      <c r="J594" s="15">
        <v>1</v>
      </c>
      <c r="K594" s="15">
        <v>2016</v>
      </c>
      <c r="L594" s="15" t="str">
        <f>"253.40"</f>
        <v>253.40</v>
      </c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</row>
    <row r="595" spans="1:35">
      <c r="A595" s="14">
        <v>593</v>
      </c>
      <c r="B595" s="14">
        <v>3310</v>
      </c>
      <c r="C595" s="14" t="s">
        <v>753</v>
      </c>
      <c r="D595" s="14" t="s">
        <v>85</v>
      </c>
      <c r="E595" s="15" t="str">
        <f>"253.70"</f>
        <v>253.70</v>
      </c>
      <c r="F595" s="15"/>
      <c r="G595" s="16" t="str">
        <f>"281.70"</f>
        <v>281.70</v>
      </c>
      <c r="H595" s="17">
        <f t="shared" si="9"/>
        <v>273.7</v>
      </c>
      <c r="I595" s="18" t="s">
        <v>40</v>
      </c>
      <c r="J595" s="15">
        <v>1</v>
      </c>
      <c r="K595" s="15">
        <v>2016</v>
      </c>
      <c r="L595" s="15" t="str">
        <f>"253.70"</f>
        <v>253.70</v>
      </c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</row>
    <row r="596" spans="1:35">
      <c r="A596" s="14">
        <v>594</v>
      </c>
      <c r="B596" s="14">
        <v>7625</v>
      </c>
      <c r="C596" s="14" t="s">
        <v>754</v>
      </c>
      <c r="D596" s="14" t="s">
        <v>74</v>
      </c>
      <c r="E596" s="15" t="str">
        <f>"226.63"</f>
        <v>226.63</v>
      </c>
      <c r="F596" s="15"/>
      <c r="G596" s="16" t="str">
        <f>"281.78"</f>
        <v>281.78</v>
      </c>
      <c r="H596" s="17">
        <f t="shared" si="9"/>
        <v>273.77999999999997</v>
      </c>
      <c r="I596" s="18" t="s">
        <v>43</v>
      </c>
      <c r="J596" s="15">
        <v>2</v>
      </c>
      <c r="K596" s="15">
        <v>2016</v>
      </c>
      <c r="L596" s="15" t="str">
        <f>"226.63"</f>
        <v>226.63</v>
      </c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 t="str">
        <f>"253.78"</f>
        <v>253.78</v>
      </c>
      <c r="AB596" s="15"/>
      <c r="AC596" s="15"/>
      <c r="AD596" s="15"/>
      <c r="AE596" s="15"/>
      <c r="AF596" s="15"/>
      <c r="AG596" s="15"/>
      <c r="AH596" s="15"/>
      <c r="AI596" s="15"/>
    </row>
    <row r="597" spans="1:35">
      <c r="A597" s="14">
        <v>595</v>
      </c>
      <c r="B597" s="14">
        <v>6275</v>
      </c>
      <c r="C597" s="14" t="s">
        <v>755</v>
      </c>
      <c r="D597" s="14" t="s">
        <v>45</v>
      </c>
      <c r="E597" s="15" t="str">
        <f>"272.97"</f>
        <v>272.97</v>
      </c>
      <c r="F597" s="15"/>
      <c r="G597" s="16" t="str">
        <f>"282.60"</f>
        <v>282.60</v>
      </c>
      <c r="H597" s="17">
        <f t="shared" si="9"/>
        <v>274.60000000000002</v>
      </c>
      <c r="I597" s="18" t="s">
        <v>43</v>
      </c>
      <c r="J597" s="15">
        <v>2</v>
      </c>
      <c r="K597" s="15">
        <v>2016</v>
      </c>
      <c r="L597" s="15" t="str">
        <f>"291.33"</f>
        <v>291.33</v>
      </c>
      <c r="M597" s="15" t="str">
        <f>"254.60"</f>
        <v>254.60</v>
      </c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</row>
    <row r="598" spans="1:35">
      <c r="A598" s="14">
        <v>596</v>
      </c>
      <c r="B598" s="14">
        <v>10408</v>
      </c>
      <c r="C598" s="14" t="s">
        <v>756</v>
      </c>
      <c r="D598" s="14" t="s">
        <v>58</v>
      </c>
      <c r="E598" s="15" t="str">
        <f>"283.40"</f>
        <v>283.40</v>
      </c>
      <c r="F598" s="15"/>
      <c r="G598" s="16" t="str">
        <f>"283.40"</f>
        <v>283.40</v>
      </c>
      <c r="H598" s="17">
        <f t="shared" si="9"/>
        <v>275.39999999999998</v>
      </c>
      <c r="I598" s="18"/>
      <c r="J598" s="15">
        <v>3</v>
      </c>
      <c r="K598" s="15">
        <v>2016</v>
      </c>
      <c r="L598" s="15" t="str">
        <f>"332.74"</f>
        <v>332.74</v>
      </c>
      <c r="M598" s="15"/>
      <c r="N598" s="15"/>
      <c r="O598" s="15"/>
      <c r="P598" s="15" t="str">
        <f>"327.11"</f>
        <v>327.11</v>
      </c>
      <c r="Q598" s="15"/>
      <c r="R598" s="15"/>
      <c r="S598" s="15"/>
      <c r="T598" s="15"/>
      <c r="U598" s="15" t="str">
        <f>"666.76"</f>
        <v>666.76</v>
      </c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 t="str">
        <f>"239.68"</f>
        <v>239.68</v>
      </c>
      <c r="AG598" s="15"/>
      <c r="AH598" s="15"/>
      <c r="AI598" s="15"/>
    </row>
    <row r="599" spans="1:35">
      <c r="A599" s="14">
        <v>597</v>
      </c>
      <c r="B599" s="14">
        <v>5733</v>
      </c>
      <c r="C599" s="14" t="s">
        <v>757</v>
      </c>
      <c r="D599" s="14" t="s">
        <v>758</v>
      </c>
      <c r="E599" s="15" t="str">
        <f>"256.67"</f>
        <v>256.67</v>
      </c>
      <c r="F599" s="15"/>
      <c r="G599" s="16" t="str">
        <f>"284.67"</f>
        <v>284.67</v>
      </c>
      <c r="H599" s="17">
        <f t="shared" si="9"/>
        <v>276.67</v>
      </c>
      <c r="I599" s="18" t="s">
        <v>40</v>
      </c>
      <c r="J599" s="15">
        <v>1</v>
      </c>
      <c r="K599" s="15">
        <v>2016</v>
      </c>
      <c r="L599" s="15" t="str">
        <f>"256.67"</f>
        <v>256.67</v>
      </c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</row>
    <row r="600" spans="1:35">
      <c r="A600" s="14">
        <v>598</v>
      </c>
      <c r="B600" s="14">
        <v>311</v>
      </c>
      <c r="C600" s="14" t="s">
        <v>759</v>
      </c>
      <c r="D600" s="14" t="s">
        <v>187</v>
      </c>
      <c r="E600" s="15" t="str">
        <f>"285.26"</f>
        <v>285.26</v>
      </c>
      <c r="F600" s="15"/>
      <c r="G600" s="16" t="str">
        <f>"285.26"</f>
        <v>285.26</v>
      </c>
      <c r="H600" s="17">
        <f t="shared" si="9"/>
        <v>277.26</v>
      </c>
      <c r="I600" s="18" t="s">
        <v>43</v>
      </c>
      <c r="J600" s="15">
        <v>4</v>
      </c>
      <c r="K600" s="15">
        <v>2016</v>
      </c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 t="str">
        <f>"257.26"</f>
        <v>257.26</v>
      </c>
      <c r="AB600" s="15"/>
      <c r="AC600" s="15"/>
      <c r="AD600" s="15"/>
      <c r="AE600" s="15"/>
      <c r="AF600" s="15"/>
      <c r="AG600" s="15"/>
      <c r="AH600" s="15"/>
      <c r="AI600" s="15"/>
    </row>
    <row r="601" spans="1:35">
      <c r="A601" s="14">
        <v>599</v>
      </c>
      <c r="B601" s="14">
        <v>6468</v>
      </c>
      <c r="C601" s="14" t="s">
        <v>760</v>
      </c>
      <c r="D601" s="14" t="s">
        <v>761</v>
      </c>
      <c r="E601" s="15" t="str">
        <f>"257.29"</f>
        <v>257.29</v>
      </c>
      <c r="F601" s="15"/>
      <c r="G601" s="16" t="str">
        <f>"285.29"</f>
        <v>285.29</v>
      </c>
      <c r="H601" s="17">
        <f t="shared" si="9"/>
        <v>277.29000000000002</v>
      </c>
      <c r="I601" s="18" t="s">
        <v>40</v>
      </c>
      <c r="J601" s="15">
        <v>1</v>
      </c>
      <c r="K601" s="15">
        <v>2016</v>
      </c>
      <c r="L601" s="15" t="str">
        <f>"257.29"</f>
        <v>257.29</v>
      </c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</row>
    <row r="602" spans="1:35">
      <c r="A602" s="14">
        <v>600</v>
      </c>
      <c r="B602" s="14">
        <v>4595</v>
      </c>
      <c r="C602" s="14" t="s">
        <v>762</v>
      </c>
      <c r="D602" s="14" t="s">
        <v>211</v>
      </c>
      <c r="E602" s="15" t="str">
        <f>"254.24"</f>
        <v>254.24</v>
      </c>
      <c r="F602" s="15"/>
      <c r="G602" s="16" t="str">
        <f>"285.41"</f>
        <v>285.41</v>
      </c>
      <c r="H602" s="17">
        <f t="shared" si="9"/>
        <v>277.41000000000003</v>
      </c>
      <c r="I602" s="18" t="s">
        <v>43</v>
      </c>
      <c r="J602" s="15">
        <v>2</v>
      </c>
      <c r="K602" s="15">
        <v>2016</v>
      </c>
      <c r="L602" s="15" t="str">
        <f>"254.24"</f>
        <v>254.24</v>
      </c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 t="str">
        <f>"257.41"</f>
        <v>257.41</v>
      </c>
      <c r="AB602" s="15"/>
      <c r="AC602" s="15"/>
      <c r="AD602" s="15"/>
      <c r="AE602" s="15"/>
      <c r="AF602" s="15"/>
      <c r="AG602" s="15"/>
      <c r="AH602" s="15"/>
      <c r="AI602" s="15"/>
    </row>
    <row r="603" spans="1:35">
      <c r="A603" s="14">
        <v>601</v>
      </c>
      <c r="B603" s="14">
        <v>10161</v>
      </c>
      <c r="C603" s="14" t="s">
        <v>763</v>
      </c>
      <c r="D603" s="14" t="s">
        <v>58</v>
      </c>
      <c r="E603" s="15" t="str">
        <f>"286.21"</f>
        <v>286.21</v>
      </c>
      <c r="F603" s="15"/>
      <c r="G603" s="16" t="str">
        <f>"286.21"</f>
        <v>286.21</v>
      </c>
      <c r="H603" s="17">
        <f t="shared" si="9"/>
        <v>278.20999999999998</v>
      </c>
      <c r="I603" s="18"/>
      <c r="J603" s="15">
        <v>3</v>
      </c>
      <c r="K603" s="15">
        <v>2016</v>
      </c>
      <c r="L603" s="15" t="str">
        <f>"496.29"</f>
        <v>496.29</v>
      </c>
      <c r="M603" s="15"/>
      <c r="N603" s="15"/>
      <c r="O603" s="15"/>
      <c r="P603" s="15" t="str">
        <f>"370.09"</f>
        <v>370.09</v>
      </c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 t="str">
        <f>"289.87"</f>
        <v>289.87</v>
      </c>
      <c r="AH603" s="15" t="str">
        <f>"290.96"</f>
        <v>290.96</v>
      </c>
      <c r="AI603" s="15" t="str">
        <f>"282.55"</f>
        <v>282.55</v>
      </c>
    </row>
    <row r="604" spans="1:35">
      <c r="A604" s="14">
        <v>602</v>
      </c>
      <c r="B604" s="14">
        <v>1812</v>
      </c>
      <c r="C604" s="14" t="s">
        <v>764</v>
      </c>
      <c r="D604" s="14" t="s">
        <v>47</v>
      </c>
      <c r="E604" s="15" t="str">
        <f>"237.48"</f>
        <v>237.48</v>
      </c>
      <c r="F604" s="15"/>
      <c r="G604" s="16" t="str">
        <f>"286.25"</f>
        <v>286.25</v>
      </c>
      <c r="H604" s="17">
        <f t="shared" si="9"/>
        <v>278.25</v>
      </c>
      <c r="I604" s="18"/>
      <c r="J604" s="15">
        <v>3</v>
      </c>
      <c r="K604" s="15">
        <v>2016</v>
      </c>
      <c r="L604" s="15" t="str">
        <f>"242.73"</f>
        <v>242.73</v>
      </c>
      <c r="M604" s="15"/>
      <c r="N604" s="15"/>
      <c r="O604" s="15"/>
      <c r="P604" s="15"/>
      <c r="Q604" s="15"/>
      <c r="R604" s="15" t="str">
        <f>"340.27"</f>
        <v>340.27</v>
      </c>
      <c r="S604" s="15"/>
      <c r="T604" s="15"/>
      <c r="U604" s="15"/>
      <c r="V604" s="15"/>
      <c r="W604" s="15" t="str">
        <f>"232.22"</f>
        <v>232.22</v>
      </c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</row>
    <row r="605" spans="1:35">
      <c r="A605" s="14">
        <v>603</v>
      </c>
      <c r="B605" s="14">
        <v>10173</v>
      </c>
      <c r="C605" s="14" t="s">
        <v>765</v>
      </c>
      <c r="D605" s="14" t="s">
        <v>58</v>
      </c>
      <c r="E605" s="15" t="str">
        <f>"286.67"</f>
        <v>286.67</v>
      </c>
      <c r="F605" s="15"/>
      <c r="G605" s="16" t="str">
        <f>"286.67"</f>
        <v>286.67</v>
      </c>
      <c r="H605" s="17">
        <f t="shared" si="9"/>
        <v>278.67</v>
      </c>
      <c r="I605" s="18"/>
      <c r="J605" s="15">
        <v>3</v>
      </c>
      <c r="K605" s="15">
        <v>2016</v>
      </c>
      <c r="L605" s="15" t="str">
        <f>"490.13"</f>
        <v>490.13</v>
      </c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 t="str">
        <f>"300.20"</f>
        <v>300.20</v>
      </c>
      <c r="AH605" s="15" t="str">
        <f>"273.14"</f>
        <v>273.14</v>
      </c>
      <c r="AI605" s="15"/>
    </row>
    <row r="606" spans="1:35">
      <c r="A606" s="14">
        <v>604</v>
      </c>
      <c r="B606" s="14">
        <v>6857</v>
      </c>
      <c r="C606" s="14" t="s">
        <v>766</v>
      </c>
      <c r="D606" s="14" t="s">
        <v>139</v>
      </c>
      <c r="E606" s="15" t="str">
        <f>"247.42"</f>
        <v>247.42</v>
      </c>
      <c r="F606" s="15"/>
      <c r="G606" s="16" t="str">
        <f>"287.54"</f>
        <v>287.54</v>
      </c>
      <c r="H606" s="17">
        <f t="shared" si="9"/>
        <v>279.54000000000002</v>
      </c>
      <c r="I606" s="18"/>
      <c r="J606" s="15">
        <v>3</v>
      </c>
      <c r="K606" s="15">
        <v>2016</v>
      </c>
      <c r="L606" s="15" t="str">
        <f>"247.42"</f>
        <v>247.42</v>
      </c>
      <c r="M606" s="15"/>
      <c r="N606" s="15"/>
      <c r="O606" s="15"/>
      <c r="P606" s="15"/>
      <c r="Q606" s="15"/>
      <c r="R606" s="15"/>
      <c r="S606" s="15"/>
      <c r="T606" s="15"/>
      <c r="U606" s="15"/>
      <c r="V606" s="15" t="str">
        <f>"321.65"</f>
        <v>321.65</v>
      </c>
      <c r="W606" s="15"/>
      <c r="X606" s="15"/>
      <c r="Y606" s="15"/>
      <c r="Z606" s="15"/>
      <c r="AA606" s="15"/>
      <c r="AB606" s="15"/>
      <c r="AC606" s="15" t="str">
        <f>"253.42"</f>
        <v>253.42</v>
      </c>
      <c r="AD606" s="15"/>
      <c r="AE606" s="15"/>
      <c r="AF606" s="15"/>
      <c r="AG606" s="15"/>
      <c r="AH606" s="15"/>
      <c r="AI606" s="15"/>
    </row>
    <row r="607" spans="1:35">
      <c r="A607" s="14">
        <v>605</v>
      </c>
      <c r="B607" s="14">
        <v>6692</v>
      </c>
      <c r="C607" s="14" t="s">
        <v>767</v>
      </c>
      <c r="D607" s="14" t="s">
        <v>95</v>
      </c>
      <c r="E607" s="15" t="str">
        <f>"259.84"</f>
        <v>259.84</v>
      </c>
      <c r="F607" s="15"/>
      <c r="G607" s="16" t="str">
        <f>"287.84"</f>
        <v>287.84</v>
      </c>
      <c r="H607" s="17">
        <f t="shared" si="9"/>
        <v>279.83999999999997</v>
      </c>
      <c r="I607" s="18" t="s">
        <v>40</v>
      </c>
      <c r="J607" s="15">
        <v>1</v>
      </c>
      <c r="K607" s="15">
        <v>2016</v>
      </c>
      <c r="L607" s="15" t="str">
        <f>"259.84"</f>
        <v>259.84</v>
      </c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</row>
    <row r="608" spans="1:35">
      <c r="A608" s="14">
        <v>606</v>
      </c>
      <c r="B608" s="14">
        <v>5381</v>
      </c>
      <c r="C608" s="14" t="s">
        <v>768</v>
      </c>
      <c r="D608" s="14" t="s">
        <v>265</v>
      </c>
      <c r="E608" s="15" t="str">
        <f>"278.70"</f>
        <v>278.70</v>
      </c>
      <c r="F608" s="15"/>
      <c r="G608" s="16" t="str">
        <f>"287.84"</f>
        <v>287.84</v>
      </c>
      <c r="H608" s="17">
        <f t="shared" si="9"/>
        <v>279.83999999999997</v>
      </c>
      <c r="I608" s="18" t="s">
        <v>43</v>
      </c>
      <c r="J608" s="15">
        <v>2</v>
      </c>
      <c r="K608" s="15">
        <v>2016</v>
      </c>
      <c r="L608" s="15" t="str">
        <f>"297.55"</f>
        <v>297.55</v>
      </c>
      <c r="M608" s="15" t="str">
        <f>"259.84"</f>
        <v>259.84</v>
      </c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</row>
    <row r="609" spans="1:35">
      <c r="A609" s="14">
        <v>607</v>
      </c>
      <c r="B609" s="14">
        <v>5757</v>
      </c>
      <c r="C609" s="14" t="s">
        <v>769</v>
      </c>
      <c r="D609" s="14" t="s">
        <v>197</v>
      </c>
      <c r="E609" s="15" t="str">
        <f>"348.00"</f>
        <v>348.00</v>
      </c>
      <c r="F609" s="15"/>
      <c r="G609" s="16" t="str">
        <f>"287.99"</f>
        <v>287.99</v>
      </c>
      <c r="H609" s="17">
        <f t="shared" si="9"/>
        <v>279.99</v>
      </c>
      <c r="I609" s="18" t="s">
        <v>43</v>
      </c>
      <c r="J609" s="15">
        <v>2</v>
      </c>
      <c r="K609" s="15">
        <v>2016</v>
      </c>
      <c r="L609" s="15" t="str">
        <f>"436.01"</f>
        <v>436.01</v>
      </c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 t="str">
        <f>"259.99"</f>
        <v>259.99</v>
      </c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</row>
    <row r="610" spans="1:35">
      <c r="A610" s="14">
        <v>608</v>
      </c>
      <c r="B610" s="14">
        <v>8647</v>
      </c>
      <c r="C610" s="14" t="s">
        <v>770</v>
      </c>
      <c r="D610" s="14" t="s">
        <v>51</v>
      </c>
      <c r="E610" s="15" t="str">
        <f>"189.11"</f>
        <v>189.11</v>
      </c>
      <c r="F610" s="15"/>
      <c r="G610" s="16" t="str">
        <f>"288.47"</f>
        <v>288.47</v>
      </c>
      <c r="H610" s="17">
        <f t="shared" si="9"/>
        <v>280.47000000000003</v>
      </c>
      <c r="I610" s="18"/>
      <c r="J610" s="15">
        <v>3</v>
      </c>
      <c r="K610" s="15">
        <v>2016</v>
      </c>
      <c r="L610" s="15" t="str">
        <f>"189.11"</f>
        <v>189.11</v>
      </c>
      <c r="M610" s="15"/>
      <c r="N610" s="15"/>
      <c r="O610" s="15"/>
      <c r="P610" s="15"/>
      <c r="Q610" s="15"/>
      <c r="R610" s="15"/>
      <c r="S610" s="15"/>
      <c r="T610" s="15" t="str">
        <f>"250.63"</f>
        <v>250.63</v>
      </c>
      <c r="U610" s="15"/>
      <c r="V610" s="15"/>
      <c r="W610" s="15"/>
      <c r="X610" s="15"/>
      <c r="Y610" s="15" t="str">
        <f>"326.30"</f>
        <v>326.30</v>
      </c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</row>
    <row r="611" spans="1:35">
      <c r="A611" s="14">
        <v>609</v>
      </c>
      <c r="B611" s="14">
        <v>5717</v>
      </c>
      <c r="C611" s="14" t="s">
        <v>771</v>
      </c>
      <c r="D611" s="14" t="s">
        <v>51</v>
      </c>
      <c r="E611" s="15" t="str">
        <f>"260.52"</f>
        <v>260.52</v>
      </c>
      <c r="F611" s="15"/>
      <c r="G611" s="16" t="str">
        <f>"288.52"</f>
        <v>288.52</v>
      </c>
      <c r="H611" s="17">
        <f t="shared" si="9"/>
        <v>280.52</v>
      </c>
      <c r="I611" s="18" t="s">
        <v>40</v>
      </c>
      <c r="J611" s="15">
        <v>1</v>
      </c>
      <c r="K611" s="15">
        <v>2016</v>
      </c>
      <c r="L611" s="15" t="str">
        <f>"260.52"</f>
        <v>260.52</v>
      </c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</row>
    <row r="612" spans="1:35">
      <c r="A612" s="14">
        <v>610</v>
      </c>
      <c r="B612" s="14">
        <v>11022</v>
      </c>
      <c r="C612" s="14" t="s">
        <v>772</v>
      </c>
      <c r="D612" s="14" t="s">
        <v>144</v>
      </c>
      <c r="E612" s="15" t="str">
        <f>"288.91"</f>
        <v>288.91</v>
      </c>
      <c r="F612" s="15"/>
      <c r="G612" s="16" t="str">
        <f>"288.91"</f>
        <v>288.91</v>
      </c>
      <c r="H612" s="17">
        <f t="shared" si="9"/>
        <v>280.91000000000003</v>
      </c>
      <c r="I612" s="18" t="s">
        <v>43</v>
      </c>
      <c r="J612" s="15">
        <v>4</v>
      </c>
      <c r="K612" s="15">
        <v>2016</v>
      </c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 t="str">
        <f>"260.91"</f>
        <v>260.91</v>
      </c>
      <c r="AA612" s="15"/>
      <c r="AB612" s="15"/>
      <c r="AC612" s="15"/>
      <c r="AD612" s="15"/>
      <c r="AE612" s="15"/>
      <c r="AF612" s="15"/>
      <c r="AG612" s="15"/>
      <c r="AH612" s="15"/>
      <c r="AI612" s="15"/>
    </row>
    <row r="613" spans="1:35">
      <c r="A613" s="14">
        <v>611</v>
      </c>
      <c r="B613" s="14">
        <v>6590</v>
      </c>
      <c r="C613" s="14" t="s">
        <v>773</v>
      </c>
      <c r="D613" s="14" t="s">
        <v>45</v>
      </c>
      <c r="E613" s="15" t="str">
        <f>"261.27"</f>
        <v>261.27</v>
      </c>
      <c r="F613" s="15"/>
      <c r="G613" s="16" t="str">
        <f>"289.27"</f>
        <v>289.27</v>
      </c>
      <c r="H613" s="17">
        <f t="shared" si="9"/>
        <v>281.27</v>
      </c>
      <c r="I613" s="18" t="s">
        <v>40</v>
      </c>
      <c r="J613" s="15">
        <v>1</v>
      </c>
      <c r="K613" s="15">
        <v>2016</v>
      </c>
      <c r="L613" s="15" t="str">
        <f>"261.27"</f>
        <v>261.27</v>
      </c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</row>
    <row r="614" spans="1:35">
      <c r="A614" s="14">
        <v>612</v>
      </c>
      <c r="B614" s="14">
        <v>2292</v>
      </c>
      <c r="C614" s="14" t="s">
        <v>774</v>
      </c>
      <c r="D614" s="14" t="s">
        <v>51</v>
      </c>
      <c r="E614" s="15" t="str">
        <f>"203.43"</f>
        <v>203.43</v>
      </c>
      <c r="F614" s="15"/>
      <c r="G614" s="16" t="str">
        <f>"290.18"</f>
        <v>290.18</v>
      </c>
      <c r="H614" s="17">
        <f t="shared" si="9"/>
        <v>282.18</v>
      </c>
      <c r="I614" s="18"/>
      <c r="J614" s="15">
        <v>3</v>
      </c>
      <c r="K614" s="15">
        <v>2016</v>
      </c>
      <c r="L614" s="15" t="str">
        <f>"203.43"</f>
        <v>203.43</v>
      </c>
      <c r="M614" s="15"/>
      <c r="N614" s="15"/>
      <c r="O614" s="15"/>
      <c r="P614" s="15"/>
      <c r="Q614" s="15"/>
      <c r="R614" s="15"/>
      <c r="S614" s="15"/>
      <c r="T614" s="15" t="str">
        <f>"313.70"</f>
        <v>313.70</v>
      </c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 t="str">
        <f>"266.65"</f>
        <v>266.65</v>
      </c>
      <c r="AH614" s="15"/>
      <c r="AI614" s="15"/>
    </row>
    <row r="615" spans="1:35">
      <c r="A615" s="14">
        <v>613</v>
      </c>
      <c r="B615" s="14">
        <v>2278</v>
      </c>
      <c r="C615" s="14" t="s">
        <v>775</v>
      </c>
      <c r="D615" s="14" t="s">
        <v>51</v>
      </c>
      <c r="E615" s="15" t="str">
        <f>"290.20"</f>
        <v>290.20</v>
      </c>
      <c r="F615" s="15"/>
      <c r="G615" s="16" t="str">
        <f>"290.20"</f>
        <v>290.20</v>
      </c>
      <c r="H615" s="17">
        <f t="shared" si="9"/>
        <v>282.2</v>
      </c>
      <c r="I615" s="18"/>
      <c r="J615" s="15">
        <v>3</v>
      </c>
      <c r="K615" s="15">
        <v>2016</v>
      </c>
      <c r="L615" s="15" t="str">
        <f>"406.52"</f>
        <v>406.52</v>
      </c>
      <c r="M615" s="15"/>
      <c r="N615" s="15"/>
      <c r="O615" s="15"/>
      <c r="P615" s="15"/>
      <c r="Q615" s="15"/>
      <c r="R615" s="15"/>
      <c r="S615" s="15" t="str">
        <f>"361.65"</f>
        <v>361.65</v>
      </c>
      <c r="T615" s="15"/>
      <c r="U615" s="15"/>
      <c r="V615" s="15"/>
      <c r="W615" s="15"/>
      <c r="X615" s="15" t="str">
        <f>"295.57"</f>
        <v>295.57</v>
      </c>
      <c r="Y615" s="15" t="str">
        <f>"285.28"</f>
        <v>285.28</v>
      </c>
      <c r="Z615" s="15"/>
      <c r="AA615" s="15"/>
      <c r="AB615" s="15"/>
      <c r="AC615" s="15"/>
      <c r="AD615" s="15"/>
      <c r="AE615" s="15"/>
      <c r="AF615" s="15"/>
      <c r="AG615" s="15" t="str">
        <f>"295.12"</f>
        <v>295.12</v>
      </c>
      <c r="AH615" s="15" t="str">
        <f>"305.94"</f>
        <v>305.94</v>
      </c>
      <c r="AI615" s="15" t="str">
        <f>"325.10"</f>
        <v>325.10</v>
      </c>
    </row>
    <row r="616" spans="1:35">
      <c r="A616" s="14">
        <v>614</v>
      </c>
      <c r="B616" s="14">
        <v>10167</v>
      </c>
      <c r="C616" s="14" t="s">
        <v>776</v>
      </c>
      <c r="D616" s="14" t="s">
        <v>58</v>
      </c>
      <c r="E616" s="15" t="str">
        <f>"291.42"</f>
        <v>291.42</v>
      </c>
      <c r="F616" s="15"/>
      <c r="G616" s="16" t="str">
        <f>"291.42"</f>
        <v>291.42</v>
      </c>
      <c r="H616" s="17">
        <f t="shared" si="9"/>
        <v>283.42</v>
      </c>
      <c r="I616" s="18"/>
      <c r="J616" s="15">
        <v>3</v>
      </c>
      <c r="K616" s="15">
        <v>2016</v>
      </c>
      <c r="L616" s="15" t="str">
        <f>"506.31"</f>
        <v>506.31</v>
      </c>
      <c r="M616" s="15"/>
      <c r="N616" s="15"/>
      <c r="O616" s="15"/>
      <c r="P616" s="15"/>
      <c r="Q616" s="15"/>
      <c r="R616" s="15"/>
      <c r="S616" s="15"/>
      <c r="T616" s="15"/>
      <c r="U616" s="15" t="str">
        <f>"583.06"</f>
        <v>583.06</v>
      </c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 t="str">
        <f>"294.11"</f>
        <v>294.11</v>
      </c>
      <c r="AI616" s="15" t="str">
        <f>"288.72"</f>
        <v>288.72</v>
      </c>
    </row>
    <row r="617" spans="1:35">
      <c r="A617" s="14">
        <v>615</v>
      </c>
      <c r="B617" s="14">
        <v>1266</v>
      </c>
      <c r="C617" s="14" t="s">
        <v>777</v>
      </c>
      <c r="D617" s="14" t="s">
        <v>603</v>
      </c>
      <c r="E617" s="15" t="str">
        <f>"287.05"</f>
        <v>287.05</v>
      </c>
      <c r="F617" s="15"/>
      <c r="G617" s="16" t="str">
        <f>"291.98"</f>
        <v>291.98</v>
      </c>
      <c r="H617" s="17">
        <f t="shared" si="9"/>
        <v>283.98</v>
      </c>
      <c r="I617" s="18" t="s">
        <v>43</v>
      </c>
      <c r="J617" s="15">
        <v>2</v>
      </c>
      <c r="K617" s="15">
        <v>2016</v>
      </c>
      <c r="L617" s="15" t="str">
        <f>"310.11"</f>
        <v>310.11</v>
      </c>
      <c r="M617" s="15"/>
      <c r="N617" s="15"/>
      <c r="O617" s="15"/>
      <c r="P617" s="15"/>
      <c r="Q617" s="15"/>
      <c r="R617" s="15" t="str">
        <f>"263.98"</f>
        <v>263.98</v>
      </c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</row>
    <row r="618" spans="1:35">
      <c r="A618" s="14">
        <v>616</v>
      </c>
      <c r="B618" s="14">
        <v>4113</v>
      </c>
      <c r="C618" s="14" t="s">
        <v>778</v>
      </c>
      <c r="D618" s="14" t="s">
        <v>601</v>
      </c>
      <c r="E618" s="15" t="str">
        <f>"292.25"</f>
        <v>292.25</v>
      </c>
      <c r="F618" s="15"/>
      <c r="G618" s="16" t="str">
        <f>"292.25"</f>
        <v>292.25</v>
      </c>
      <c r="H618" s="17">
        <f t="shared" si="9"/>
        <v>284.25</v>
      </c>
      <c r="I618" s="18" t="s">
        <v>43</v>
      </c>
      <c r="J618" s="15">
        <v>4</v>
      </c>
      <c r="K618" s="15">
        <v>2016</v>
      </c>
      <c r="L618" s="15"/>
      <c r="M618" s="15"/>
      <c r="N618" s="15"/>
      <c r="O618" s="15"/>
      <c r="P618" s="15"/>
      <c r="Q618" s="15"/>
      <c r="R618" s="15" t="str">
        <f>"264.25"</f>
        <v>264.25</v>
      </c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</row>
    <row r="619" spans="1:35">
      <c r="A619" s="14">
        <v>617</v>
      </c>
      <c r="B619" s="14">
        <v>5903</v>
      </c>
      <c r="C619" s="14" t="s">
        <v>779</v>
      </c>
      <c r="D619" s="14" t="s">
        <v>671</v>
      </c>
      <c r="E619" s="15" t="str">
        <f>"265.64"</f>
        <v>265.64</v>
      </c>
      <c r="F619" s="15"/>
      <c r="G619" s="16" t="str">
        <f>"293.64"</f>
        <v>293.64</v>
      </c>
      <c r="H619" s="17">
        <f t="shared" si="9"/>
        <v>285.64</v>
      </c>
      <c r="I619" s="18" t="s">
        <v>40</v>
      </c>
      <c r="J619" s="15">
        <v>1</v>
      </c>
      <c r="K619" s="15">
        <v>2016</v>
      </c>
      <c r="L619" s="15" t="str">
        <f>"265.64"</f>
        <v>265.64</v>
      </c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</row>
    <row r="620" spans="1:35">
      <c r="A620" s="14">
        <v>618</v>
      </c>
      <c r="B620" s="14">
        <v>10593</v>
      </c>
      <c r="C620" s="14" t="s">
        <v>780</v>
      </c>
      <c r="D620" s="14" t="s">
        <v>51</v>
      </c>
      <c r="E620" s="15" t="str">
        <f>"294.41"</f>
        <v>294.41</v>
      </c>
      <c r="F620" s="15"/>
      <c r="G620" s="16" t="str">
        <f>"294.41"</f>
        <v>294.41</v>
      </c>
      <c r="H620" s="17">
        <f t="shared" si="9"/>
        <v>286.41000000000003</v>
      </c>
      <c r="I620" s="18"/>
      <c r="J620" s="15">
        <v>3</v>
      </c>
      <c r="K620" s="15">
        <v>2016</v>
      </c>
      <c r="L620" s="15" t="str">
        <f>"341.43"</f>
        <v>341.43</v>
      </c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 t="str">
        <f>"298.64"</f>
        <v>298.64</v>
      </c>
      <c r="Y620" s="15" t="str">
        <f>"307.58"</f>
        <v>307.58</v>
      </c>
      <c r="Z620" s="15"/>
      <c r="AA620" s="15"/>
      <c r="AB620" s="15"/>
      <c r="AC620" s="15"/>
      <c r="AD620" s="15"/>
      <c r="AE620" s="15" t="str">
        <f>"290.18"</f>
        <v>290.18</v>
      </c>
      <c r="AF620" s="15"/>
      <c r="AG620" s="15"/>
      <c r="AH620" s="15"/>
      <c r="AI620" s="15"/>
    </row>
    <row r="621" spans="1:35">
      <c r="A621" s="14">
        <v>619</v>
      </c>
      <c r="B621" s="14">
        <v>10002</v>
      </c>
      <c r="C621" s="14" t="s">
        <v>781</v>
      </c>
      <c r="D621" s="14" t="s">
        <v>51</v>
      </c>
      <c r="E621" s="15" t="str">
        <f>"279.04"</f>
        <v>279.04</v>
      </c>
      <c r="F621" s="15"/>
      <c r="G621" s="16" t="str">
        <f>"295.88"</f>
        <v>295.88</v>
      </c>
      <c r="H621" s="17">
        <f t="shared" si="9"/>
        <v>287.88</v>
      </c>
      <c r="I621" s="18"/>
      <c r="J621" s="15">
        <v>3</v>
      </c>
      <c r="K621" s="15">
        <v>2016</v>
      </c>
      <c r="L621" s="15" t="str">
        <f>"279.04"</f>
        <v>279.04</v>
      </c>
      <c r="M621" s="15"/>
      <c r="N621" s="15"/>
      <c r="O621" s="15"/>
      <c r="P621" s="15"/>
      <c r="Q621" s="15"/>
      <c r="R621" s="15"/>
      <c r="S621" s="15" t="str">
        <f>"290.99"</f>
        <v>290.99</v>
      </c>
      <c r="T621" s="15" t="str">
        <f>"379.40"</f>
        <v>379.40</v>
      </c>
      <c r="U621" s="15"/>
      <c r="V621" s="15"/>
      <c r="W621" s="15"/>
      <c r="X621" s="15" t="str">
        <f>"300.76"</f>
        <v>300.76</v>
      </c>
      <c r="Y621" s="15" t="str">
        <f>"339.21"</f>
        <v>339.21</v>
      </c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</row>
    <row r="622" spans="1:35">
      <c r="A622" s="14">
        <v>620</v>
      </c>
      <c r="B622" s="14">
        <v>10136</v>
      </c>
      <c r="C622" s="14" t="s">
        <v>782</v>
      </c>
      <c r="D622" s="14" t="s">
        <v>58</v>
      </c>
      <c r="E622" s="15" t="str">
        <f>"296.06"</f>
        <v>296.06</v>
      </c>
      <c r="F622" s="15"/>
      <c r="G622" s="16" t="str">
        <f>"296.06"</f>
        <v>296.06</v>
      </c>
      <c r="H622" s="17">
        <f t="shared" si="9"/>
        <v>288.06</v>
      </c>
      <c r="I622" s="18"/>
      <c r="J622" s="15">
        <v>3</v>
      </c>
      <c r="K622" s="15">
        <v>2016</v>
      </c>
      <c r="L622" s="15" t="str">
        <f>"430.58"</f>
        <v>430.58</v>
      </c>
      <c r="M622" s="15"/>
      <c r="N622" s="15"/>
      <c r="O622" s="15"/>
      <c r="P622" s="15"/>
      <c r="Q622" s="15"/>
      <c r="R622" s="15"/>
      <c r="S622" s="15"/>
      <c r="T622" s="15"/>
      <c r="U622" s="15" t="str">
        <f>"387.02"</f>
        <v>387.02</v>
      </c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 t="str">
        <f>"205.10"</f>
        <v>205.10</v>
      </c>
      <c r="AH622" s="15" t="str">
        <f>"405.15"</f>
        <v>405.15</v>
      </c>
      <c r="AI622" s="15"/>
    </row>
    <row r="623" spans="1:35">
      <c r="A623" s="14">
        <v>621</v>
      </c>
      <c r="B623" s="14">
        <v>10151</v>
      </c>
      <c r="C623" s="14" t="s">
        <v>783</v>
      </c>
      <c r="D623" s="14" t="s">
        <v>58</v>
      </c>
      <c r="E623" s="15" t="str">
        <f>"296.84"</f>
        <v>296.84</v>
      </c>
      <c r="F623" s="15"/>
      <c r="G623" s="16" t="str">
        <f>"296.84"</f>
        <v>296.84</v>
      </c>
      <c r="H623" s="17">
        <f t="shared" si="9"/>
        <v>288.83999999999997</v>
      </c>
      <c r="I623" s="18"/>
      <c r="J623" s="15">
        <v>3</v>
      </c>
      <c r="K623" s="15">
        <v>2016</v>
      </c>
      <c r="L623" s="15" t="str">
        <f>"438.65"</f>
        <v>438.65</v>
      </c>
      <c r="M623" s="15"/>
      <c r="N623" s="15"/>
      <c r="O623" s="15"/>
      <c r="P623" s="15" t="str">
        <f>"398.14"</f>
        <v>398.14</v>
      </c>
      <c r="Q623" s="15"/>
      <c r="R623" s="15"/>
      <c r="S623" s="15"/>
      <c r="T623" s="15"/>
      <c r="U623" s="15" t="str">
        <f>"607.84"</f>
        <v>607.84</v>
      </c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 t="str">
        <f>"254.77"</f>
        <v>254.77</v>
      </c>
      <c r="AG623" s="15"/>
      <c r="AH623" s="15" t="str">
        <f>"338.91"</f>
        <v>338.91</v>
      </c>
      <c r="AI623" s="15"/>
    </row>
    <row r="624" spans="1:35">
      <c r="A624" s="14">
        <v>622</v>
      </c>
      <c r="B624" s="14">
        <v>2275</v>
      </c>
      <c r="C624" s="14" t="s">
        <v>784</v>
      </c>
      <c r="D624" s="14" t="s">
        <v>100</v>
      </c>
      <c r="E624" s="15" t="str">
        <f>"296.98"</f>
        <v>296.98</v>
      </c>
      <c r="F624" s="15"/>
      <c r="G624" s="16" t="str">
        <f>"296.98"</f>
        <v>296.98</v>
      </c>
      <c r="H624" s="17">
        <f t="shared" si="9"/>
        <v>288.98</v>
      </c>
      <c r="I624" s="18" t="s">
        <v>43</v>
      </c>
      <c r="J624" s="15">
        <v>4</v>
      </c>
      <c r="K624" s="15">
        <v>2016</v>
      </c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 t="str">
        <f>"268.98"</f>
        <v>268.98</v>
      </c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</row>
    <row r="625" spans="1:35">
      <c r="A625" s="14">
        <v>623</v>
      </c>
      <c r="B625" s="14">
        <v>4128</v>
      </c>
      <c r="C625" s="14" t="s">
        <v>785</v>
      </c>
      <c r="D625" s="14" t="s">
        <v>139</v>
      </c>
      <c r="E625" s="15" t="str">
        <f>"254.89"</f>
        <v>254.89</v>
      </c>
      <c r="F625" s="15"/>
      <c r="G625" s="16" t="str">
        <f>"298.78"</f>
        <v>298.78</v>
      </c>
      <c r="H625" s="17">
        <f t="shared" si="9"/>
        <v>290.77999999999997</v>
      </c>
      <c r="I625" s="18"/>
      <c r="J625" s="15">
        <v>3</v>
      </c>
      <c r="K625" s="15">
        <v>2016</v>
      </c>
      <c r="L625" s="15" t="str">
        <f>"254.89"</f>
        <v>254.89</v>
      </c>
      <c r="M625" s="15"/>
      <c r="N625" s="15"/>
      <c r="O625" s="15"/>
      <c r="P625" s="15"/>
      <c r="Q625" s="15" t="str">
        <f>"286.64"</f>
        <v>286.64</v>
      </c>
      <c r="R625" s="15"/>
      <c r="S625" s="15"/>
      <c r="T625" s="15"/>
      <c r="U625" s="15"/>
      <c r="V625" s="15" t="str">
        <f>"406.77"</f>
        <v>406.77</v>
      </c>
      <c r="W625" s="15"/>
      <c r="X625" s="15"/>
      <c r="Y625" s="15"/>
      <c r="Z625" s="15"/>
      <c r="AA625" s="15"/>
      <c r="AB625" s="15"/>
      <c r="AC625" s="15"/>
      <c r="AD625" s="15"/>
      <c r="AE625" s="15" t="str">
        <f>"310.92"</f>
        <v>310.92</v>
      </c>
      <c r="AF625" s="15"/>
      <c r="AG625" s="15"/>
      <c r="AH625" s="15"/>
      <c r="AI625" s="15"/>
    </row>
    <row r="626" spans="1:35">
      <c r="A626" s="14">
        <v>624</v>
      </c>
      <c r="B626" s="14">
        <v>5720</v>
      </c>
      <c r="C626" s="14" t="s">
        <v>786</v>
      </c>
      <c r="D626" s="14" t="s">
        <v>174</v>
      </c>
      <c r="E626" s="15" t="str">
        <f>"285.70"</f>
        <v>285.70</v>
      </c>
      <c r="F626" s="15"/>
      <c r="G626" s="16" t="str">
        <f>"299.56"</f>
        <v>299.56</v>
      </c>
      <c r="H626" s="17">
        <f t="shared" si="9"/>
        <v>291.56</v>
      </c>
      <c r="I626" s="18"/>
      <c r="J626" s="15">
        <v>3</v>
      </c>
      <c r="K626" s="15">
        <v>2016</v>
      </c>
      <c r="L626" s="15" t="str">
        <f>"313.26"</f>
        <v>313.26</v>
      </c>
      <c r="M626" s="15"/>
      <c r="N626" s="15"/>
      <c r="O626" s="15"/>
      <c r="P626" s="15"/>
      <c r="Q626" s="15"/>
      <c r="R626" s="15"/>
      <c r="S626" s="15"/>
      <c r="T626" s="15"/>
      <c r="U626" s="15"/>
      <c r="V626" s="15" t="str">
        <f>"340.99"</f>
        <v>340.99</v>
      </c>
      <c r="W626" s="15"/>
      <c r="X626" s="15"/>
      <c r="Y626" s="15"/>
      <c r="Z626" s="15"/>
      <c r="AA626" s="15" t="str">
        <f>"258.13"</f>
        <v>258.13</v>
      </c>
      <c r="AB626" s="15"/>
      <c r="AC626" s="15"/>
      <c r="AD626" s="15"/>
      <c r="AE626" s="15"/>
      <c r="AF626" s="15"/>
      <c r="AG626" s="15"/>
      <c r="AH626" s="15"/>
      <c r="AI626" s="15"/>
    </row>
    <row r="627" spans="1:35">
      <c r="A627" s="14">
        <v>625</v>
      </c>
      <c r="B627" s="14">
        <v>4194</v>
      </c>
      <c r="C627" s="14" t="s">
        <v>787</v>
      </c>
      <c r="D627" s="14" t="s">
        <v>598</v>
      </c>
      <c r="E627" s="15" t="str">
        <f>"271.76"</f>
        <v>271.76</v>
      </c>
      <c r="F627" s="15"/>
      <c r="G627" s="16" t="str">
        <f>"299.76"</f>
        <v>299.76</v>
      </c>
      <c r="H627" s="17">
        <f t="shared" si="9"/>
        <v>291.76</v>
      </c>
      <c r="I627" s="18" t="s">
        <v>40</v>
      </c>
      <c r="J627" s="15">
        <v>1</v>
      </c>
      <c r="K627" s="15">
        <v>2016</v>
      </c>
      <c r="L627" s="15" t="str">
        <f>"271.76"</f>
        <v>271.76</v>
      </c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</row>
    <row r="628" spans="1:35">
      <c r="A628" s="14">
        <v>626</v>
      </c>
      <c r="B628" s="14">
        <v>10636</v>
      </c>
      <c r="C628" s="14" t="s">
        <v>788</v>
      </c>
      <c r="D628" s="14" t="s">
        <v>51</v>
      </c>
      <c r="E628" s="15" t="str">
        <f>"300.39"</f>
        <v>300.39</v>
      </c>
      <c r="F628" s="15"/>
      <c r="G628" s="16" t="str">
        <f>"300.39"</f>
        <v>300.39</v>
      </c>
      <c r="H628" s="17">
        <f t="shared" si="9"/>
        <v>292.39</v>
      </c>
      <c r="I628" s="18"/>
      <c r="J628" s="15">
        <v>3</v>
      </c>
      <c r="K628" s="15">
        <v>2016</v>
      </c>
      <c r="L628" s="15" t="str">
        <f>"430.38"</f>
        <v>430.38</v>
      </c>
      <c r="M628" s="15"/>
      <c r="N628" s="15"/>
      <c r="O628" s="15"/>
      <c r="P628" s="15"/>
      <c r="Q628" s="15"/>
      <c r="R628" s="15"/>
      <c r="S628" s="15" t="str">
        <f>"297.26"</f>
        <v>297.26</v>
      </c>
      <c r="T628" s="15" t="str">
        <f>"370.33"</f>
        <v>370.33</v>
      </c>
      <c r="U628" s="15"/>
      <c r="V628" s="15"/>
      <c r="W628" s="15"/>
      <c r="X628" s="15" t="str">
        <f>"311.99"</f>
        <v>311.99</v>
      </c>
      <c r="Y628" s="15" t="str">
        <f>"303.51"</f>
        <v>303.51</v>
      </c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</row>
    <row r="629" spans="1:35">
      <c r="A629" s="14">
        <v>627</v>
      </c>
      <c r="B629" s="14">
        <v>10584</v>
      </c>
      <c r="C629" s="14" t="s">
        <v>789</v>
      </c>
      <c r="D629" s="14" t="s">
        <v>51</v>
      </c>
      <c r="E629" s="15" t="str">
        <f>"300.60"</f>
        <v>300.60</v>
      </c>
      <c r="F629" s="15"/>
      <c r="G629" s="16" t="str">
        <f>"300.60"</f>
        <v>300.60</v>
      </c>
      <c r="H629" s="17">
        <f t="shared" si="9"/>
        <v>292.60000000000002</v>
      </c>
      <c r="I629" s="18"/>
      <c r="J629" s="15">
        <v>3</v>
      </c>
      <c r="K629" s="15">
        <v>2016</v>
      </c>
      <c r="L629" s="15" t="str">
        <f>"492.05"</f>
        <v>492.05</v>
      </c>
      <c r="M629" s="15"/>
      <c r="N629" s="15"/>
      <c r="O629" s="15"/>
      <c r="P629" s="15"/>
      <c r="Q629" s="15"/>
      <c r="R629" s="15"/>
      <c r="S629" s="15" t="str">
        <f>"373.96"</f>
        <v>373.96</v>
      </c>
      <c r="T629" s="15" t="str">
        <f>"391.17"</f>
        <v>391.17</v>
      </c>
      <c r="U629" s="15"/>
      <c r="V629" s="15"/>
      <c r="W629" s="15"/>
      <c r="X629" s="15" t="str">
        <f>"351.92"</f>
        <v>351.92</v>
      </c>
      <c r="Y629" s="15" t="str">
        <f>"346.43"</f>
        <v>346.43</v>
      </c>
      <c r="Z629" s="15"/>
      <c r="AA629" s="15"/>
      <c r="AB629" s="15"/>
      <c r="AC629" s="15"/>
      <c r="AD629" s="15"/>
      <c r="AE629" s="15"/>
      <c r="AF629" s="15"/>
      <c r="AG629" s="15" t="str">
        <f>"332.49"</f>
        <v>332.49</v>
      </c>
      <c r="AH629" s="15" t="str">
        <f>"302.00"</f>
        <v>302.00</v>
      </c>
      <c r="AI629" s="15" t="str">
        <f>"299.20"</f>
        <v>299.20</v>
      </c>
    </row>
    <row r="630" spans="1:35">
      <c r="A630" s="14">
        <v>628</v>
      </c>
      <c r="B630" s="14">
        <v>10368</v>
      </c>
      <c r="C630" s="14" t="s">
        <v>790</v>
      </c>
      <c r="D630" s="14" t="s">
        <v>254</v>
      </c>
      <c r="E630" s="15" t="str">
        <f>"279.95"</f>
        <v>279.95</v>
      </c>
      <c r="F630" s="15"/>
      <c r="G630" s="16" t="str">
        <f>"301.51"</f>
        <v>301.51</v>
      </c>
      <c r="H630" s="17">
        <f t="shared" si="9"/>
        <v>293.51</v>
      </c>
      <c r="I630" s="18" t="s">
        <v>43</v>
      </c>
      <c r="J630" s="15">
        <v>2</v>
      </c>
      <c r="K630" s="15">
        <v>2016</v>
      </c>
      <c r="L630" s="15" t="str">
        <f>"286.39"</f>
        <v>286.39</v>
      </c>
      <c r="M630" s="15"/>
      <c r="N630" s="15"/>
      <c r="O630" s="15"/>
      <c r="P630" s="15"/>
      <c r="Q630" s="15"/>
      <c r="R630" s="15" t="str">
        <f>"273.51"</f>
        <v>273.51</v>
      </c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</row>
    <row r="631" spans="1:35">
      <c r="A631" s="14">
        <v>629</v>
      </c>
      <c r="B631" s="14">
        <v>2296</v>
      </c>
      <c r="C631" s="14" t="s">
        <v>791</v>
      </c>
      <c r="D631" s="14" t="s">
        <v>51</v>
      </c>
      <c r="E631" s="15" t="str">
        <f>"302.92"</f>
        <v>302.92</v>
      </c>
      <c r="F631" s="15"/>
      <c r="G631" s="16" t="str">
        <f>"302.92"</f>
        <v>302.92</v>
      </c>
      <c r="H631" s="17">
        <f t="shared" si="9"/>
        <v>294.92</v>
      </c>
      <c r="I631" s="18"/>
      <c r="J631" s="15">
        <v>3</v>
      </c>
      <c r="K631" s="15">
        <v>2016</v>
      </c>
      <c r="L631" s="15" t="str">
        <f>"383.62"</f>
        <v>383.62</v>
      </c>
      <c r="M631" s="15"/>
      <c r="N631" s="15"/>
      <c r="O631" s="15"/>
      <c r="P631" s="15"/>
      <c r="Q631" s="15"/>
      <c r="R631" s="15"/>
      <c r="S631" s="15" t="str">
        <f>"354.58"</f>
        <v>354.58</v>
      </c>
      <c r="T631" s="15" t="str">
        <f>"397.62"</f>
        <v>397.62</v>
      </c>
      <c r="U631" s="15"/>
      <c r="V631" s="15"/>
      <c r="W631" s="15"/>
      <c r="X631" s="15" t="str">
        <f>"513.75"</f>
        <v>513.75</v>
      </c>
      <c r="Y631" s="15"/>
      <c r="Z631" s="15"/>
      <c r="AA631" s="15"/>
      <c r="AB631" s="15"/>
      <c r="AC631" s="15"/>
      <c r="AD631" s="15"/>
      <c r="AE631" s="15"/>
      <c r="AF631" s="15"/>
      <c r="AG631" s="15"/>
      <c r="AH631" s="15" t="str">
        <f>"288.59"</f>
        <v>288.59</v>
      </c>
      <c r="AI631" s="15" t="str">
        <f>"317.24"</f>
        <v>317.24</v>
      </c>
    </row>
    <row r="632" spans="1:35">
      <c r="A632" s="14">
        <v>630</v>
      </c>
      <c r="B632" s="14">
        <v>2271</v>
      </c>
      <c r="C632" s="14" t="s">
        <v>792</v>
      </c>
      <c r="D632" s="14" t="s">
        <v>51</v>
      </c>
      <c r="E632" s="15" t="str">
        <f>"282.84"</f>
        <v>282.84</v>
      </c>
      <c r="F632" s="15"/>
      <c r="G632" s="16" t="str">
        <f>"303.99"</f>
        <v>303.99</v>
      </c>
      <c r="H632" s="17">
        <f t="shared" si="9"/>
        <v>295.99</v>
      </c>
      <c r="I632" s="18"/>
      <c r="J632" s="15">
        <v>3</v>
      </c>
      <c r="K632" s="15">
        <v>2016</v>
      </c>
      <c r="L632" s="15" t="str">
        <f>"282.84"</f>
        <v>282.84</v>
      </c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 t="str">
        <f>"361.66"</f>
        <v>361.66</v>
      </c>
      <c r="Y632" s="15" t="str">
        <f>"372.45"</f>
        <v>372.45</v>
      </c>
      <c r="Z632" s="15"/>
      <c r="AA632" s="15" t="str">
        <f>"327.06"</f>
        <v>327.06</v>
      </c>
      <c r="AB632" s="15"/>
      <c r="AC632" s="15" t="str">
        <f>"354.17"</f>
        <v>354.17</v>
      </c>
      <c r="AD632" s="15"/>
      <c r="AE632" s="15" t="str">
        <f>"302.52"</f>
        <v>302.52</v>
      </c>
      <c r="AF632" s="15"/>
      <c r="AG632" s="15" t="str">
        <f>"305.45"</f>
        <v>305.45</v>
      </c>
      <c r="AH632" s="15" t="str">
        <f>"369.82"</f>
        <v>369.82</v>
      </c>
      <c r="AI632" s="15"/>
    </row>
    <row r="633" spans="1:35">
      <c r="A633" s="14">
        <v>631</v>
      </c>
      <c r="B633" s="14">
        <v>10275</v>
      </c>
      <c r="C633" s="14" t="s">
        <v>793</v>
      </c>
      <c r="D633" s="14" t="s">
        <v>794</v>
      </c>
      <c r="E633" s="15" t="str">
        <f>"277.04"</f>
        <v>277.04</v>
      </c>
      <c r="F633" s="15"/>
      <c r="G633" s="16" t="str">
        <f>"305.04"</f>
        <v>305.04</v>
      </c>
      <c r="H633" s="17">
        <f t="shared" si="9"/>
        <v>297.04000000000002</v>
      </c>
      <c r="I633" s="18" t="s">
        <v>40</v>
      </c>
      <c r="J633" s="15">
        <v>1</v>
      </c>
      <c r="K633" s="15">
        <v>2016</v>
      </c>
      <c r="L633" s="15" t="str">
        <f>"277.04"</f>
        <v>277.04</v>
      </c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</row>
    <row r="634" spans="1:35">
      <c r="A634" s="14">
        <v>632</v>
      </c>
      <c r="B634" s="14">
        <v>10568</v>
      </c>
      <c r="C634" s="14" t="s">
        <v>795</v>
      </c>
      <c r="D634" s="14" t="s">
        <v>51</v>
      </c>
      <c r="E634" s="15" t="str">
        <f>"305.15"</f>
        <v>305.15</v>
      </c>
      <c r="F634" s="15"/>
      <c r="G634" s="16" t="str">
        <f>"305.15"</f>
        <v>305.15</v>
      </c>
      <c r="H634" s="17">
        <f t="shared" si="9"/>
        <v>297.14999999999998</v>
      </c>
      <c r="I634" s="18"/>
      <c r="J634" s="15">
        <v>3</v>
      </c>
      <c r="K634" s="15">
        <v>2016</v>
      </c>
      <c r="L634" s="15" t="str">
        <f>"376.93"</f>
        <v>376.93</v>
      </c>
      <c r="M634" s="15"/>
      <c r="N634" s="15"/>
      <c r="O634" s="15"/>
      <c r="P634" s="15"/>
      <c r="Q634" s="15"/>
      <c r="R634" s="15"/>
      <c r="S634" s="15" t="str">
        <f>"287.23"</f>
        <v>287.23</v>
      </c>
      <c r="T634" s="15" t="str">
        <f>"323.06"</f>
        <v>323.06</v>
      </c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</row>
    <row r="635" spans="1:35">
      <c r="A635" s="14">
        <v>633</v>
      </c>
      <c r="B635" s="14">
        <v>2715</v>
      </c>
      <c r="C635" s="14" t="s">
        <v>796</v>
      </c>
      <c r="D635" s="14" t="s">
        <v>371</v>
      </c>
      <c r="E635" s="15" t="str">
        <f>"277.53"</f>
        <v>277.53</v>
      </c>
      <c r="F635" s="15"/>
      <c r="G635" s="16" t="str">
        <f>"305.53"</f>
        <v>305.53</v>
      </c>
      <c r="H635" s="17">
        <f t="shared" si="9"/>
        <v>297.52999999999997</v>
      </c>
      <c r="I635" s="18" t="s">
        <v>40</v>
      </c>
      <c r="J635" s="15">
        <v>1</v>
      </c>
      <c r="K635" s="15">
        <v>2016</v>
      </c>
      <c r="L635" s="15" t="str">
        <f>"277.53"</f>
        <v>277.53</v>
      </c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</row>
    <row r="636" spans="1:35">
      <c r="A636" s="14">
        <v>634</v>
      </c>
      <c r="B636" s="14">
        <v>10739</v>
      </c>
      <c r="C636" s="14" t="s">
        <v>797</v>
      </c>
      <c r="D636" s="14" t="s">
        <v>58</v>
      </c>
      <c r="E636" s="15" t="str">
        <f>"307.14"</f>
        <v>307.14</v>
      </c>
      <c r="F636" s="15"/>
      <c r="G636" s="16" t="str">
        <f>"307.14"</f>
        <v>307.14</v>
      </c>
      <c r="H636" s="17">
        <f t="shared" si="9"/>
        <v>299.14</v>
      </c>
      <c r="I636" s="18" t="s">
        <v>43</v>
      </c>
      <c r="J636" s="15">
        <v>4</v>
      </c>
      <c r="K636" s="15">
        <v>2016</v>
      </c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 t="str">
        <f>"279.14"</f>
        <v>279.14</v>
      </c>
      <c r="AA636" s="15"/>
      <c r="AB636" s="15"/>
      <c r="AC636" s="15"/>
      <c r="AD636" s="15"/>
      <c r="AE636" s="15"/>
      <c r="AF636" s="15"/>
      <c r="AG636" s="15"/>
      <c r="AH636" s="15"/>
      <c r="AI636" s="15"/>
    </row>
    <row r="637" spans="1:35">
      <c r="A637" s="14">
        <v>635</v>
      </c>
      <c r="B637" s="14">
        <v>2283</v>
      </c>
      <c r="C637" s="14" t="s">
        <v>798</v>
      </c>
      <c r="D637" s="14" t="s">
        <v>51</v>
      </c>
      <c r="E637" s="15" t="str">
        <f>"307.20"</f>
        <v>307.20</v>
      </c>
      <c r="F637" s="15"/>
      <c r="G637" s="16" t="str">
        <f>"307.20"</f>
        <v>307.20</v>
      </c>
      <c r="H637" s="17">
        <f t="shared" si="9"/>
        <v>299.2</v>
      </c>
      <c r="I637" s="18"/>
      <c r="J637" s="15">
        <v>3</v>
      </c>
      <c r="K637" s="15">
        <v>2016</v>
      </c>
      <c r="L637" s="15" t="str">
        <f>"452.85"</f>
        <v>452.85</v>
      </c>
      <c r="M637" s="15"/>
      <c r="N637" s="15"/>
      <c r="O637" s="15"/>
      <c r="P637" s="15"/>
      <c r="Q637" s="15"/>
      <c r="R637" s="15"/>
      <c r="S637" s="15" t="str">
        <f>"417.15"</f>
        <v>417.15</v>
      </c>
      <c r="T637" s="15"/>
      <c r="U637" s="15"/>
      <c r="V637" s="15"/>
      <c r="W637" s="15"/>
      <c r="X637" s="15" t="str">
        <f>"285.08"</f>
        <v>285.08</v>
      </c>
      <c r="Y637" s="15"/>
      <c r="Z637" s="15"/>
      <c r="AA637" s="15"/>
      <c r="AB637" s="15"/>
      <c r="AC637" s="15"/>
      <c r="AD637" s="15"/>
      <c r="AE637" s="15"/>
      <c r="AF637" s="15"/>
      <c r="AG637" s="15" t="str">
        <f>"329.31"</f>
        <v>329.31</v>
      </c>
      <c r="AH637" s="15" t="str">
        <f>"333.54"</f>
        <v>333.54</v>
      </c>
      <c r="AI637" s="15"/>
    </row>
    <row r="638" spans="1:35">
      <c r="A638" s="14">
        <v>636</v>
      </c>
      <c r="B638" s="14">
        <v>6707</v>
      </c>
      <c r="C638" s="14" t="s">
        <v>799</v>
      </c>
      <c r="D638" s="14" t="s">
        <v>127</v>
      </c>
      <c r="E638" s="15" t="str">
        <f>"286.48"</f>
        <v>286.48</v>
      </c>
      <c r="F638" s="15"/>
      <c r="G638" s="16" t="str">
        <f>"307.27"</f>
        <v>307.27</v>
      </c>
      <c r="H638" s="17">
        <f t="shared" si="9"/>
        <v>299.27</v>
      </c>
      <c r="I638" s="18" t="s">
        <v>43</v>
      </c>
      <c r="J638" s="15">
        <v>2</v>
      </c>
      <c r="K638" s="15">
        <v>2016</v>
      </c>
      <c r="L638" s="15" t="str">
        <f>"293.69"</f>
        <v>293.69</v>
      </c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 t="str">
        <f>"279.27"</f>
        <v>279.27</v>
      </c>
      <c r="AC638" s="15"/>
      <c r="AD638" s="15"/>
      <c r="AE638" s="15"/>
      <c r="AF638" s="15"/>
      <c r="AG638" s="15"/>
      <c r="AH638" s="15"/>
      <c r="AI638" s="15"/>
    </row>
    <row r="639" spans="1:35">
      <c r="A639" s="14">
        <v>637</v>
      </c>
      <c r="B639" s="14">
        <v>10954</v>
      </c>
      <c r="C639" s="14" t="s">
        <v>800</v>
      </c>
      <c r="D639" s="14" t="s">
        <v>127</v>
      </c>
      <c r="E639" s="15" t="str">
        <f>"307.98"</f>
        <v>307.98</v>
      </c>
      <c r="F639" s="15"/>
      <c r="G639" s="16" t="str">
        <f>"307.98"</f>
        <v>307.98</v>
      </c>
      <c r="H639" s="17">
        <f t="shared" si="9"/>
        <v>299.98</v>
      </c>
      <c r="I639" s="18" t="s">
        <v>43</v>
      </c>
      <c r="J639" s="15">
        <v>4</v>
      </c>
      <c r="K639" s="15">
        <v>2016</v>
      </c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 t="str">
        <f>"279.98"</f>
        <v>279.98</v>
      </c>
      <c r="AE639" s="15"/>
      <c r="AF639" s="15"/>
      <c r="AG639" s="15"/>
      <c r="AH639" s="15"/>
      <c r="AI639" s="15"/>
    </row>
    <row r="640" spans="1:35">
      <c r="A640" s="14">
        <v>638</v>
      </c>
      <c r="B640" s="14">
        <v>4846</v>
      </c>
      <c r="C640" s="14" t="s">
        <v>801</v>
      </c>
      <c r="D640" s="14" t="s">
        <v>189</v>
      </c>
      <c r="E640" s="15" t="str">
        <f>"280.29"</f>
        <v>280.29</v>
      </c>
      <c r="F640" s="15"/>
      <c r="G640" s="16" t="str">
        <f>"308.29"</f>
        <v>308.29</v>
      </c>
      <c r="H640" s="17">
        <f t="shared" si="9"/>
        <v>300.29000000000002</v>
      </c>
      <c r="I640" s="18" t="s">
        <v>40</v>
      </c>
      <c r="J640" s="15">
        <v>1</v>
      </c>
      <c r="K640" s="15">
        <v>2016</v>
      </c>
      <c r="L640" s="15" t="str">
        <f>"280.29"</f>
        <v>280.29</v>
      </c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</row>
    <row r="641" spans="1:35">
      <c r="A641" s="14">
        <v>639</v>
      </c>
      <c r="B641" s="14">
        <v>10951</v>
      </c>
      <c r="C641" s="14" t="s">
        <v>802</v>
      </c>
      <c r="D641" s="14" t="s">
        <v>127</v>
      </c>
      <c r="E641" s="15" t="str">
        <f>"308.82"</f>
        <v>308.82</v>
      </c>
      <c r="F641" s="15"/>
      <c r="G641" s="16" t="str">
        <f>"308.82"</f>
        <v>308.82</v>
      </c>
      <c r="H641" s="17">
        <f t="shared" si="9"/>
        <v>300.82</v>
      </c>
      <c r="I641" s="18"/>
      <c r="J641" s="15">
        <v>5</v>
      </c>
      <c r="K641" s="15">
        <v>2016</v>
      </c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 t="str">
        <f>"235.93"</f>
        <v>235.93</v>
      </c>
      <c r="AB641" s="15"/>
      <c r="AC641" s="15" t="str">
        <f>"381.71"</f>
        <v>381.71</v>
      </c>
      <c r="AD641" s="15"/>
      <c r="AE641" s="15"/>
      <c r="AF641" s="15"/>
      <c r="AG641" s="15"/>
      <c r="AH641" s="15"/>
      <c r="AI641" s="15"/>
    </row>
    <row r="642" spans="1:35">
      <c r="A642" s="14">
        <v>640</v>
      </c>
      <c r="B642" s="14">
        <v>5337</v>
      </c>
      <c r="C642" s="14" t="s">
        <v>803</v>
      </c>
      <c r="D642" s="14" t="s">
        <v>49</v>
      </c>
      <c r="E642" s="15" t="str">
        <f>"344.43"</f>
        <v>344.43</v>
      </c>
      <c r="F642" s="15"/>
      <c r="G642" s="16" t="str">
        <f>"309.75"</f>
        <v>309.75</v>
      </c>
      <c r="H642" s="17">
        <f t="shared" si="9"/>
        <v>301.75</v>
      </c>
      <c r="I642" s="18" t="s">
        <v>43</v>
      </c>
      <c r="J642" s="15">
        <v>2</v>
      </c>
      <c r="K642" s="15">
        <v>2016</v>
      </c>
      <c r="L642" s="15" t="str">
        <f>"407.11"</f>
        <v>407.11</v>
      </c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 t="str">
        <f>"281.75"</f>
        <v>281.75</v>
      </c>
      <c r="AG642" s="15"/>
      <c r="AH642" s="15"/>
      <c r="AI642" s="15"/>
    </row>
    <row r="643" spans="1:35">
      <c r="A643" s="14">
        <v>641</v>
      </c>
      <c r="B643" s="14">
        <v>8442</v>
      </c>
      <c r="C643" s="14" t="s">
        <v>804</v>
      </c>
      <c r="D643" s="14" t="s">
        <v>119</v>
      </c>
      <c r="E643" s="15" t="str">
        <f>"282.54"</f>
        <v>282.54</v>
      </c>
      <c r="F643" s="15"/>
      <c r="G643" s="16" t="str">
        <f>"310.54"</f>
        <v>310.54</v>
      </c>
      <c r="H643" s="17">
        <f t="shared" ref="H643:H706" si="10">G643-8</f>
        <v>302.54000000000002</v>
      </c>
      <c r="I643" s="18" t="s">
        <v>40</v>
      </c>
      <c r="J643" s="15">
        <v>1</v>
      </c>
      <c r="K643" s="15">
        <v>2016</v>
      </c>
      <c r="L643" s="15" t="str">
        <f>"282.54"</f>
        <v>282.54</v>
      </c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</row>
    <row r="644" spans="1:35">
      <c r="A644" s="14">
        <v>642</v>
      </c>
      <c r="B644" s="14">
        <v>6174</v>
      </c>
      <c r="C644" s="14" t="s">
        <v>805</v>
      </c>
      <c r="D644" s="14" t="s">
        <v>806</v>
      </c>
      <c r="E644" s="15" t="str">
        <f>"283.14"</f>
        <v>283.14</v>
      </c>
      <c r="F644" s="15"/>
      <c r="G644" s="16" t="str">
        <f>"311.14"</f>
        <v>311.14</v>
      </c>
      <c r="H644" s="17">
        <f t="shared" si="10"/>
        <v>303.14</v>
      </c>
      <c r="I644" s="18" t="s">
        <v>40</v>
      </c>
      <c r="J644" s="15">
        <v>1</v>
      </c>
      <c r="K644" s="15">
        <v>2016</v>
      </c>
      <c r="L644" s="15" t="str">
        <f>"283.14"</f>
        <v>283.14</v>
      </c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</row>
    <row r="645" spans="1:35">
      <c r="A645" s="14">
        <v>643</v>
      </c>
      <c r="B645" s="14">
        <v>10444</v>
      </c>
      <c r="C645" s="14" t="s">
        <v>807</v>
      </c>
      <c r="D645" s="14" t="s">
        <v>58</v>
      </c>
      <c r="E645" s="15" t="str">
        <f>"311.14"</f>
        <v>311.14</v>
      </c>
      <c r="F645" s="15"/>
      <c r="G645" s="16" t="str">
        <f>"311.14"</f>
        <v>311.14</v>
      </c>
      <c r="H645" s="17">
        <f t="shared" si="10"/>
        <v>303.14</v>
      </c>
      <c r="I645" s="18"/>
      <c r="J645" s="15">
        <v>3</v>
      </c>
      <c r="K645" s="15">
        <v>2016</v>
      </c>
      <c r="L645" s="15" t="str">
        <f>"508.47"</f>
        <v>508.47</v>
      </c>
      <c r="M645" s="15"/>
      <c r="N645" s="15"/>
      <c r="O645" s="15"/>
      <c r="P645" s="15" t="str">
        <f>"313.99"</f>
        <v>313.99</v>
      </c>
      <c r="Q645" s="15"/>
      <c r="R645" s="15"/>
      <c r="S645" s="15"/>
      <c r="T645" s="15"/>
      <c r="U645" s="15" t="str">
        <f>"308.28"</f>
        <v>308.28</v>
      </c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</row>
    <row r="646" spans="1:35">
      <c r="A646" s="14">
        <v>644</v>
      </c>
      <c r="B646" s="14">
        <v>10112</v>
      </c>
      <c r="C646" s="14" t="s">
        <v>808</v>
      </c>
      <c r="D646" s="14" t="s">
        <v>51</v>
      </c>
      <c r="E646" s="15" t="str">
        <f>"311.36"</f>
        <v>311.36</v>
      </c>
      <c r="F646" s="15"/>
      <c r="G646" s="16" t="str">
        <f>"311.36"</f>
        <v>311.36</v>
      </c>
      <c r="H646" s="17">
        <f t="shared" si="10"/>
        <v>303.36</v>
      </c>
      <c r="I646" s="18"/>
      <c r="J646" s="15">
        <v>3</v>
      </c>
      <c r="K646" s="15">
        <v>2016</v>
      </c>
      <c r="L646" s="15" t="str">
        <f>"457.70"</f>
        <v>457.70</v>
      </c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 t="str">
        <f>"355.09"</f>
        <v>355.09</v>
      </c>
      <c r="Y646" s="15"/>
      <c r="Z646" s="15"/>
      <c r="AA646" s="15"/>
      <c r="AB646" s="15"/>
      <c r="AC646" s="15"/>
      <c r="AD646" s="15"/>
      <c r="AE646" s="15" t="str">
        <f>"267.63"</f>
        <v>267.63</v>
      </c>
      <c r="AF646" s="15"/>
      <c r="AG646" s="15"/>
      <c r="AH646" s="15"/>
      <c r="AI646" s="15"/>
    </row>
    <row r="647" spans="1:35">
      <c r="A647" s="14">
        <v>645</v>
      </c>
      <c r="B647" s="14">
        <v>2454</v>
      </c>
      <c r="C647" s="14" t="s">
        <v>809</v>
      </c>
      <c r="D647" s="14" t="s">
        <v>461</v>
      </c>
      <c r="E647" s="15" t="str">
        <f>"283.66"</f>
        <v>283.66</v>
      </c>
      <c r="F647" s="15"/>
      <c r="G647" s="16" t="str">
        <f>"311.66"</f>
        <v>311.66</v>
      </c>
      <c r="H647" s="17">
        <f t="shared" si="10"/>
        <v>303.66000000000003</v>
      </c>
      <c r="I647" s="18" t="s">
        <v>40</v>
      </c>
      <c r="J647" s="15">
        <v>1</v>
      </c>
      <c r="K647" s="15">
        <v>2016</v>
      </c>
      <c r="L647" s="15" t="str">
        <f>"283.66"</f>
        <v>283.66</v>
      </c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</row>
    <row r="648" spans="1:35">
      <c r="A648" s="14">
        <v>646</v>
      </c>
      <c r="B648" s="14">
        <v>10219</v>
      </c>
      <c r="C648" s="14" t="s">
        <v>810</v>
      </c>
      <c r="D648" s="14" t="s">
        <v>51</v>
      </c>
      <c r="E648" s="15" t="str">
        <f>"283.75"</f>
        <v>283.75</v>
      </c>
      <c r="F648" s="15"/>
      <c r="G648" s="16" t="str">
        <f>"311.75"</f>
        <v>311.75</v>
      </c>
      <c r="H648" s="17">
        <f t="shared" si="10"/>
        <v>303.75</v>
      </c>
      <c r="I648" s="18" t="s">
        <v>40</v>
      </c>
      <c r="J648" s="15">
        <v>1</v>
      </c>
      <c r="K648" s="15">
        <v>2016</v>
      </c>
      <c r="L648" s="15" t="str">
        <f>"283.75"</f>
        <v>283.75</v>
      </c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</row>
    <row r="649" spans="1:35">
      <c r="A649" s="14">
        <v>647</v>
      </c>
      <c r="B649" s="14">
        <v>10227</v>
      </c>
      <c r="C649" s="14" t="s">
        <v>811</v>
      </c>
      <c r="D649" s="14" t="s">
        <v>158</v>
      </c>
      <c r="E649" s="15" t="str">
        <f>"325.43"</f>
        <v>325.43</v>
      </c>
      <c r="F649" s="15"/>
      <c r="G649" s="16" t="str">
        <f>"312.05"</f>
        <v>312.05</v>
      </c>
      <c r="H649" s="17">
        <f t="shared" si="10"/>
        <v>304.05</v>
      </c>
      <c r="I649" s="18" t="s">
        <v>43</v>
      </c>
      <c r="J649" s="15">
        <v>2</v>
      </c>
      <c r="K649" s="15">
        <v>2016</v>
      </c>
      <c r="L649" s="15" t="str">
        <f>"366.80"</f>
        <v>366.80</v>
      </c>
      <c r="M649" s="15" t="str">
        <f>"284.05"</f>
        <v>284.05</v>
      </c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</row>
    <row r="650" spans="1:35">
      <c r="A650" s="14">
        <v>648</v>
      </c>
      <c r="B650" s="14">
        <v>1518</v>
      </c>
      <c r="C650" s="14" t="s">
        <v>812</v>
      </c>
      <c r="D650" s="14" t="s">
        <v>100</v>
      </c>
      <c r="E650" s="15" t="str">
        <f>"254.99"</f>
        <v>254.99</v>
      </c>
      <c r="F650" s="15"/>
      <c r="G650" s="16" t="str">
        <f>"312.74"</f>
        <v>312.74</v>
      </c>
      <c r="H650" s="17">
        <f t="shared" si="10"/>
        <v>304.74</v>
      </c>
      <c r="I650" s="18" t="s">
        <v>43</v>
      </c>
      <c r="J650" s="15">
        <v>2</v>
      </c>
      <c r="K650" s="15">
        <v>2016</v>
      </c>
      <c r="L650" s="15" t="str">
        <f>"254.99"</f>
        <v>254.99</v>
      </c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 t="str">
        <f>"284.74"</f>
        <v>284.74</v>
      </c>
      <c r="AA650" s="15"/>
      <c r="AB650" s="15"/>
      <c r="AC650" s="15"/>
      <c r="AD650" s="15"/>
      <c r="AE650" s="15"/>
      <c r="AF650" s="15"/>
      <c r="AG650" s="15"/>
      <c r="AH650" s="15"/>
      <c r="AI650" s="15"/>
    </row>
    <row r="651" spans="1:35">
      <c r="A651" s="14">
        <v>649</v>
      </c>
      <c r="B651" s="14">
        <v>10070</v>
      </c>
      <c r="C651" s="14" t="s">
        <v>813</v>
      </c>
      <c r="D651" s="14" t="s">
        <v>51</v>
      </c>
      <c r="E651" s="15" t="str">
        <f>"280.02"</f>
        <v>280.02</v>
      </c>
      <c r="F651" s="15"/>
      <c r="G651" s="16" t="str">
        <f>"312.82"</f>
        <v>312.82</v>
      </c>
      <c r="H651" s="17">
        <f t="shared" si="10"/>
        <v>304.82</v>
      </c>
      <c r="I651" s="18"/>
      <c r="J651" s="15">
        <v>3</v>
      </c>
      <c r="K651" s="15">
        <v>2016</v>
      </c>
      <c r="L651" s="15" t="str">
        <f>"280.02"</f>
        <v>280.02</v>
      </c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 t="str">
        <f>"296.74"</f>
        <v>296.74</v>
      </c>
      <c r="Y651" s="15" t="str">
        <f>"328.90"</f>
        <v>328.90</v>
      </c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</row>
    <row r="652" spans="1:35">
      <c r="A652" s="14">
        <v>650</v>
      </c>
      <c r="B652" s="14">
        <v>271</v>
      </c>
      <c r="C652" s="14" t="s">
        <v>814</v>
      </c>
      <c r="D652" s="14" t="s">
        <v>98</v>
      </c>
      <c r="E652" s="15" t="str">
        <f>"285.27"</f>
        <v>285.27</v>
      </c>
      <c r="F652" s="15"/>
      <c r="G652" s="16" t="str">
        <f>"313.27"</f>
        <v>313.27</v>
      </c>
      <c r="H652" s="17">
        <f t="shared" si="10"/>
        <v>305.27</v>
      </c>
      <c r="I652" s="18" t="s">
        <v>40</v>
      </c>
      <c r="J652" s="15">
        <v>1</v>
      </c>
      <c r="K652" s="15">
        <v>2016</v>
      </c>
      <c r="L652" s="15" t="str">
        <f>"285.27"</f>
        <v>285.27</v>
      </c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</row>
    <row r="653" spans="1:35">
      <c r="A653" s="14">
        <v>651</v>
      </c>
      <c r="B653" s="14">
        <v>10627</v>
      </c>
      <c r="C653" s="14" t="s">
        <v>815</v>
      </c>
      <c r="D653" s="14" t="s">
        <v>51</v>
      </c>
      <c r="E653" s="15" t="str">
        <f>"305.71"</f>
        <v>305.71</v>
      </c>
      <c r="F653" s="15"/>
      <c r="G653" s="16" t="str">
        <f>"313.52"</f>
        <v>313.52</v>
      </c>
      <c r="H653" s="17">
        <f t="shared" si="10"/>
        <v>305.52</v>
      </c>
      <c r="I653" s="18"/>
      <c r="J653" s="15">
        <v>3</v>
      </c>
      <c r="K653" s="15">
        <v>2016</v>
      </c>
      <c r="L653" s="15" t="str">
        <f>"305.71"</f>
        <v>305.71</v>
      </c>
      <c r="M653" s="15"/>
      <c r="N653" s="15"/>
      <c r="O653" s="15"/>
      <c r="P653" s="15"/>
      <c r="Q653" s="15"/>
      <c r="R653" s="15"/>
      <c r="S653" s="15" t="str">
        <f>"309.57"</f>
        <v>309.57</v>
      </c>
      <c r="T653" s="15" t="str">
        <f>"336.17"</f>
        <v>336.17</v>
      </c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 t="str">
        <f>"335.04"</f>
        <v>335.04</v>
      </c>
      <c r="AH653" s="15" t="str">
        <f>"317.46"</f>
        <v>317.46</v>
      </c>
      <c r="AI653" s="15"/>
    </row>
    <row r="654" spans="1:35">
      <c r="A654" s="14">
        <v>652</v>
      </c>
      <c r="B654" s="14">
        <v>6100</v>
      </c>
      <c r="C654" s="14" t="s">
        <v>816</v>
      </c>
      <c r="D654" s="14" t="s">
        <v>39</v>
      </c>
      <c r="E654" s="15" t="str">
        <f>"309.44"</f>
        <v>309.44</v>
      </c>
      <c r="F654" s="15"/>
      <c r="G654" s="16" t="str">
        <f>"313.57"</f>
        <v>313.57</v>
      </c>
      <c r="H654" s="17">
        <f t="shared" si="10"/>
        <v>305.57</v>
      </c>
      <c r="I654" s="18" t="s">
        <v>43</v>
      </c>
      <c r="J654" s="15">
        <v>2</v>
      </c>
      <c r="K654" s="15">
        <v>2016</v>
      </c>
      <c r="L654" s="15" t="str">
        <f>"333.30"</f>
        <v>333.30</v>
      </c>
      <c r="M654" s="15"/>
      <c r="N654" s="15"/>
      <c r="O654" s="15"/>
      <c r="P654" s="15"/>
      <c r="Q654" s="15"/>
      <c r="R654" s="15" t="str">
        <f>"285.57"</f>
        <v>285.57</v>
      </c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</row>
    <row r="655" spans="1:35">
      <c r="A655" s="14">
        <v>653</v>
      </c>
      <c r="B655" s="14">
        <v>10586</v>
      </c>
      <c r="C655" s="14" t="s">
        <v>817</v>
      </c>
      <c r="D655" s="14" t="s">
        <v>51</v>
      </c>
      <c r="E655" s="15" t="str">
        <f>"314.59"</f>
        <v>314.59</v>
      </c>
      <c r="F655" s="15"/>
      <c r="G655" s="16" t="str">
        <f>"314.59"</f>
        <v>314.59</v>
      </c>
      <c r="H655" s="17">
        <f t="shared" si="10"/>
        <v>306.58999999999997</v>
      </c>
      <c r="I655" s="18"/>
      <c r="J655" s="15">
        <v>3</v>
      </c>
      <c r="K655" s="15">
        <v>2016</v>
      </c>
      <c r="L655" s="15" t="str">
        <f>"474.57"</f>
        <v>474.57</v>
      </c>
      <c r="M655" s="15"/>
      <c r="N655" s="15"/>
      <c r="O655" s="15"/>
      <c r="P655" s="15"/>
      <c r="Q655" s="15"/>
      <c r="R655" s="15"/>
      <c r="S655" s="15" t="str">
        <f>"412.70"</f>
        <v>412.70</v>
      </c>
      <c r="T655" s="15"/>
      <c r="U655" s="15"/>
      <c r="V655" s="15"/>
      <c r="W655" s="15"/>
      <c r="X655" s="15" t="str">
        <f>"310.61"</f>
        <v>310.61</v>
      </c>
      <c r="Y655" s="15"/>
      <c r="Z655" s="15"/>
      <c r="AA655" s="15"/>
      <c r="AB655" s="15"/>
      <c r="AC655" s="15"/>
      <c r="AD655" s="15"/>
      <c r="AE655" s="15"/>
      <c r="AF655" s="15"/>
      <c r="AG655" s="15"/>
      <c r="AH655" s="15" t="str">
        <f>"318.56"</f>
        <v>318.56</v>
      </c>
      <c r="AI655" s="15"/>
    </row>
    <row r="656" spans="1:35">
      <c r="A656" s="14">
        <v>654</v>
      </c>
      <c r="B656" s="14">
        <v>10153</v>
      </c>
      <c r="C656" s="14" t="s">
        <v>818</v>
      </c>
      <c r="D656" s="14" t="s">
        <v>58</v>
      </c>
      <c r="E656" s="15" t="str">
        <f>"314.71"</f>
        <v>314.71</v>
      </c>
      <c r="F656" s="15"/>
      <c r="G656" s="16" t="str">
        <f>"314.71"</f>
        <v>314.71</v>
      </c>
      <c r="H656" s="17">
        <f t="shared" si="10"/>
        <v>306.70999999999998</v>
      </c>
      <c r="I656" s="18"/>
      <c r="J656" s="15">
        <v>3</v>
      </c>
      <c r="K656" s="15">
        <v>2016</v>
      </c>
      <c r="L656" s="15" t="str">
        <f>"546.15"</f>
        <v>546.15</v>
      </c>
      <c r="M656" s="15"/>
      <c r="N656" s="15"/>
      <c r="O656" s="15"/>
      <c r="P656" s="15"/>
      <c r="Q656" s="15"/>
      <c r="R656" s="15"/>
      <c r="S656" s="15"/>
      <c r="T656" s="15"/>
      <c r="U656" s="15" t="str">
        <f>"878.22"</f>
        <v>878.22</v>
      </c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 t="str">
        <f>"288.15"</f>
        <v>288.15</v>
      </c>
      <c r="AG656" s="15"/>
      <c r="AH656" s="15" t="str">
        <f>"341.27"</f>
        <v>341.27</v>
      </c>
      <c r="AI656" s="15"/>
    </row>
    <row r="657" spans="1:35">
      <c r="A657" s="14">
        <v>655</v>
      </c>
      <c r="B657" s="14">
        <v>3937</v>
      </c>
      <c r="C657" s="14" t="s">
        <v>819</v>
      </c>
      <c r="D657" s="14" t="s">
        <v>289</v>
      </c>
      <c r="E657" s="15" t="str">
        <f>"288.27"</f>
        <v>288.27</v>
      </c>
      <c r="F657" s="15"/>
      <c r="G657" s="16" t="str">
        <f>"316.27"</f>
        <v>316.27</v>
      </c>
      <c r="H657" s="17">
        <f t="shared" si="10"/>
        <v>308.27</v>
      </c>
      <c r="I657" s="18" t="s">
        <v>40</v>
      </c>
      <c r="J657" s="15">
        <v>1</v>
      </c>
      <c r="K657" s="15">
        <v>2016</v>
      </c>
      <c r="L657" s="15" t="str">
        <f>"288.27"</f>
        <v>288.27</v>
      </c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</row>
    <row r="658" spans="1:35">
      <c r="A658" s="14">
        <v>656</v>
      </c>
      <c r="B658" s="14">
        <v>10890</v>
      </c>
      <c r="C658" s="14" t="s">
        <v>820</v>
      </c>
      <c r="D658" s="14" t="s">
        <v>51</v>
      </c>
      <c r="E658" s="15" t="str">
        <f>"316.50"</f>
        <v>316.50</v>
      </c>
      <c r="F658" s="15"/>
      <c r="G658" s="16" t="str">
        <f>"316.50"</f>
        <v>316.50</v>
      </c>
      <c r="H658" s="17">
        <f t="shared" si="10"/>
        <v>308.5</v>
      </c>
      <c r="I658" s="18"/>
      <c r="J658" s="15">
        <v>5</v>
      </c>
      <c r="K658" s="15">
        <v>2016</v>
      </c>
      <c r="L658" s="15"/>
      <c r="M658" s="15"/>
      <c r="N658" s="15"/>
      <c r="O658" s="15"/>
      <c r="P658" s="15"/>
      <c r="Q658" s="15"/>
      <c r="R658" s="15"/>
      <c r="S658" s="15" t="str">
        <f>"647.23"</f>
        <v>647.23</v>
      </c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 t="str">
        <f>"285.25"</f>
        <v>285.25</v>
      </c>
      <c r="AH658" s="15" t="str">
        <f>"347.74"</f>
        <v>347.74</v>
      </c>
      <c r="AI658" s="15"/>
    </row>
    <row r="659" spans="1:35">
      <c r="A659" s="14">
        <v>657</v>
      </c>
      <c r="B659" s="14">
        <v>10220</v>
      </c>
      <c r="C659" s="14" t="s">
        <v>821</v>
      </c>
      <c r="D659" s="14" t="s">
        <v>51</v>
      </c>
      <c r="E659" s="15" t="str">
        <f>"307.80"</f>
        <v>307.80</v>
      </c>
      <c r="F659" s="15"/>
      <c r="G659" s="16" t="str">
        <f>"316.65"</f>
        <v>316.65</v>
      </c>
      <c r="H659" s="17">
        <f t="shared" si="10"/>
        <v>308.64999999999998</v>
      </c>
      <c r="I659" s="18"/>
      <c r="J659" s="15">
        <v>3</v>
      </c>
      <c r="K659" s="15">
        <v>2016</v>
      </c>
      <c r="L659" s="15" t="str">
        <f>"336.90"</f>
        <v>336.90</v>
      </c>
      <c r="M659" s="15"/>
      <c r="N659" s="15"/>
      <c r="O659" s="15"/>
      <c r="P659" s="15"/>
      <c r="Q659" s="15"/>
      <c r="R659" s="15"/>
      <c r="S659" s="15" t="str">
        <f>"278.69"</f>
        <v>278.69</v>
      </c>
      <c r="T659" s="15" t="str">
        <f>"354.60"</f>
        <v>354.60</v>
      </c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</row>
    <row r="660" spans="1:35">
      <c r="A660" s="14">
        <v>658</v>
      </c>
      <c r="B660" s="14">
        <v>11072</v>
      </c>
      <c r="C660" s="14" t="s">
        <v>822</v>
      </c>
      <c r="D660" s="14" t="s">
        <v>119</v>
      </c>
      <c r="E660" s="15" t="str">
        <f>"316.92"</f>
        <v>316.92</v>
      </c>
      <c r="F660" s="15"/>
      <c r="G660" s="16" t="str">
        <f>"316.92"</f>
        <v>316.92</v>
      </c>
      <c r="H660" s="17">
        <f t="shared" si="10"/>
        <v>308.92</v>
      </c>
      <c r="I660" s="18" t="s">
        <v>43</v>
      </c>
      <c r="J660" s="15">
        <v>4</v>
      </c>
      <c r="K660" s="15">
        <v>2016</v>
      </c>
      <c r="L660" s="15"/>
      <c r="M660" s="15" t="str">
        <f>"288.92"</f>
        <v>288.92</v>
      </c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</row>
    <row r="661" spans="1:35">
      <c r="A661" s="14">
        <v>659</v>
      </c>
      <c r="B661" s="14">
        <v>10691</v>
      </c>
      <c r="C661" s="14" t="s">
        <v>823</v>
      </c>
      <c r="D661" s="14" t="s">
        <v>45</v>
      </c>
      <c r="E661" s="15" t="str">
        <f>"305.62"</f>
        <v>305.62</v>
      </c>
      <c r="F661" s="15"/>
      <c r="G661" s="16" t="str">
        <f>"317.41"</f>
        <v>317.41</v>
      </c>
      <c r="H661" s="17">
        <f t="shared" si="10"/>
        <v>309.41000000000003</v>
      </c>
      <c r="I661" s="18"/>
      <c r="J661" s="15">
        <v>3</v>
      </c>
      <c r="K661" s="15">
        <v>2016</v>
      </c>
      <c r="L661" s="15" t="str">
        <f>"334.99"</f>
        <v>334.99</v>
      </c>
      <c r="M661" s="15" t="str">
        <f>"358.57"</f>
        <v>358.57</v>
      </c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 t="str">
        <f>"276.25"</f>
        <v>276.25</v>
      </c>
      <c r="AD661" s="15"/>
      <c r="AE661" s="15"/>
      <c r="AF661" s="15"/>
      <c r="AG661" s="15"/>
      <c r="AH661" s="15"/>
      <c r="AI661" s="15"/>
    </row>
    <row r="662" spans="1:35">
      <c r="A662" s="14">
        <v>660</v>
      </c>
      <c r="B662" s="14">
        <v>10912</v>
      </c>
      <c r="C662" s="14" t="s">
        <v>824</v>
      </c>
      <c r="D662" s="14" t="s">
        <v>51</v>
      </c>
      <c r="E662" s="15" t="str">
        <f>"319.80"</f>
        <v>319.80</v>
      </c>
      <c r="F662" s="15"/>
      <c r="G662" s="16" t="str">
        <f>"319.80"</f>
        <v>319.80</v>
      </c>
      <c r="H662" s="17">
        <f t="shared" si="10"/>
        <v>311.8</v>
      </c>
      <c r="I662" s="18"/>
      <c r="J662" s="15">
        <v>5</v>
      </c>
      <c r="K662" s="15">
        <v>2016</v>
      </c>
      <c r="L662" s="15"/>
      <c r="M662" s="15"/>
      <c r="N662" s="15"/>
      <c r="O662" s="15"/>
      <c r="P662" s="15"/>
      <c r="Q662" s="15"/>
      <c r="R662" s="15"/>
      <c r="S662" s="15" t="str">
        <f>"635.04"</f>
        <v>635.04</v>
      </c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 t="str">
        <f>"302.11"</f>
        <v>302.11</v>
      </c>
      <c r="AH662" s="15" t="str">
        <f>"337.49"</f>
        <v>337.49</v>
      </c>
      <c r="AI662" s="15"/>
    </row>
    <row r="663" spans="1:35">
      <c r="A663" s="14">
        <v>661</v>
      </c>
      <c r="B663" s="14">
        <v>8505</v>
      </c>
      <c r="C663" s="14" t="s">
        <v>825</v>
      </c>
      <c r="D663" s="14" t="s">
        <v>51</v>
      </c>
      <c r="E663" s="15" t="str">
        <f>"302.54"</f>
        <v>302.54</v>
      </c>
      <c r="F663" s="15"/>
      <c r="G663" s="16" t="str">
        <f>"320.77"</f>
        <v>320.77</v>
      </c>
      <c r="H663" s="17">
        <f t="shared" si="10"/>
        <v>312.77</v>
      </c>
      <c r="I663" s="18"/>
      <c r="J663" s="15">
        <v>3</v>
      </c>
      <c r="K663" s="15">
        <v>2016</v>
      </c>
      <c r="L663" s="15" t="str">
        <f>"302.54"</f>
        <v>302.54</v>
      </c>
      <c r="M663" s="15"/>
      <c r="N663" s="15"/>
      <c r="O663" s="15"/>
      <c r="P663" s="15"/>
      <c r="Q663" s="15"/>
      <c r="R663" s="15"/>
      <c r="S663" s="15" t="str">
        <f>"368.71"</f>
        <v>368.71</v>
      </c>
      <c r="T663" s="15" t="str">
        <f>"402.51"</f>
        <v>402.51</v>
      </c>
      <c r="U663" s="15"/>
      <c r="V663" s="15"/>
      <c r="W663" s="15"/>
      <c r="X663" s="15" t="str">
        <f>"348.63"</f>
        <v>348.63</v>
      </c>
      <c r="Y663" s="15" t="str">
        <f>"350.15"</f>
        <v>350.15</v>
      </c>
      <c r="Z663" s="15"/>
      <c r="AA663" s="15"/>
      <c r="AB663" s="15"/>
      <c r="AC663" s="15"/>
      <c r="AD663" s="15"/>
      <c r="AE663" s="15"/>
      <c r="AF663" s="15"/>
      <c r="AG663" s="15" t="str">
        <f>"308.00"</f>
        <v>308.00</v>
      </c>
      <c r="AH663" s="15" t="str">
        <f>"333.54"</f>
        <v>333.54</v>
      </c>
      <c r="AI663" s="15"/>
    </row>
    <row r="664" spans="1:35">
      <c r="A664" s="14">
        <v>662</v>
      </c>
      <c r="B664" s="14">
        <v>8357</v>
      </c>
      <c r="C664" s="14" t="s">
        <v>826</v>
      </c>
      <c r="D664" s="14" t="s">
        <v>158</v>
      </c>
      <c r="E664" s="15" t="str">
        <f>"320.85"</f>
        <v>320.85</v>
      </c>
      <c r="F664" s="15"/>
      <c r="G664" s="16" t="str">
        <f>"320.85"</f>
        <v>320.85</v>
      </c>
      <c r="H664" s="17">
        <f t="shared" si="10"/>
        <v>312.85000000000002</v>
      </c>
      <c r="I664" s="18"/>
      <c r="J664" s="15">
        <v>3</v>
      </c>
      <c r="K664" s="15">
        <v>2016</v>
      </c>
      <c r="L664" s="15" t="str">
        <f>"382.61"</f>
        <v>382.61</v>
      </c>
      <c r="M664" s="15" t="str">
        <f>"345.92"</f>
        <v>345.92</v>
      </c>
      <c r="N664" s="15"/>
      <c r="O664" s="15" t="str">
        <f>"295.77"</f>
        <v>295.77</v>
      </c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</row>
    <row r="665" spans="1:35">
      <c r="A665" s="14">
        <v>663</v>
      </c>
      <c r="B665" s="14">
        <v>8460</v>
      </c>
      <c r="C665" s="14" t="s">
        <v>827</v>
      </c>
      <c r="D665" s="14" t="s">
        <v>51</v>
      </c>
      <c r="E665" s="15" t="str">
        <f>"317.03"</f>
        <v>317.03</v>
      </c>
      <c r="F665" s="15"/>
      <c r="G665" s="16" t="str">
        <f>"321.13"</f>
        <v>321.13</v>
      </c>
      <c r="H665" s="17">
        <f t="shared" si="10"/>
        <v>313.13</v>
      </c>
      <c r="I665" s="18" t="s">
        <v>43</v>
      </c>
      <c r="J665" s="15">
        <v>2</v>
      </c>
      <c r="K665" s="15">
        <v>2016</v>
      </c>
      <c r="L665" s="15" t="str">
        <f>"340.93"</f>
        <v>340.93</v>
      </c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 t="str">
        <f>"293.13"</f>
        <v>293.13</v>
      </c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</row>
    <row r="666" spans="1:35">
      <c r="A666" s="14">
        <v>664</v>
      </c>
      <c r="B666" s="14">
        <v>10231</v>
      </c>
      <c r="C666" s="14" t="s">
        <v>828</v>
      </c>
      <c r="D666" s="14" t="s">
        <v>158</v>
      </c>
      <c r="E666" s="15" t="str">
        <f>"330.47"</f>
        <v>330.47</v>
      </c>
      <c r="F666" s="15"/>
      <c r="G666" s="16" t="str">
        <f>"321.28"</f>
        <v>321.28</v>
      </c>
      <c r="H666" s="17">
        <f t="shared" si="10"/>
        <v>313.27999999999997</v>
      </c>
      <c r="I666" s="18" t="s">
        <v>43</v>
      </c>
      <c r="J666" s="15">
        <v>2</v>
      </c>
      <c r="K666" s="15">
        <v>2016</v>
      </c>
      <c r="L666" s="15" t="str">
        <f>"367.66"</f>
        <v>367.66</v>
      </c>
      <c r="M666" s="15" t="str">
        <f>"293.28"</f>
        <v>293.28</v>
      </c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</row>
    <row r="667" spans="1:35">
      <c r="A667" s="14">
        <v>665</v>
      </c>
      <c r="B667" s="14">
        <v>7299</v>
      </c>
      <c r="C667" s="14" t="s">
        <v>829</v>
      </c>
      <c r="D667" s="14" t="s">
        <v>464</v>
      </c>
      <c r="E667" s="15" t="str">
        <f>"293.93"</f>
        <v>293.93</v>
      </c>
      <c r="F667" s="15"/>
      <c r="G667" s="16" t="str">
        <f>"321.93"</f>
        <v>321.93</v>
      </c>
      <c r="H667" s="17">
        <f t="shared" si="10"/>
        <v>313.93</v>
      </c>
      <c r="I667" s="18" t="s">
        <v>40</v>
      </c>
      <c r="J667" s="15">
        <v>1</v>
      </c>
      <c r="K667" s="15">
        <v>2016</v>
      </c>
      <c r="L667" s="15" t="str">
        <f>"293.93"</f>
        <v>293.93</v>
      </c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</row>
    <row r="668" spans="1:35">
      <c r="A668" s="14">
        <v>666</v>
      </c>
      <c r="B668" s="14">
        <v>10415</v>
      </c>
      <c r="C668" s="14" t="s">
        <v>830</v>
      </c>
      <c r="D668" s="14" t="s">
        <v>58</v>
      </c>
      <c r="E668" s="15" t="str">
        <f>"322.39"</f>
        <v>322.39</v>
      </c>
      <c r="F668" s="15"/>
      <c r="G668" s="16" t="str">
        <f>"322.39"</f>
        <v>322.39</v>
      </c>
      <c r="H668" s="17">
        <f t="shared" si="10"/>
        <v>314.39</v>
      </c>
      <c r="I668" s="18"/>
      <c r="J668" s="15">
        <v>3</v>
      </c>
      <c r="K668" s="15">
        <v>2016</v>
      </c>
      <c r="L668" s="15" t="str">
        <f>"369.73"</f>
        <v>369.73</v>
      </c>
      <c r="M668" s="15"/>
      <c r="N668" s="15"/>
      <c r="O668" s="15"/>
      <c r="P668" s="15"/>
      <c r="Q668" s="15"/>
      <c r="R668" s="15"/>
      <c r="S668" s="15"/>
      <c r="T668" s="15"/>
      <c r="U668" s="15" t="str">
        <f>"2781.32"</f>
        <v>2781.32</v>
      </c>
      <c r="V668" s="15"/>
      <c r="W668" s="15"/>
      <c r="X668" s="15"/>
      <c r="Y668" s="15"/>
      <c r="Z668" s="15" t="str">
        <f>"345.03"</f>
        <v>345.03</v>
      </c>
      <c r="AA668" s="15"/>
      <c r="AB668" s="15"/>
      <c r="AC668" s="15"/>
      <c r="AD668" s="15"/>
      <c r="AE668" s="15"/>
      <c r="AF668" s="15" t="str">
        <f>"299.75"</f>
        <v>299.75</v>
      </c>
      <c r="AG668" s="15"/>
      <c r="AH668" s="15"/>
      <c r="AI668" s="15"/>
    </row>
    <row r="669" spans="1:35">
      <c r="A669" s="14">
        <v>667</v>
      </c>
      <c r="B669" s="14">
        <v>1917</v>
      </c>
      <c r="C669" s="14" t="s">
        <v>831</v>
      </c>
      <c r="D669" s="14" t="s">
        <v>245</v>
      </c>
      <c r="E669" s="15" t="str">
        <f>"284.15"</f>
        <v>284.15</v>
      </c>
      <c r="F669" s="15"/>
      <c r="G669" s="16" t="str">
        <f>"323.03"</f>
        <v>323.03</v>
      </c>
      <c r="H669" s="17">
        <f t="shared" si="10"/>
        <v>315.02999999999997</v>
      </c>
      <c r="I669" s="18" t="s">
        <v>43</v>
      </c>
      <c r="J669" s="15">
        <v>2</v>
      </c>
      <c r="K669" s="15">
        <v>2016</v>
      </c>
      <c r="L669" s="15" t="str">
        <f>"284.15"</f>
        <v>284.15</v>
      </c>
      <c r="M669" s="15"/>
      <c r="N669" s="15"/>
      <c r="O669" s="15"/>
      <c r="P669" s="15"/>
      <c r="Q669" s="15"/>
      <c r="R669" s="15" t="str">
        <f>"295.03"</f>
        <v>295.03</v>
      </c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</row>
    <row r="670" spans="1:35">
      <c r="A670" s="14">
        <v>668</v>
      </c>
      <c r="B670" s="14">
        <v>8315</v>
      </c>
      <c r="C670" s="14" t="s">
        <v>832</v>
      </c>
      <c r="D670" s="14" t="s">
        <v>112</v>
      </c>
      <c r="E670" s="15" t="str">
        <f>"297.32"</f>
        <v>297.32</v>
      </c>
      <c r="F670" s="15"/>
      <c r="G670" s="16" t="str">
        <f>"325.32"</f>
        <v>325.32</v>
      </c>
      <c r="H670" s="17">
        <f t="shared" si="10"/>
        <v>317.32</v>
      </c>
      <c r="I670" s="18" t="s">
        <v>40</v>
      </c>
      <c r="J670" s="15">
        <v>1</v>
      </c>
      <c r="K670" s="15">
        <v>2016</v>
      </c>
      <c r="L670" s="15" t="str">
        <f>"297.32"</f>
        <v>297.32</v>
      </c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</row>
    <row r="671" spans="1:35">
      <c r="A671" s="14">
        <v>669</v>
      </c>
      <c r="B671" s="14">
        <v>1321</v>
      </c>
      <c r="C671" s="14" t="s">
        <v>833</v>
      </c>
      <c r="D671" s="14" t="s">
        <v>106</v>
      </c>
      <c r="E671" s="15" t="str">
        <f>"297.75"</f>
        <v>297.75</v>
      </c>
      <c r="F671" s="15"/>
      <c r="G671" s="16" t="str">
        <f>"325.75"</f>
        <v>325.75</v>
      </c>
      <c r="H671" s="17">
        <f t="shared" si="10"/>
        <v>317.75</v>
      </c>
      <c r="I671" s="18" t="s">
        <v>40</v>
      </c>
      <c r="J671" s="15">
        <v>1</v>
      </c>
      <c r="K671" s="15">
        <v>2016</v>
      </c>
      <c r="L671" s="15" t="str">
        <f>"297.75"</f>
        <v>297.75</v>
      </c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</row>
    <row r="672" spans="1:35">
      <c r="A672" s="14">
        <v>670</v>
      </c>
      <c r="B672" s="14">
        <v>3621</v>
      </c>
      <c r="C672" s="14" t="s">
        <v>834</v>
      </c>
      <c r="D672" s="14" t="s">
        <v>713</v>
      </c>
      <c r="E672" s="15" t="str">
        <f>"284.20"</f>
        <v>284.20</v>
      </c>
      <c r="F672" s="15"/>
      <c r="G672" s="16" t="str">
        <f>"325.77"</f>
        <v>325.77</v>
      </c>
      <c r="H672" s="17">
        <f t="shared" si="10"/>
        <v>317.77</v>
      </c>
      <c r="I672" s="18"/>
      <c r="J672" s="15">
        <v>3</v>
      </c>
      <c r="K672" s="15">
        <v>2016</v>
      </c>
      <c r="L672" s="15" t="str">
        <f>"284.20"</f>
        <v>284.20</v>
      </c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 t="str">
        <f>"286.40"</f>
        <v>286.40</v>
      </c>
      <c r="X672" s="15"/>
      <c r="Y672" s="15"/>
      <c r="Z672" s="15" t="str">
        <f>"365.13"</f>
        <v>365.13</v>
      </c>
      <c r="AA672" s="15"/>
      <c r="AB672" s="15"/>
      <c r="AC672" s="15"/>
      <c r="AD672" s="15"/>
      <c r="AE672" s="15"/>
      <c r="AF672" s="15"/>
      <c r="AG672" s="15"/>
      <c r="AH672" s="15"/>
      <c r="AI672" s="15"/>
    </row>
    <row r="673" spans="1:35">
      <c r="A673" s="14">
        <v>671</v>
      </c>
      <c r="B673" s="14">
        <v>5487</v>
      </c>
      <c r="C673" s="14" t="s">
        <v>835</v>
      </c>
      <c r="D673" s="14" t="s">
        <v>58</v>
      </c>
      <c r="E673" s="15" t="str">
        <f>"130.98"</f>
        <v>130.98</v>
      </c>
      <c r="F673" s="15"/>
      <c r="G673" s="16" t="str">
        <f>"326.09"</f>
        <v>326.09</v>
      </c>
      <c r="H673" s="17">
        <f t="shared" si="10"/>
        <v>318.08999999999997</v>
      </c>
      <c r="I673" s="18"/>
      <c r="J673" s="15">
        <v>3</v>
      </c>
      <c r="K673" s="15">
        <v>2016</v>
      </c>
      <c r="L673" s="15" t="str">
        <f>"130.98"</f>
        <v>130.98</v>
      </c>
      <c r="M673" s="15"/>
      <c r="N673" s="15" t="str">
        <f>"277.81"</f>
        <v>277.81</v>
      </c>
      <c r="O673" s="15"/>
      <c r="P673" s="15"/>
      <c r="Q673" s="15"/>
      <c r="R673" s="15"/>
      <c r="S673" s="15"/>
      <c r="T673" s="15"/>
      <c r="U673" s="15" t="str">
        <f>"374.36"</f>
        <v>374.36</v>
      </c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</row>
    <row r="674" spans="1:35">
      <c r="A674" s="14">
        <v>672</v>
      </c>
      <c r="B674" s="14">
        <v>3924</v>
      </c>
      <c r="C674" s="14" t="s">
        <v>836</v>
      </c>
      <c r="D674" s="14" t="s">
        <v>837</v>
      </c>
      <c r="E674" s="15" t="str">
        <f>"261.87"</f>
        <v>261.87</v>
      </c>
      <c r="F674" s="15"/>
      <c r="G674" s="16" t="str">
        <f>"328.83"</f>
        <v>328.83</v>
      </c>
      <c r="H674" s="17">
        <f t="shared" si="10"/>
        <v>320.83</v>
      </c>
      <c r="I674" s="18"/>
      <c r="J674" s="15">
        <v>3</v>
      </c>
      <c r="K674" s="15">
        <v>2016</v>
      </c>
      <c r="L674" s="15" t="str">
        <f>"261.87"</f>
        <v>261.87</v>
      </c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 t="str">
        <f>"284.04"</f>
        <v>284.04</v>
      </c>
      <c r="X674" s="15"/>
      <c r="Y674" s="15"/>
      <c r="Z674" s="15" t="str">
        <f>"373.62"</f>
        <v>373.62</v>
      </c>
      <c r="AA674" s="15"/>
      <c r="AB674" s="15"/>
      <c r="AC674" s="15"/>
      <c r="AD674" s="15"/>
      <c r="AE674" s="15"/>
      <c r="AF674" s="15"/>
      <c r="AG674" s="15"/>
      <c r="AH674" s="15"/>
      <c r="AI674" s="15"/>
    </row>
    <row r="675" spans="1:35">
      <c r="A675" s="14">
        <v>673</v>
      </c>
      <c r="B675" s="14">
        <v>10372</v>
      </c>
      <c r="C675" s="14" t="s">
        <v>838</v>
      </c>
      <c r="D675" s="14" t="s">
        <v>839</v>
      </c>
      <c r="E675" s="15" t="str">
        <f>"302.35"</f>
        <v>302.35</v>
      </c>
      <c r="F675" s="15"/>
      <c r="G675" s="16" t="str">
        <f>"330.35"</f>
        <v>330.35</v>
      </c>
      <c r="H675" s="17">
        <f t="shared" si="10"/>
        <v>322.35000000000002</v>
      </c>
      <c r="I675" s="18" t="s">
        <v>40</v>
      </c>
      <c r="J675" s="15">
        <v>1</v>
      </c>
      <c r="K675" s="15">
        <v>2016</v>
      </c>
      <c r="L675" s="15" t="str">
        <f>"302.35"</f>
        <v>302.35</v>
      </c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</row>
    <row r="676" spans="1:35">
      <c r="A676" s="14">
        <v>674</v>
      </c>
      <c r="B676" s="14">
        <v>10298</v>
      </c>
      <c r="C676" s="14" t="s">
        <v>840</v>
      </c>
      <c r="D676" s="14" t="s">
        <v>92</v>
      </c>
      <c r="E676" s="15" t="str">
        <f>"160.05"</f>
        <v>160.05</v>
      </c>
      <c r="F676" s="15"/>
      <c r="G676" s="16" t="str">
        <f>"331.32"</f>
        <v>331.32</v>
      </c>
      <c r="H676" s="17">
        <f t="shared" si="10"/>
        <v>323.32</v>
      </c>
      <c r="I676" s="18"/>
      <c r="J676" s="15">
        <v>3</v>
      </c>
      <c r="K676" s="15">
        <v>2016</v>
      </c>
      <c r="L676" s="15" t="str">
        <f>"160.05"</f>
        <v>160.05</v>
      </c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 t="str">
        <f>"407.74"</f>
        <v>407.74</v>
      </c>
      <c r="AB676" s="15"/>
      <c r="AC676" s="15" t="str">
        <f>"254.89"</f>
        <v>254.89</v>
      </c>
      <c r="AD676" s="15"/>
      <c r="AE676" s="15"/>
      <c r="AF676" s="15"/>
      <c r="AG676" s="15"/>
      <c r="AH676" s="15"/>
      <c r="AI676" s="15"/>
    </row>
    <row r="677" spans="1:35">
      <c r="A677" s="14">
        <v>675</v>
      </c>
      <c r="B677" s="14">
        <v>10218</v>
      </c>
      <c r="C677" s="14" t="s">
        <v>841</v>
      </c>
      <c r="D677" s="14" t="s">
        <v>58</v>
      </c>
      <c r="E677" s="15" t="str">
        <f>"304.26"</f>
        <v>304.26</v>
      </c>
      <c r="F677" s="15"/>
      <c r="G677" s="16" t="str">
        <f>"332.26"</f>
        <v>332.26</v>
      </c>
      <c r="H677" s="17">
        <f t="shared" si="10"/>
        <v>324.26</v>
      </c>
      <c r="I677" s="18" t="s">
        <v>40</v>
      </c>
      <c r="J677" s="15">
        <v>1</v>
      </c>
      <c r="K677" s="15">
        <v>2016</v>
      </c>
      <c r="L677" s="15" t="str">
        <f>"304.26"</f>
        <v>304.26</v>
      </c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</row>
    <row r="678" spans="1:35">
      <c r="A678" s="14">
        <v>676</v>
      </c>
      <c r="B678" s="14">
        <v>4546</v>
      </c>
      <c r="C678" s="14" t="s">
        <v>842</v>
      </c>
      <c r="D678" s="14" t="s">
        <v>162</v>
      </c>
      <c r="E678" s="15" t="str">
        <f>"304.60"</f>
        <v>304.60</v>
      </c>
      <c r="F678" s="15"/>
      <c r="G678" s="16" t="str">
        <f>"332.60"</f>
        <v>332.60</v>
      </c>
      <c r="H678" s="17">
        <f t="shared" si="10"/>
        <v>324.60000000000002</v>
      </c>
      <c r="I678" s="18" t="s">
        <v>40</v>
      </c>
      <c r="J678" s="15">
        <v>1</v>
      </c>
      <c r="K678" s="15">
        <v>2016</v>
      </c>
      <c r="L678" s="15" t="str">
        <f>"304.60"</f>
        <v>304.60</v>
      </c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</row>
    <row r="679" spans="1:35">
      <c r="A679" s="14">
        <v>677</v>
      </c>
      <c r="B679" s="14">
        <v>10165</v>
      </c>
      <c r="C679" s="14" t="s">
        <v>843</v>
      </c>
      <c r="D679" s="14" t="s">
        <v>58</v>
      </c>
      <c r="E679" s="15" t="str">
        <f>"332.95"</f>
        <v>332.95</v>
      </c>
      <c r="F679" s="15"/>
      <c r="G679" s="16" t="str">
        <f>"332.95"</f>
        <v>332.95</v>
      </c>
      <c r="H679" s="17">
        <f t="shared" si="10"/>
        <v>324.95</v>
      </c>
      <c r="I679" s="18"/>
      <c r="J679" s="15">
        <v>3</v>
      </c>
      <c r="K679" s="15">
        <v>2016</v>
      </c>
      <c r="L679" s="15" t="str">
        <f>"575.63"</f>
        <v>575.63</v>
      </c>
      <c r="M679" s="15"/>
      <c r="N679" s="15"/>
      <c r="O679" s="15"/>
      <c r="P679" s="15"/>
      <c r="Q679" s="15"/>
      <c r="R679" s="15"/>
      <c r="S679" s="15"/>
      <c r="T679" s="15"/>
      <c r="U679" s="15" t="str">
        <f>"633.16"</f>
        <v>633.16</v>
      </c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 t="str">
        <f>"297.82"</f>
        <v>297.82</v>
      </c>
      <c r="AH679" s="15" t="str">
        <f>"368.08"</f>
        <v>368.08</v>
      </c>
      <c r="AI679" s="15"/>
    </row>
    <row r="680" spans="1:35">
      <c r="A680" s="14">
        <v>678</v>
      </c>
      <c r="B680" s="14">
        <v>10190</v>
      </c>
      <c r="C680" s="14" t="s">
        <v>844</v>
      </c>
      <c r="D680" s="14" t="s">
        <v>58</v>
      </c>
      <c r="E680" s="15" t="str">
        <f>"333.07"</f>
        <v>333.07</v>
      </c>
      <c r="F680" s="15"/>
      <c r="G680" s="16" t="str">
        <f>"333.07"</f>
        <v>333.07</v>
      </c>
      <c r="H680" s="17">
        <f t="shared" si="10"/>
        <v>325.07</v>
      </c>
      <c r="I680" s="18"/>
      <c r="J680" s="15">
        <v>3</v>
      </c>
      <c r="K680" s="15">
        <v>2016</v>
      </c>
      <c r="L680" s="15" t="str">
        <f>"564.01"</f>
        <v>564.01</v>
      </c>
      <c r="M680" s="15"/>
      <c r="N680" s="15"/>
      <c r="O680" s="15"/>
      <c r="P680" s="15"/>
      <c r="Q680" s="15"/>
      <c r="R680" s="15"/>
      <c r="S680" s="15"/>
      <c r="T680" s="15"/>
      <c r="U680" s="15" t="str">
        <f>"506.52"</f>
        <v>506.52</v>
      </c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 t="str">
        <f>"306.41"</f>
        <v>306.41</v>
      </c>
      <c r="AH680" s="15" t="str">
        <f>"359.73"</f>
        <v>359.73</v>
      </c>
      <c r="AI680" s="15"/>
    </row>
    <row r="681" spans="1:35">
      <c r="A681" s="14">
        <v>679</v>
      </c>
      <c r="B681" s="14">
        <v>5750</v>
      </c>
      <c r="C681" s="14" t="s">
        <v>845</v>
      </c>
      <c r="D681" s="14" t="s">
        <v>189</v>
      </c>
      <c r="E681" s="15" t="str">
        <f>"305.19"</f>
        <v>305.19</v>
      </c>
      <c r="F681" s="15"/>
      <c r="G681" s="16" t="str">
        <f>"333.19"</f>
        <v>333.19</v>
      </c>
      <c r="H681" s="17">
        <f t="shared" si="10"/>
        <v>325.19</v>
      </c>
      <c r="I681" s="18" t="s">
        <v>40</v>
      </c>
      <c r="J681" s="15">
        <v>1</v>
      </c>
      <c r="K681" s="15">
        <v>2016</v>
      </c>
      <c r="L681" s="15" t="str">
        <f>"305.19"</f>
        <v>305.19</v>
      </c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</row>
    <row r="682" spans="1:35">
      <c r="A682" s="14">
        <v>680</v>
      </c>
      <c r="B682" s="14">
        <v>9469</v>
      </c>
      <c r="C682" s="14" t="s">
        <v>846</v>
      </c>
      <c r="D682" s="14" t="s">
        <v>136</v>
      </c>
      <c r="E682" s="15" t="str">
        <f>"328.33"</f>
        <v>328.33</v>
      </c>
      <c r="F682" s="15"/>
      <c r="G682" s="16" t="str">
        <f>"335.25"</f>
        <v>335.25</v>
      </c>
      <c r="H682" s="17">
        <f t="shared" si="10"/>
        <v>327.25</v>
      </c>
      <c r="I682" s="18" t="s">
        <v>43</v>
      </c>
      <c r="J682" s="15">
        <v>2</v>
      </c>
      <c r="K682" s="15">
        <v>2016</v>
      </c>
      <c r="L682" s="15" t="str">
        <f>"349.40"</f>
        <v>349.40</v>
      </c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 t="str">
        <f>"307.25"</f>
        <v>307.25</v>
      </c>
      <c r="AA682" s="15"/>
      <c r="AB682" s="15"/>
      <c r="AC682" s="15"/>
      <c r="AD682" s="15"/>
      <c r="AE682" s="15"/>
      <c r="AF682" s="15"/>
      <c r="AG682" s="15"/>
      <c r="AH682" s="15"/>
      <c r="AI682" s="15"/>
    </row>
    <row r="683" spans="1:35">
      <c r="A683" s="14">
        <v>681</v>
      </c>
      <c r="B683" s="14">
        <v>3107</v>
      </c>
      <c r="C683" s="14" t="s">
        <v>847</v>
      </c>
      <c r="D683" s="14" t="s">
        <v>195</v>
      </c>
      <c r="E683" s="15" t="str">
        <f>"324.96"</f>
        <v>324.96</v>
      </c>
      <c r="F683" s="15"/>
      <c r="G683" s="16" t="str">
        <f>"336.02"</f>
        <v>336.02</v>
      </c>
      <c r="H683" s="17">
        <f t="shared" si="10"/>
        <v>328.02</v>
      </c>
      <c r="I683" s="18" t="s">
        <v>43</v>
      </c>
      <c r="J683" s="15">
        <v>2</v>
      </c>
      <c r="K683" s="15">
        <v>2016</v>
      </c>
      <c r="L683" s="15" t="str">
        <f>"341.90"</f>
        <v>341.90</v>
      </c>
      <c r="M683" s="15"/>
      <c r="N683" s="15"/>
      <c r="O683" s="15"/>
      <c r="P683" s="15"/>
      <c r="Q683" s="15"/>
      <c r="R683" s="15" t="str">
        <f>"308.02"</f>
        <v>308.02</v>
      </c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</row>
    <row r="684" spans="1:35">
      <c r="A684" s="14">
        <v>682</v>
      </c>
      <c r="B684" s="14">
        <v>2817</v>
      </c>
      <c r="C684" s="14" t="s">
        <v>848</v>
      </c>
      <c r="D684" s="14" t="s">
        <v>464</v>
      </c>
      <c r="E684" s="15" t="str">
        <f>"308.82"</f>
        <v>308.82</v>
      </c>
      <c r="F684" s="15"/>
      <c r="G684" s="16" t="str">
        <f>"336.82"</f>
        <v>336.82</v>
      </c>
      <c r="H684" s="17">
        <f t="shared" si="10"/>
        <v>328.82</v>
      </c>
      <c r="I684" s="18" t="s">
        <v>40</v>
      </c>
      <c r="J684" s="15">
        <v>1</v>
      </c>
      <c r="K684" s="15">
        <v>2016</v>
      </c>
      <c r="L684" s="15" t="str">
        <f>"308.82"</f>
        <v>308.82</v>
      </c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</row>
    <row r="685" spans="1:35">
      <c r="A685" s="14">
        <v>683</v>
      </c>
      <c r="B685" s="14">
        <v>10900</v>
      </c>
      <c r="C685" s="14" t="s">
        <v>849</v>
      </c>
      <c r="D685" s="14" t="s">
        <v>51</v>
      </c>
      <c r="E685" s="15" t="str">
        <f>"337.40"</f>
        <v>337.40</v>
      </c>
      <c r="F685" s="15"/>
      <c r="G685" s="16" t="str">
        <f>"337.40"</f>
        <v>337.40</v>
      </c>
      <c r="H685" s="17">
        <f t="shared" si="10"/>
        <v>329.4</v>
      </c>
      <c r="I685" s="18"/>
      <c r="J685" s="15">
        <v>5</v>
      </c>
      <c r="K685" s="15">
        <v>2016</v>
      </c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 t="str">
        <f>"528.16"</f>
        <v>528.16</v>
      </c>
      <c r="Y685" s="15"/>
      <c r="Z685" s="15"/>
      <c r="AA685" s="15"/>
      <c r="AB685" s="15"/>
      <c r="AC685" s="15"/>
      <c r="AD685" s="15"/>
      <c r="AE685" s="15" t="str">
        <f>"415.81"</f>
        <v>415.81</v>
      </c>
      <c r="AF685" s="15"/>
      <c r="AG685" s="15" t="str">
        <f>"324.38"</f>
        <v>324.38</v>
      </c>
      <c r="AH685" s="15" t="str">
        <f>"350.42"</f>
        <v>350.42</v>
      </c>
      <c r="AI685" s="15"/>
    </row>
    <row r="686" spans="1:35">
      <c r="A686" s="14">
        <v>684</v>
      </c>
      <c r="B686" s="14">
        <v>10702</v>
      </c>
      <c r="C686" s="14" t="s">
        <v>850</v>
      </c>
      <c r="D686" s="14" t="s">
        <v>58</v>
      </c>
      <c r="E686" s="15" t="str">
        <f>"338.37"</f>
        <v>338.37</v>
      </c>
      <c r="F686" s="15"/>
      <c r="G686" s="16" t="str">
        <f>"337.98"</f>
        <v>337.98</v>
      </c>
      <c r="H686" s="17">
        <f t="shared" si="10"/>
        <v>329.98</v>
      </c>
      <c r="I686" s="18" t="s">
        <v>43</v>
      </c>
      <c r="J686" s="15">
        <v>2</v>
      </c>
      <c r="K686" s="15">
        <v>2016</v>
      </c>
      <c r="L686" s="15" t="str">
        <f>"366.76"</f>
        <v>366.76</v>
      </c>
      <c r="M686" s="15"/>
      <c r="N686" s="15"/>
      <c r="O686" s="15"/>
      <c r="P686" s="15" t="str">
        <f>"309.98"</f>
        <v>309.98</v>
      </c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</row>
    <row r="687" spans="1:35">
      <c r="A687" s="14">
        <v>685</v>
      </c>
      <c r="B687" s="14">
        <v>5190</v>
      </c>
      <c r="C687" s="14" t="s">
        <v>851</v>
      </c>
      <c r="D687" s="14" t="s">
        <v>184</v>
      </c>
      <c r="E687" s="15" t="str">
        <f>"310.31"</f>
        <v>310.31</v>
      </c>
      <c r="F687" s="15"/>
      <c r="G687" s="16" t="str">
        <f>"338.31"</f>
        <v>338.31</v>
      </c>
      <c r="H687" s="17">
        <f t="shared" si="10"/>
        <v>330.31</v>
      </c>
      <c r="I687" s="18" t="s">
        <v>40</v>
      </c>
      <c r="J687" s="15">
        <v>1</v>
      </c>
      <c r="K687" s="15">
        <v>2016</v>
      </c>
      <c r="L687" s="15" t="str">
        <f>"310.31"</f>
        <v>310.31</v>
      </c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</row>
    <row r="688" spans="1:35">
      <c r="A688" s="14">
        <v>686</v>
      </c>
      <c r="B688" s="14">
        <v>2172</v>
      </c>
      <c r="C688" s="14" t="s">
        <v>852</v>
      </c>
      <c r="D688" s="14" t="s">
        <v>51</v>
      </c>
      <c r="E688" s="15" t="str">
        <f>"333.22"</f>
        <v>333.22</v>
      </c>
      <c r="F688" s="15"/>
      <c r="G688" s="16" t="str">
        <f>"339.35"</f>
        <v>339.35</v>
      </c>
      <c r="H688" s="17">
        <f t="shared" si="10"/>
        <v>331.35</v>
      </c>
      <c r="I688" s="18"/>
      <c r="J688" s="15">
        <v>3</v>
      </c>
      <c r="K688" s="15">
        <v>2016</v>
      </c>
      <c r="L688" s="15" t="str">
        <f>"335.95"</f>
        <v>335.95</v>
      </c>
      <c r="M688" s="15"/>
      <c r="N688" s="15"/>
      <c r="O688" s="15"/>
      <c r="P688" s="15"/>
      <c r="Q688" s="15"/>
      <c r="R688" s="15"/>
      <c r="S688" s="15" t="str">
        <f>"401.88"</f>
        <v>401.88</v>
      </c>
      <c r="T688" s="15" t="str">
        <f>"387.62"</f>
        <v>387.62</v>
      </c>
      <c r="U688" s="15"/>
      <c r="V688" s="15"/>
      <c r="W688" s="15"/>
      <c r="X688" s="15" t="str">
        <f>"348.21"</f>
        <v>348.21</v>
      </c>
      <c r="Y688" s="15" t="str">
        <f>"379.60"</f>
        <v>379.60</v>
      </c>
      <c r="Z688" s="15"/>
      <c r="AA688" s="15"/>
      <c r="AB688" s="15"/>
      <c r="AC688" s="15"/>
      <c r="AD688" s="15"/>
      <c r="AE688" s="15" t="str">
        <f>"330.49"</f>
        <v>330.49</v>
      </c>
      <c r="AF688" s="15"/>
      <c r="AG688" s="15"/>
      <c r="AH688" s="15"/>
      <c r="AI688" s="15"/>
    </row>
    <row r="689" spans="1:35">
      <c r="A689" s="14">
        <v>687</v>
      </c>
      <c r="B689" s="14">
        <v>9332</v>
      </c>
      <c r="C689" s="14" t="s">
        <v>853</v>
      </c>
      <c r="D689" s="14" t="s">
        <v>316</v>
      </c>
      <c r="E689" s="15" t="str">
        <f>"312.55"</f>
        <v>312.55</v>
      </c>
      <c r="F689" s="15"/>
      <c r="G689" s="16" t="str">
        <f>"340.55"</f>
        <v>340.55</v>
      </c>
      <c r="H689" s="17">
        <f t="shared" si="10"/>
        <v>332.55</v>
      </c>
      <c r="I689" s="18" t="s">
        <v>40</v>
      </c>
      <c r="J689" s="15">
        <v>1</v>
      </c>
      <c r="K689" s="15">
        <v>2016</v>
      </c>
      <c r="L689" s="15" t="str">
        <f>"312.55"</f>
        <v>312.55</v>
      </c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</row>
    <row r="690" spans="1:35">
      <c r="A690" s="14">
        <v>688</v>
      </c>
      <c r="B690" s="14">
        <v>4325</v>
      </c>
      <c r="C690" s="14" t="s">
        <v>854</v>
      </c>
      <c r="D690" s="14" t="s">
        <v>855</v>
      </c>
      <c r="E690" s="15" t="str">
        <f>"340.91"</f>
        <v>340.91</v>
      </c>
      <c r="F690" s="15"/>
      <c r="G690" s="16" t="str">
        <f>"340.91"</f>
        <v>340.91</v>
      </c>
      <c r="H690" s="17">
        <f t="shared" si="10"/>
        <v>332.91</v>
      </c>
      <c r="I690" s="18" t="s">
        <v>43</v>
      </c>
      <c r="J690" s="15">
        <v>4</v>
      </c>
      <c r="K690" s="15">
        <v>2016</v>
      </c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 t="str">
        <f>"312.91"</f>
        <v>312.91</v>
      </c>
      <c r="AA690" s="15"/>
      <c r="AB690" s="15"/>
      <c r="AC690" s="15"/>
      <c r="AD690" s="15"/>
      <c r="AE690" s="15"/>
      <c r="AF690" s="15"/>
      <c r="AG690" s="15"/>
      <c r="AH690" s="15"/>
      <c r="AI690" s="15"/>
    </row>
    <row r="691" spans="1:35">
      <c r="A691" s="14">
        <v>689</v>
      </c>
      <c r="B691" s="14">
        <v>10677</v>
      </c>
      <c r="C691" s="14" t="s">
        <v>856</v>
      </c>
      <c r="D691" s="14" t="s">
        <v>42</v>
      </c>
      <c r="E691" s="15" t="str">
        <f>"313.73"</f>
        <v>313.73</v>
      </c>
      <c r="F691" s="15"/>
      <c r="G691" s="16" t="str">
        <f>"341.73"</f>
        <v>341.73</v>
      </c>
      <c r="H691" s="17">
        <f t="shared" si="10"/>
        <v>333.73</v>
      </c>
      <c r="I691" s="18" t="s">
        <v>40</v>
      </c>
      <c r="J691" s="15">
        <v>1</v>
      </c>
      <c r="K691" s="15">
        <v>2016</v>
      </c>
      <c r="L691" s="15" t="str">
        <f>"313.73"</f>
        <v>313.73</v>
      </c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</row>
    <row r="692" spans="1:35">
      <c r="A692" s="14">
        <v>690</v>
      </c>
      <c r="B692" s="14">
        <v>8646</v>
      </c>
      <c r="C692" s="14" t="s">
        <v>857</v>
      </c>
      <c r="D692" s="14" t="s">
        <v>51</v>
      </c>
      <c r="E692" s="15" t="str">
        <f>"325.62"</f>
        <v>325.62</v>
      </c>
      <c r="F692" s="15"/>
      <c r="G692" s="16" t="str">
        <f>"342.21"</f>
        <v>342.21</v>
      </c>
      <c r="H692" s="17">
        <f t="shared" si="10"/>
        <v>334.21</v>
      </c>
      <c r="I692" s="18" t="s">
        <v>43</v>
      </c>
      <c r="J692" s="15">
        <v>2</v>
      </c>
      <c r="K692" s="15">
        <v>2016</v>
      </c>
      <c r="L692" s="15" t="str">
        <f>"337.02"</f>
        <v>337.02</v>
      </c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 t="str">
        <f>"314.21"</f>
        <v>314.21</v>
      </c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</row>
    <row r="693" spans="1:35">
      <c r="A693" s="14">
        <v>691</v>
      </c>
      <c r="B693" s="14">
        <v>10441</v>
      </c>
      <c r="C693" s="14" t="s">
        <v>858</v>
      </c>
      <c r="D693" s="14" t="s">
        <v>58</v>
      </c>
      <c r="E693" s="15" t="str">
        <f>"343.62"</f>
        <v>343.62</v>
      </c>
      <c r="F693" s="15"/>
      <c r="G693" s="16" t="str">
        <f>"343.62"</f>
        <v>343.62</v>
      </c>
      <c r="H693" s="17">
        <f t="shared" si="10"/>
        <v>335.62</v>
      </c>
      <c r="I693" s="18"/>
      <c r="J693" s="15">
        <v>5</v>
      </c>
      <c r="K693" s="15">
        <v>2016</v>
      </c>
      <c r="L693" s="15"/>
      <c r="M693" s="15"/>
      <c r="N693" s="15"/>
      <c r="O693" s="15"/>
      <c r="P693" s="15"/>
      <c r="Q693" s="15"/>
      <c r="R693" s="15"/>
      <c r="S693" s="15"/>
      <c r="T693" s="15"/>
      <c r="U693" s="15" t="str">
        <f>"716.86"</f>
        <v>716.86</v>
      </c>
      <c r="V693" s="15"/>
      <c r="W693" s="15"/>
      <c r="X693" s="15"/>
      <c r="Y693" s="15"/>
      <c r="Z693" s="15"/>
      <c r="AA693" s="15" t="str">
        <f>"384.52"</f>
        <v>384.52</v>
      </c>
      <c r="AB693" s="15"/>
      <c r="AC693" s="15" t="str">
        <f>"358.29"</f>
        <v>358.29</v>
      </c>
      <c r="AD693" s="15"/>
      <c r="AE693" s="15"/>
      <c r="AF693" s="15" t="str">
        <f>"328.94"</f>
        <v>328.94</v>
      </c>
      <c r="AG693" s="15"/>
      <c r="AH693" s="15"/>
      <c r="AI693" s="15"/>
    </row>
    <row r="694" spans="1:35">
      <c r="A694" s="14">
        <v>692</v>
      </c>
      <c r="B694" s="14">
        <v>9981</v>
      </c>
      <c r="C694" s="14" t="s">
        <v>859</v>
      </c>
      <c r="D694" s="14" t="s">
        <v>119</v>
      </c>
      <c r="E694" s="15" t="str">
        <f>"316.33"</f>
        <v>316.33</v>
      </c>
      <c r="F694" s="15"/>
      <c r="G694" s="16" t="str">
        <f>"344.33"</f>
        <v>344.33</v>
      </c>
      <c r="H694" s="17">
        <f t="shared" si="10"/>
        <v>336.33</v>
      </c>
      <c r="I694" s="18" t="s">
        <v>40</v>
      </c>
      <c r="J694" s="15">
        <v>1</v>
      </c>
      <c r="K694" s="15">
        <v>2016</v>
      </c>
      <c r="L694" s="15" t="str">
        <f>"316.33"</f>
        <v>316.33</v>
      </c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</row>
    <row r="695" spans="1:35">
      <c r="A695" s="14">
        <v>693</v>
      </c>
      <c r="B695" s="14">
        <v>2309</v>
      </c>
      <c r="C695" s="14" t="s">
        <v>860</v>
      </c>
      <c r="D695" s="14" t="s">
        <v>51</v>
      </c>
      <c r="E695" s="15" t="str">
        <f>"282.73"</f>
        <v>282.73</v>
      </c>
      <c r="F695" s="15"/>
      <c r="G695" s="16" t="str">
        <f>"344.89"</f>
        <v>344.89</v>
      </c>
      <c r="H695" s="17">
        <f t="shared" si="10"/>
        <v>336.89</v>
      </c>
      <c r="I695" s="18"/>
      <c r="J695" s="15">
        <v>3</v>
      </c>
      <c r="K695" s="15">
        <v>2016</v>
      </c>
      <c r="L695" s="15" t="str">
        <f>"319.17"</f>
        <v>319.17</v>
      </c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 t="str">
        <f>"246.29"</f>
        <v>246.29</v>
      </c>
      <c r="AH695" s="15" t="str">
        <f>"443.48"</f>
        <v>443.48</v>
      </c>
      <c r="AI695" s="15"/>
    </row>
    <row r="696" spans="1:35">
      <c r="A696" s="14">
        <v>694</v>
      </c>
      <c r="B696" s="14">
        <v>10340</v>
      </c>
      <c r="C696" s="14" t="s">
        <v>861</v>
      </c>
      <c r="D696" s="14" t="s">
        <v>51</v>
      </c>
      <c r="E696" s="15" t="str">
        <f>"303.83"</f>
        <v>303.83</v>
      </c>
      <c r="F696" s="15"/>
      <c r="G696" s="16" t="str">
        <f>"345.20"</f>
        <v>345.20</v>
      </c>
      <c r="H696" s="17">
        <f t="shared" si="10"/>
        <v>337.2</v>
      </c>
      <c r="I696" s="18"/>
      <c r="J696" s="15">
        <v>3</v>
      </c>
      <c r="K696" s="15">
        <v>2016</v>
      </c>
      <c r="L696" s="15" t="str">
        <f>"327.87"</f>
        <v>327.87</v>
      </c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 t="str">
        <f>"279.79"</f>
        <v>279.79</v>
      </c>
      <c r="Y696" s="15" t="str">
        <f>"410.60"</f>
        <v>410.60</v>
      </c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</row>
    <row r="697" spans="1:35">
      <c r="A697" s="14">
        <v>695</v>
      </c>
      <c r="B697" s="14">
        <v>4539</v>
      </c>
      <c r="C697" s="14" t="s">
        <v>862</v>
      </c>
      <c r="D697" s="14" t="s">
        <v>248</v>
      </c>
      <c r="E697" s="15" t="str">
        <f>"317.22"</f>
        <v>317.22</v>
      </c>
      <c r="F697" s="15"/>
      <c r="G697" s="16" t="str">
        <f>"345.22"</f>
        <v>345.22</v>
      </c>
      <c r="H697" s="17">
        <f t="shared" si="10"/>
        <v>337.22</v>
      </c>
      <c r="I697" s="18" t="s">
        <v>40</v>
      </c>
      <c r="J697" s="15">
        <v>1</v>
      </c>
      <c r="K697" s="15">
        <v>2016</v>
      </c>
      <c r="L697" s="15" t="str">
        <f>"317.22"</f>
        <v>317.22</v>
      </c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</row>
    <row r="698" spans="1:35">
      <c r="A698" s="14">
        <v>696</v>
      </c>
      <c r="B698" s="14">
        <v>2174</v>
      </c>
      <c r="C698" s="14" t="s">
        <v>863</v>
      </c>
      <c r="D698" s="14" t="s">
        <v>51</v>
      </c>
      <c r="E698" s="15" t="str">
        <f>"293.52"</f>
        <v>293.52</v>
      </c>
      <c r="F698" s="15"/>
      <c r="G698" s="16" t="str">
        <f>"345.56"</f>
        <v>345.56</v>
      </c>
      <c r="H698" s="17">
        <f t="shared" si="10"/>
        <v>337.56</v>
      </c>
      <c r="I698" s="18"/>
      <c r="J698" s="15">
        <v>3</v>
      </c>
      <c r="K698" s="15">
        <v>2016</v>
      </c>
      <c r="L698" s="15" t="str">
        <f>"293.52"</f>
        <v>293.52</v>
      </c>
      <c r="M698" s="15"/>
      <c r="N698" s="15"/>
      <c r="O698" s="15"/>
      <c r="P698" s="15"/>
      <c r="Q698" s="15"/>
      <c r="R698" s="15"/>
      <c r="S698" s="15" t="str">
        <f>"382.73"</f>
        <v>382.73</v>
      </c>
      <c r="T698" s="15"/>
      <c r="U698" s="15"/>
      <c r="V698" s="15"/>
      <c r="W698" s="15"/>
      <c r="X698" s="15" t="str">
        <f>"351.70"</f>
        <v>351.70</v>
      </c>
      <c r="Y698" s="15" t="str">
        <f>"342.01"</f>
        <v>342.01</v>
      </c>
      <c r="Z698" s="15"/>
      <c r="AA698" s="15"/>
      <c r="AB698" s="15"/>
      <c r="AC698" s="15"/>
      <c r="AD698" s="15"/>
      <c r="AE698" s="15" t="str">
        <f>"349.11"</f>
        <v>349.11</v>
      </c>
      <c r="AF698" s="15"/>
      <c r="AG698" s="15"/>
      <c r="AH698" s="15"/>
      <c r="AI698" s="15"/>
    </row>
    <row r="699" spans="1:35">
      <c r="A699" s="14">
        <v>697</v>
      </c>
      <c r="B699" s="14">
        <v>5512</v>
      </c>
      <c r="C699" s="14" t="s">
        <v>864</v>
      </c>
      <c r="D699" s="14" t="s">
        <v>51</v>
      </c>
      <c r="E699" s="15" t="str">
        <f>"319.39"</f>
        <v>319.39</v>
      </c>
      <c r="F699" s="15"/>
      <c r="G699" s="16" t="str">
        <f>"347.39"</f>
        <v>347.39</v>
      </c>
      <c r="H699" s="17">
        <f t="shared" si="10"/>
        <v>339.39</v>
      </c>
      <c r="I699" s="18" t="s">
        <v>40</v>
      </c>
      <c r="J699" s="15">
        <v>1</v>
      </c>
      <c r="K699" s="15">
        <v>2016</v>
      </c>
      <c r="L699" s="15" t="str">
        <f>"319.39"</f>
        <v>319.39</v>
      </c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</row>
    <row r="700" spans="1:35">
      <c r="A700" s="14">
        <v>698</v>
      </c>
      <c r="B700" s="14">
        <v>2396</v>
      </c>
      <c r="C700" s="14" t="s">
        <v>865</v>
      </c>
      <c r="D700" s="14" t="s">
        <v>51</v>
      </c>
      <c r="E700" s="15" t="str">
        <f>"336.78"</f>
        <v>336.78</v>
      </c>
      <c r="F700" s="15"/>
      <c r="G700" s="16" t="str">
        <f>"347.55"</f>
        <v>347.55</v>
      </c>
      <c r="H700" s="17">
        <f t="shared" si="10"/>
        <v>339.55</v>
      </c>
      <c r="I700" s="18"/>
      <c r="J700" s="15">
        <v>3</v>
      </c>
      <c r="K700" s="15">
        <v>2016</v>
      </c>
      <c r="L700" s="15" t="str">
        <f>"352.45"</f>
        <v>352.45</v>
      </c>
      <c r="M700" s="15"/>
      <c r="N700" s="15"/>
      <c r="O700" s="15"/>
      <c r="P700" s="15"/>
      <c r="Q700" s="15"/>
      <c r="R700" s="15"/>
      <c r="S700" s="15" t="str">
        <f>"453.96"</f>
        <v>453.96</v>
      </c>
      <c r="T700" s="15"/>
      <c r="U700" s="15"/>
      <c r="V700" s="15"/>
      <c r="W700" s="15"/>
      <c r="X700" s="15" t="str">
        <f>"321.10"</f>
        <v>321.10</v>
      </c>
      <c r="Y700" s="15" t="str">
        <f>"373.99"</f>
        <v>373.99</v>
      </c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</row>
    <row r="701" spans="1:35">
      <c r="A701" s="14">
        <v>699</v>
      </c>
      <c r="B701" s="14">
        <v>5511</v>
      </c>
      <c r="C701" s="14" t="s">
        <v>866</v>
      </c>
      <c r="D701" s="14" t="s">
        <v>570</v>
      </c>
      <c r="E701" s="15" t="str">
        <f>"319.99"</f>
        <v>319.99</v>
      </c>
      <c r="F701" s="15"/>
      <c r="G701" s="16" t="str">
        <f>"347.99"</f>
        <v>347.99</v>
      </c>
      <c r="H701" s="17">
        <f t="shared" si="10"/>
        <v>339.99</v>
      </c>
      <c r="I701" s="18" t="s">
        <v>40</v>
      </c>
      <c r="J701" s="15">
        <v>1</v>
      </c>
      <c r="K701" s="15">
        <v>2016</v>
      </c>
      <c r="L701" s="15" t="str">
        <f>"319.99"</f>
        <v>319.99</v>
      </c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</row>
    <row r="702" spans="1:35">
      <c r="A702" s="14">
        <v>700</v>
      </c>
      <c r="B702" s="14">
        <v>10592</v>
      </c>
      <c r="C702" s="14" t="s">
        <v>867</v>
      </c>
      <c r="D702" s="14" t="s">
        <v>51</v>
      </c>
      <c r="E702" s="15" t="str">
        <f>"348.28"</f>
        <v>348.28</v>
      </c>
      <c r="F702" s="15"/>
      <c r="G702" s="16" t="str">
        <f>"348.28"</f>
        <v>348.28</v>
      </c>
      <c r="H702" s="17">
        <f t="shared" si="10"/>
        <v>340.28</v>
      </c>
      <c r="I702" s="18"/>
      <c r="J702" s="15">
        <v>3</v>
      </c>
      <c r="K702" s="15">
        <v>2016</v>
      </c>
      <c r="L702" s="15" t="str">
        <f>"433.79"</f>
        <v>433.79</v>
      </c>
      <c r="M702" s="15"/>
      <c r="N702" s="15"/>
      <c r="O702" s="15"/>
      <c r="P702" s="15"/>
      <c r="Q702" s="15"/>
      <c r="R702" s="15"/>
      <c r="S702" s="15" t="str">
        <f>"349.68"</f>
        <v>349.68</v>
      </c>
      <c r="T702" s="15" t="str">
        <f>"346.87"</f>
        <v>346.87</v>
      </c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</row>
    <row r="703" spans="1:35">
      <c r="A703" s="14">
        <v>701</v>
      </c>
      <c r="B703" s="14">
        <v>10436</v>
      </c>
      <c r="C703" s="14" t="s">
        <v>868</v>
      </c>
      <c r="D703" s="14" t="s">
        <v>58</v>
      </c>
      <c r="E703" s="15" t="str">
        <f>"349.54"</f>
        <v>349.54</v>
      </c>
      <c r="F703" s="15"/>
      <c r="G703" s="16" t="str">
        <f>"349.54"</f>
        <v>349.54</v>
      </c>
      <c r="H703" s="17">
        <f t="shared" si="10"/>
        <v>341.54</v>
      </c>
      <c r="I703" s="18"/>
      <c r="J703" s="15">
        <v>5</v>
      </c>
      <c r="K703" s="15">
        <v>2016</v>
      </c>
      <c r="L703" s="15"/>
      <c r="M703" s="15"/>
      <c r="N703" s="15"/>
      <c r="O703" s="15"/>
      <c r="P703" s="15"/>
      <c r="Q703" s="15"/>
      <c r="R703" s="15"/>
      <c r="S703" s="15"/>
      <c r="T703" s="15"/>
      <c r="U703" s="15" t="str">
        <f>"1607.84"</f>
        <v>1607.84</v>
      </c>
      <c r="V703" s="15"/>
      <c r="W703" s="15"/>
      <c r="X703" s="15"/>
      <c r="Y703" s="15"/>
      <c r="Z703" s="15"/>
      <c r="AA703" s="15" t="str">
        <f>"436.18"</f>
        <v>436.18</v>
      </c>
      <c r="AB703" s="15"/>
      <c r="AC703" s="15" t="str">
        <f>"405.87"</f>
        <v>405.87</v>
      </c>
      <c r="AD703" s="15"/>
      <c r="AE703" s="15"/>
      <c r="AF703" s="15" t="str">
        <f>"293.21"</f>
        <v>293.21</v>
      </c>
      <c r="AG703" s="15"/>
      <c r="AH703" s="15"/>
      <c r="AI703" s="15"/>
    </row>
    <row r="704" spans="1:35">
      <c r="A704" s="14">
        <v>702</v>
      </c>
      <c r="B704" s="14">
        <v>11097</v>
      </c>
      <c r="C704" s="14" t="s">
        <v>869</v>
      </c>
      <c r="D704" s="14" t="s">
        <v>45</v>
      </c>
      <c r="E704" s="15" t="str">
        <f>"349.63"</f>
        <v>349.63</v>
      </c>
      <c r="F704" s="15"/>
      <c r="G704" s="16" t="str">
        <f>"349.63"</f>
        <v>349.63</v>
      </c>
      <c r="H704" s="17">
        <f t="shared" si="10"/>
        <v>341.63</v>
      </c>
      <c r="I704" s="18" t="s">
        <v>43</v>
      </c>
      <c r="J704" s="15">
        <v>4</v>
      </c>
      <c r="K704" s="15">
        <v>2016</v>
      </c>
      <c r="L704" s="15"/>
      <c r="M704" s="15" t="str">
        <f>"321.63"</f>
        <v>321.63</v>
      </c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</row>
    <row r="705" spans="1:35">
      <c r="A705" s="14">
        <v>703</v>
      </c>
      <c r="B705" s="14">
        <v>10844</v>
      </c>
      <c r="C705" s="14" t="s">
        <v>870</v>
      </c>
      <c r="D705" s="14" t="s">
        <v>51</v>
      </c>
      <c r="E705" s="15" t="str">
        <f>"349.70"</f>
        <v>349.70</v>
      </c>
      <c r="F705" s="15"/>
      <c r="G705" s="16" t="str">
        <f>"349.70"</f>
        <v>349.70</v>
      </c>
      <c r="H705" s="17">
        <f t="shared" si="10"/>
        <v>341.7</v>
      </c>
      <c r="I705" s="18"/>
      <c r="J705" s="15">
        <v>5</v>
      </c>
      <c r="K705" s="15">
        <v>2016</v>
      </c>
      <c r="L705" s="15"/>
      <c r="M705" s="15"/>
      <c r="N705" s="15"/>
      <c r="O705" s="15"/>
      <c r="P705" s="15"/>
      <c r="Q705" s="15"/>
      <c r="R705" s="15"/>
      <c r="S705" s="15" t="str">
        <f>"420.45"</f>
        <v>420.45</v>
      </c>
      <c r="T705" s="15" t="str">
        <f>"464.31"</f>
        <v>464.31</v>
      </c>
      <c r="U705" s="15"/>
      <c r="V705" s="15"/>
      <c r="W705" s="15"/>
      <c r="X705" s="15" t="str">
        <f>"360.18"</f>
        <v>360.18</v>
      </c>
      <c r="Y705" s="15" t="str">
        <f>"339.21"</f>
        <v>339.21</v>
      </c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</row>
    <row r="706" spans="1:35">
      <c r="A706" s="14">
        <v>704</v>
      </c>
      <c r="B706" s="14">
        <v>6661</v>
      </c>
      <c r="C706" s="14" t="s">
        <v>871</v>
      </c>
      <c r="D706" s="14" t="s">
        <v>158</v>
      </c>
      <c r="E706" s="15" t="str">
        <f>"321.92"</f>
        <v>321.92</v>
      </c>
      <c r="F706" s="15"/>
      <c r="G706" s="16" t="str">
        <f>"349.92"</f>
        <v>349.92</v>
      </c>
      <c r="H706" s="17">
        <f t="shared" si="10"/>
        <v>341.92</v>
      </c>
      <c r="I706" s="18" t="s">
        <v>40</v>
      </c>
      <c r="J706" s="15">
        <v>1</v>
      </c>
      <c r="K706" s="15">
        <v>2016</v>
      </c>
      <c r="L706" s="15" t="str">
        <f>"321.92"</f>
        <v>321.92</v>
      </c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</row>
    <row r="707" spans="1:35">
      <c r="A707" s="14">
        <v>705</v>
      </c>
      <c r="B707" s="14">
        <v>10024</v>
      </c>
      <c r="C707" s="14" t="s">
        <v>872</v>
      </c>
      <c r="D707" s="14" t="s">
        <v>51</v>
      </c>
      <c r="E707" s="15" t="str">
        <f>"349.93"</f>
        <v>349.93</v>
      </c>
      <c r="F707" s="15"/>
      <c r="G707" s="16" t="str">
        <f>"349.93"</f>
        <v>349.93</v>
      </c>
      <c r="H707" s="17">
        <f t="shared" ref="H707:H770" si="11">G707-8</f>
        <v>341.93</v>
      </c>
      <c r="I707" s="18"/>
      <c r="J707" s="15">
        <v>3</v>
      </c>
      <c r="K707" s="15">
        <v>2016</v>
      </c>
      <c r="L707" s="15" t="str">
        <f>"365.57"</f>
        <v>365.57</v>
      </c>
      <c r="M707" s="15"/>
      <c r="N707" s="15"/>
      <c r="O707" s="15"/>
      <c r="P707" s="15"/>
      <c r="Q707" s="15"/>
      <c r="R707" s="15"/>
      <c r="S707" s="15" t="str">
        <f>"354.93"</f>
        <v>354.93</v>
      </c>
      <c r="T707" s="15" t="str">
        <f>"388.97"</f>
        <v>388.97</v>
      </c>
      <c r="U707" s="15"/>
      <c r="V707" s="15"/>
      <c r="W707" s="15"/>
      <c r="X707" s="15" t="str">
        <f>"344.93"</f>
        <v>344.93</v>
      </c>
      <c r="Y707" s="15" t="str">
        <f>"375.04"</f>
        <v>375.04</v>
      </c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</row>
    <row r="708" spans="1:35">
      <c r="A708" s="14">
        <v>706</v>
      </c>
      <c r="B708" s="14">
        <v>10617</v>
      </c>
      <c r="C708" s="14" t="s">
        <v>873</v>
      </c>
      <c r="D708" s="14" t="s">
        <v>51</v>
      </c>
      <c r="E708" s="15" t="str">
        <f>"350.59"</f>
        <v>350.59</v>
      </c>
      <c r="F708" s="15"/>
      <c r="G708" s="16" t="str">
        <f>"350.59"</f>
        <v>350.59</v>
      </c>
      <c r="H708" s="17">
        <f t="shared" si="11"/>
        <v>342.59</v>
      </c>
      <c r="I708" s="18"/>
      <c r="J708" s="15">
        <v>3</v>
      </c>
      <c r="K708" s="15">
        <v>2016</v>
      </c>
      <c r="L708" s="15" t="str">
        <f>"446.99"</f>
        <v>446.99</v>
      </c>
      <c r="M708" s="15"/>
      <c r="N708" s="15"/>
      <c r="O708" s="15"/>
      <c r="P708" s="15"/>
      <c r="Q708" s="15"/>
      <c r="R708" s="15"/>
      <c r="S708" s="15" t="str">
        <f>"414.64"</f>
        <v>414.64</v>
      </c>
      <c r="T708" s="15" t="str">
        <f>"480.82"</f>
        <v>480.82</v>
      </c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 t="str">
        <f>"286.53"</f>
        <v>286.53</v>
      </c>
      <c r="AH708" s="15" t="str">
        <f>"482.91"</f>
        <v>482.91</v>
      </c>
      <c r="AI708" s="15"/>
    </row>
    <row r="709" spans="1:35">
      <c r="A709" s="14">
        <v>707</v>
      </c>
      <c r="B709" s="14">
        <v>1365</v>
      </c>
      <c r="C709" s="14" t="s">
        <v>874</v>
      </c>
      <c r="D709" s="14" t="s">
        <v>497</v>
      </c>
      <c r="E709" s="15" t="str">
        <f>"322.69"</f>
        <v>322.69</v>
      </c>
      <c r="F709" s="15"/>
      <c r="G709" s="16" t="str">
        <f>"350.69"</f>
        <v>350.69</v>
      </c>
      <c r="H709" s="17">
        <f t="shared" si="11"/>
        <v>342.69</v>
      </c>
      <c r="I709" s="18" t="s">
        <v>40</v>
      </c>
      <c r="J709" s="15">
        <v>1</v>
      </c>
      <c r="K709" s="15">
        <v>2016</v>
      </c>
      <c r="L709" s="15" t="str">
        <f>"322.69"</f>
        <v>322.69</v>
      </c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</row>
    <row r="710" spans="1:35">
      <c r="A710" s="14">
        <v>708</v>
      </c>
      <c r="B710" s="14">
        <v>4346</v>
      </c>
      <c r="C710" s="14" t="s">
        <v>875</v>
      </c>
      <c r="D710" s="14" t="s">
        <v>127</v>
      </c>
      <c r="E710" s="15" t="str">
        <f>"322.83"</f>
        <v>322.83</v>
      </c>
      <c r="F710" s="15"/>
      <c r="G710" s="16" t="str">
        <f>"350.83"</f>
        <v>350.83</v>
      </c>
      <c r="H710" s="17">
        <f t="shared" si="11"/>
        <v>342.83</v>
      </c>
      <c r="I710" s="18" t="s">
        <v>40</v>
      </c>
      <c r="J710" s="15">
        <v>1</v>
      </c>
      <c r="K710" s="15">
        <v>2016</v>
      </c>
      <c r="L710" s="15" t="str">
        <f>"322.83"</f>
        <v>322.83</v>
      </c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</row>
    <row r="711" spans="1:35">
      <c r="A711" s="14">
        <v>709</v>
      </c>
      <c r="B711" s="14">
        <v>8088</v>
      </c>
      <c r="C711" s="14" t="s">
        <v>876</v>
      </c>
      <c r="D711" s="14" t="s">
        <v>98</v>
      </c>
      <c r="E711" s="15" t="str">
        <f>"336.04"</f>
        <v>336.04</v>
      </c>
      <c r="F711" s="15"/>
      <c r="G711" s="16" t="str">
        <f>"350.97"</f>
        <v>350.97</v>
      </c>
      <c r="H711" s="17">
        <f t="shared" si="11"/>
        <v>342.97</v>
      </c>
      <c r="I711" s="18" t="s">
        <v>43</v>
      </c>
      <c r="J711" s="15">
        <v>2</v>
      </c>
      <c r="K711" s="15">
        <v>2016</v>
      </c>
      <c r="L711" s="15" t="str">
        <f>"349.11"</f>
        <v>349.11</v>
      </c>
      <c r="M711" s="15"/>
      <c r="N711" s="15"/>
      <c r="O711" s="15"/>
      <c r="P711" s="15"/>
      <c r="Q711" s="15"/>
      <c r="R711" s="15"/>
      <c r="S711" s="15"/>
      <c r="T711" s="15"/>
      <c r="U711" s="15"/>
      <c r="V711" s="15" t="str">
        <f>"322.97"</f>
        <v>322.97</v>
      </c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</row>
    <row r="712" spans="1:35">
      <c r="A712" s="14">
        <v>710</v>
      </c>
      <c r="B712" s="14">
        <v>10202</v>
      </c>
      <c r="C712" s="14" t="s">
        <v>877</v>
      </c>
      <c r="D712" s="14" t="s">
        <v>58</v>
      </c>
      <c r="E712" s="15" t="str">
        <f>"351.07"</f>
        <v>351.07</v>
      </c>
      <c r="F712" s="15"/>
      <c r="G712" s="16" t="str">
        <f>"351.07"</f>
        <v>351.07</v>
      </c>
      <c r="H712" s="17">
        <f t="shared" si="11"/>
        <v>343.07</v>
      </c>
      <c r="I712" s="18"/>
      <c r="J712" s="15">
        <v>3</v>
      </c>
      <c r="K712" s="15">
        <v>2016</v>
      </c>
      <c r="L712" s="15" t="str">
        <f>"600.35"</f>
        <v>600.35</v>
      </c>
      <c r="M712" s="15"/>
      <c r="N712" s="15"/>
      <c r="O712" s="15"/>
      <c r="P712" s="15"/>
      <c r="Q712" s="15"/>
      <c r="R712" s="15"/>
      <c r="S712" s="15"/>
      <c r="T712" s="15"/>
      <c r="U712" s="15" t="str">
        <f>"644.18"</f>
        <v>644.18</v>
      </c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 t="str">
        <f>"350.30"</f>
        <v>350.30</v>
      </c>
      <c r="AH712" s="15" t="str">
        <f>"351.84"</f>
        <v>351.84</v>
      </c>
      <c r="AI712" s="15"/>
    </row>
    <row r="713" spans="1:35">
      <c r="A713" s="14">
        <v>711</v>
      </c>
      <c r="B713" s="14">
        <v>10971</v>
      </c>
      <c r="C713" s="14" t="s">
        <v>878</v>
      </c>
      <c r="D713" s="14" t="s">
        <v>45</v>
      </c>
      <c r="E713" s="15" t="str">
        <f>"352.11"</f>
        <v>352.11</v>
      </c>
      <c r="F713" s="15"/>
      <c r="G713" s="16" t="str">
        <f>"352.11"</f>
        <v>352.11</v>
      </c>
      <c r="H713" s="17">
        <f t="shared" si="11"/>
        <v>344.11</v>
      </c>
      <c r="I713" s="18" t="s">
        <v>43</v>
      </c>
      <c r="J713" s="15">
        <v>4</v>
      </c>
      <c r="K713" s="15">
        <v>2016</v>
      </c>
      <c r="L713" s="15"/>
      <c r="M713" s="15" t="str">
        <f>"324.11"</f>
        <v>324.11</v>
      </c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</row>
    <row r="714" spans="1:35">
      <c r="A714" s="14">
        <v>712</v>
      </c>
      <c r="B714" s="14">
        <v>2332</v>
      </c>
      <c r="C714" s="14" t="s">
        <v>879</v>
      </c>
      <c r="D714" s="14" t="s">
        <v>51</v>
      </c>
      <c r="E714" s="15" t="str">
        <f>"352.21"</f>
        <v>352.21</v>
      </c>
      <c r="F714" s="15"/>
      <c r="G714" s="16" t="str">
        <f>"352.21"</f>
        <v>352.21</v>
      </c>
      <c r="H714" s="17">
        <f t="shared" si="11"/>
        <v>344.21</v>
      </c>
      <c r="I714" s="18"/>
      <c r="J714" s="15">
        <v>3</v>
      </c>
      <c r="K714" s="15">
        <v>2016</v>
      </c>
      <c r="L714" s="15" t="str">
        <f>"446.24"</f>
        <v>446.24</v>
      </c>
      <c r="M714" s="15"/>
      <c r="N714" s="15"/>
      <c r="O714" s="15"/>
      <c r="P714" s="15"/>
      <c r="Q714" s="15"/>
      <c r="R714" s="15"/>
      <c r="S714" s="15" t="str">
        <f>"392.76"</f>
        <v>392.76</v>
      </c>
      <c r="T714" s="15" t="str">
        <f>"455.24"</f>
        <v>455.24</v>
      </c>
      <c r="U714" s="15"/>
      <c r="V714" s="15"/>
      <c r="W714" s="15"/>
      <c r="X714" s="15" t="str">
        <f>"467.36"</f>
        <v>467.36</v>
      </c>
      <c r="Y714" s="15"/>
      <c r="Z714" s="15"/>
      <c r="AA714" s="15"/>
      <c r="AB714" s="15"/>
      <c r="AC714" s="15"/>
      <c r="AD714" s="15"/>
      <c r="AE714" s="15"/>
      <c r="AF714" s="15"/>
      <c r="AG714" s="15" t="str">
        <f>"311.66"</f>
        <v>311.66</v>
      </c>
      <c r="AH714" s="15"/>
      <c r="AI714" s="15"/>
    </row>
    <row r="715" spans="1:35">
      <c r="A715" s="14">
        <v>713</v>
      </c>
      <c r="B715" s="14">
        <v>10117</v>
      </c>
      <c r="C715" s="14" t="s">
        <v>880</v>
      </c>
      <c r="D715" s="14" t="s">
        <v>58</v>
      </c>
      <c r="E715" s="15" t="str">
        <f>"321.45"</f>
        <v>321.45</v>
      </c>
      <c r="F715" s="15"/>
      <c r="G715" s="16" t="str">
        <f>"352.45"</f>
        <v>352.45</v>
      </c>
      <c r="H715" s="17">
        <f t="shared" si="11"/>
        <v>344.45</v>
      </c>
      <c r="I715" s="18"/>
      <c r="J715" s="15">
        <v>3</v>
      </c>
      <c r="K715" s="15">
        <v>2016</v>
      </c>
      <c r="L715" s="15" t="str">
        <f>"321.45"</f>
        <v>321.45</v>
      </c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 t="str">
        <f>"359.37"</f>
        <v>359.37</v>
      </c>
      <c r="AH715" s="15" t="str">
        <f>"345.53"</f>
        <v>345.53</v>
      </c>
      <c r="AI715" s="15"/>
    </row>
    <row r="716" spans="1:35">
      <c r="A716" s="14">
        <v>714</v>
      </c>
      <c r="B716" s="14">
        <v>10422</v>
      </c>
      <c r="C716" s="14" t="s">
        <v>881</v>
      </c>
      <c r="D716" s="14" t="s">
        <v>51</v>
      </c>
      <c r="E716" s="15" t="str">
        <f>"353.25"</f>
        <v>353.25</v>
      </c>
      <c r="F716" s="15"/>
      <c r="G716" s="16" t="str">
        <f>"353.25"</f>
        <v>353.25</v>
      </c>
      <c r="H716" s="17">
        <f t="shared" si="11"/>
        <v>345.25</v>
      </c>
      <c r="I716" s="18"/>
      <c r="J716" s="15">
        <v>5</v>
      </c>
      <c r="K716" s="15">
        <v>2016</v>
      </c>
      <c r="L716" s="15"/>
      <c r="M716" s="15"/>
      <c r="N716" s="15"/>
      <c r="O716" s="15"/>
      <c r="P716" s="15"/>
      <c r="Q716" s="15"/>
      <c r="R716" s="15"/>
      <c r="S716" s="15" t="str">
        <f>"330.20"</f>
        <v>330.20</v>
      </c>
      <c r="T716" s="15" t="str">
        <f>"376.29"</f>
        <v>376.29</v>
      </c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</row>
    <row r="717" spans="1:35">
      <c r="A717" s="14">
        <v>715</v>
      </c>
      <c r="B717" s="14">
        <v>5746</v>
      </c>
      <c r="C717" s="14" t="s">
        <v>882</v>
      </c>
      <c r="D717" s="14" t="s">
        <v>883</v>
      </c>
      <c r="E717" s="15" t="str">
        <f>"353.89"</f>
        <v>353.89</v>
      </c>
      <c r="F717" s="15"/>
      <c r="G717" s="16" t="str">
        <f>"353.89"</f>
        <v>353.89</v>
      </c>
      <c r="H717" s="17">
        <f t="shared" si="11"/>
        <v>345.89</v>
      </c>
      <c r="I717" s="18"/>
      <c r="J717" s="15">
        <v>3</v>
      </c>
      <c r="K717" s="15">
        <v>2016</v>
      </c>
      <c r="L717" s="15" t="str">
        <f>"444.20"</f>
        <v>444.20</v>
      </c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 t="str">
        <f>"277.04"</f>
        <v>277.04</v>
      </c>
      <c r="X717" s="15"/>
      <c r="Y717" s="15"/>
      <c r="Z717" s="15" t="str">
        <f>"430.74"</f>
        <v>430.74</v>
      </c>
      <c r="AA717" s="15"/>
      <c r="AB717" s="15" t="str">
        <f>"492.37"</f>
        <v>492.37</v>
      </c>
      <c r="AC717" s="15"/>
      <c r="AD717" s="15"/>
      <c r="AE717" s="15"/>
      <c r="AF717" s="15"/>
      <c r="AG717" s="15"/>
      <c r="AH717" s="15"/>
      <c r="AI717" s="15"/>
    </row>
    <row r="718" spans="1:35">
      <c r="A718" s="14">
        <v>716</v>
      </c>
      <c r="B718" s="14">
        <v>4143</v>
      </c>
      <c r="C718" s="14" t="s">
        <v>884</v>
      </c>
      <c r="D718" s="14" t="s">
        <v>419</v>
      </c>
      <c r="E718" s="15" t="str">
        <f>"295.77"</f>
        <v>295.77</v>
      </c>
      <c r="F718" s="15"/>
      <c r="G718" s="16" t="str">
        <f>"354.17"</f>
        <v>354.17</v>
      </c>
      <c r="H718" s="17">
        <f t="shared" si="11"/>
        <v>346.17</v>
      </c>
      <c r="I718" s="18" t="s">
        <v>43</v>
      </c>
      <c r="J718" s="15">
        <v>2</v>
      </c>
      <c r="K718" s="15">
        <v>2016</v>
      </c>
      <c r="L718" s="15" t="str">
        <f>"295.77"</f>
        <v>295.77</v>
      </c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 t="str">
        <f>"326.17"</f>
        <v>326.17</v>
      </c>
      <c r="AA718" s="15"/>
      <c r="AB718" s="15"/>
      <c r="AC718" s="15"/>
      <c r="AD718" s="15"/>
      <c r="AE718" s="15"/>
      <c r="AF718" s="15"/>
      <c r="AG718" s="15"/>
      <c r="AH718" s="15"/>
      <c r="AI718" s="15"/>
    </row>
    <row r="719" spans="1:35">
      <c r="A719" s="14">
        <v>717</v>
      </c>
      <c r="B719" s="14">
        <v>10556</v>
      </c>
      <c r="C719" s="14" t="s">
        <v>444</v>
      </c>
      <c r="D719" s="14" t="s">
        <v>51</v>
      </c>
      <c r="E719" s="15" t="str">
        <f>"428.14"</f>
        <v>428.14</v>
      </c>
      <c r="F719" s="15"/>
      <c r="G719" s="16" t="str">
        <f>"354.45"</f>
        <v>354.45</v>
      </c>
      <c r="H719" s="17">
        <f t="shared" si="11"/>
        <v>346.45</v>
      </c>
      <c r="I719" s="18" t="s">
        <v>43</v>
      </c>
      <c r="J719" s="15">
        <v>2</v>
      </c>
      <c r="K719" s="15">
        <v>2016</v>
      </c>
      <c r="L719" s="15" t="str">
        <f>"529.82"</f>
        <v>529.82</v>
      </c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 t="str">
        <f>"326.45"</f>
        <v>326.45</v>
      </c>
      <c r="AI719" s="15"/>
    </row>
    <row r="720" spans="1:35">
      <c r="A720" s="14">
        <v>718</v>
      </c>
      <c r="B720" s="14">
        <v>10182</v>
      </c>
      <c r="C720" s="14" t="s">
        <v>885</v>
      </c>
      <c r="D720" s="14" t="s">
        <v>58</v>
      </c>
      <c r="E720" s="15" t="str">
        <f>"354.99"</f>
        <v>354.99</v>
      </c>
      <c r="F720" s="15"/>
      <c r="G720" s="16" t="str">
        <f>"354.99"</f>
        <v>354.99</v>
      </c>
      <c r="H720" s="17">
        <f t="shared" si="11"/>
        <v>346.99</v>
      </c>
      <c r="I720" s="18"/>
      <c r="J720" s="15">
        <v>3</v>
      </c>
      <c r="K720" s="15">
        <v>2016</v>
      </c>
      <c r="L720" s="15" t="str">
        <f>"521.54"</f>
        <v>521.54</v>
      </c>
      <c r="M720" s="15"/>
      <c r="N720" s="15"/>
      <c r="O720" s="15"/>
      <c r="P720" s="15"/>
      <c r="Q720" s="15"/>
      <c r="R720" s="15"/>
      <c r="S720" s="15"/>
      <c r="T720" s="15"/>
      <c r="U720" s="15" t="str">
        <f>"641.98"</f>
        <v>641.98</v>
      </c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 t="str">
        <f>"323.27"</f>
        <v>323.27</v>
      </c>
      <c r="AH720" s="15" t="str">
        <f>"386.70"</f>
        <v>386.70</v>
      </c>
      <c r="AI720" s="15"/>
    </row>
    <row r="721" spans="1:35">
      <c r="A721" s="14">
        <v>719</v>
      </c>
      <c r="B721" s="14">
        <v>10170</v>
      </c>
      <c r="C721" s="14" t="s">
        <v>886</v>
      </c>
      <c r="D721" s="14" t="s">
        <v>58</v>
      </c>
      <c r="E721" s="15" t="str">
        <f>"355.16"</f>
        <v>355.16</v>
      </c>
      <c r="F721" s="15"/>
      <c r="G721" s="16" t="str">
        <f>"355.16"</f>
        <v>355.16</v>
      </c>
      <c r="H721" s="17">
        <f t="shared" si="11"/>
        <v>347.16</v>
      </c>
      <c r="I721" s="18"/>
      <c r="J721" s="15">
        <v>3</v>
      </c>
      <c r="K721" s="15">
        <v>2016</v>
      </c>
      <c r="L721" s="15" t="str">
        <f>"583.37"</f>
        <v>583.37</v>
      </c>
      <c r="M721" s="15"/>
      <c r="N721" s="15"/>
      <c r="O721" s="15"/>
      <c r="P721" s="15"/>
      <c r="Q721" s="15"/>
      <c r="R721" s="15"/>
      <c r="S721" s="15"/>
      <c r="T721" s="15"/>
      <c r="U721" s="15" t="str">
        <f>"755.42"</f>
        <v>755.42</v>
      </c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 t="str">
        <f>"327.08"</f>
        <v>327.08</v>
      </c>
      <c r="AH721" s="15" t="str">
        <f>"383.23"</f>
        <v>383.23</v>
      </c>
      <c r="AI721" s="15"/>
    </row>
    <row r="722" spans="1:35">
      <c r="A722" s="14">
        <v>720</v>
      </c>
      <c r="B722" s="14">
        <v>3104</v>
      </c>
      <c r="C722" s="14" t="s">
        <v>887</v>
      </c>
      <c r="D722" s="14" t="s">
        <v>47</v>
      </c>
      <c r="E722" s="15" t="str">
        <f>"327.77"</f>
        <v>327.77</v>
      </c>
      <c r="F722" s="15"/>
      <c r="G722" s="16" t="str">
        <f>"355.77"</f>
        <v>355.77</v>
      </c>
      <c r="H722" s="17">
        <f t="shared" si="11"/>
        <v>347.77</v>
      </c>
      <c r="I722" s="18" t="s">
        <v>40</v>
      </c>
      <c r="J722" s="15">
        <v>1</v>
      </c>
      <c r="K722" s="15">
        <v>2016</v>
      </c>
      <c r="L722" s="15" t="str">
        <f>"327.77"</f>
        <v>327.77</v>
      </c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</row>
    <row r="723" spans="1:35">
      <c r="A723" s="14">
        <v>721</v>
      </c>
      <c r="B723" s="14">
        <v>6860</v>
      </c>
      <c r="C723" s="14" t="s">
        <v>888</v>
      </c>
      <c r="D723" s="14" t="s">
        <v>673</v>
      </c>
      <c r="E723" s="15" t="str">
        <f>"329.08"</f>
        <v>329.08</v>
      </c>
      <c r="F723" s="15"/>
      <c r="G723" s="16" t="str">
        <f>"357.08"</f>
        <v>357.08</v>
      </c>
      <c r="H723" s="17">
        <f t="shared" si="11"/>
        <v>349.08</v>
      </c>
      <c r="I723" s="18" t="s">
        <v>40</v>
      </c>
      <c r="J723" s="15">
        <v>1</v>
      </c>
      <c r="K723" s="15">
        <v>2016</v>
      </c>
      <c r="L723" s="15" t="str">
        <f>"329.08"</f>
        <v>329.08</v>
      </c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</row>
    <row r="724" spans="1:35">
      <c r="A724" s="14">
        <v>722</v>
      </c>
      <c r="B724" s="14">
        <v>10827</v>
      </c>
      <c r="C724" s="14" t="s">
        <v>889</v>
      </c>
      <c r="D724" s="14" t="s">
        <v>58</v>
      </c>
      <c r="E724" s="15" t="str">
        <f>"357.32"</f>
        <v>357.32</v>
      </c>
      <c r="F724" s="15"/>
      <c r="G724" s="16" t="str">
        <f>"357.32"</f>
        <v>357.32</v>
      </c>
      <c r="H724" s="17">
        <f t="shared" si="11"/>
        <v>349.32</v>
      </c>
      <c r="I724" s="18"/>
      <c r="J724" s="15">
        <v>5</v>
      </c>
      <c r="K724" s="15">
        <v>2016</v>
      </c>
      <c r="L724" s="15"/>
      <c r="M724" s="15"/>
      <c r="N724" s="15" t="str">
        <f>"340.15"</f>
        <v>340.15</v>
      </c>
      <c r="O724" s="15"/>
      <c r="P724" s="15" t="str">
        <f>"374.49"</f>
        <v>374.49</v>
      </c>
      <c r="Q724" s="15"/>
      <c r="R724" s="15"/>
      <c r="S724" s="15"/>
      <c r="T724" s="15"/>
      <c r="U724" s="15" t="str">
        <f>"582.50"</f>
        <v>582.50</v>
      </c>
      <c r="V724" s="15" t="str">
        <f>"427.06"</f>
        <v>427.06</v>
      </c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</row>
    <row r="725" spans="1:35">
      <c r="A725" s="14">
        <v>723</v>
      </c>
      <c r="B725" s="14">
        <v>2195</v>
      </c>
      <c r="C725" s="14" t="s">
        <v>890</v>
      </c>
      <c r="D725" s="14" t="s">
        <v>51</v>
      </c>
      <c r="E725" s="15" t="str">
        <f>"205.87"</f>
        <v>205.87</v>
      </c>
      <c r="F725" s="15"/>
      <c r="G725" s="16" t="str">
        <f>"357.44"</f>
        <v>357.44</v>
      </c>
      <c r="H725" s="17">
        <f t="shared" si="11"/>
        <v>349.44</v>
      </c>
      <c r="I725" s="18" t="s">
        <v>43</v>
      </c>
      <c r="J725" s="15">
        <v>2</v>
      </c>
      <c r="K725" s="15">
        <v>2016</v>
      </c>
      <c r="L725" s="15" t="str">
        <f>"205.87"</f>
        <v>205.87</v>
      </c>
      <c r="M725" s="15"/>
      <c r="N725" s="15"/>
      <c r="O725" s="15"/>
      <c r="P725" s="15"/>
      <c r="Q725" s="15"/>
      <c r="R725" s="15"/>
      <c r="S725" s="15"/>
      <c r="T725" s="15" t="str">
        <f>"329.44"</f>
        <v>329.44</v>
      </c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</row>
    <row r="726" spans="1:35">
      <c r="A726" s="14">
        <v>724</v>
      </c>
      <c r="B726" s="14">
        <v>8614</v>
      </c>
      <c r="C726" s="14" t="s">
        <v>891</v>
      </c>
      <c r="D726" s="14" t="s">
        <v>51</v>
      </c>
      <c r="E726" s="15" t="str">
        <f>"357.92"</f>
        <v>357.92</v>
      </c>
      <c r="F726" s="15"/>
      <c r="G726" s="16" t="str">
        <f>"357.92"</f>
        <v>357.92</v>
      </c>
      <c r="H726" s="17">
        <f t="shared" si="11"/>
        <v>349.92</v>
      </c>
      <c r="I726" s="18"/>
      <c r="J726" s="15">
        <v>3</v>
      </c>
      <c r="K726" s="15">
        <v>2016</v>
      </c>
      <c r="L726" s="15" t="str">
        <f>"389.46"</f>
        <v>389.46</v>
      </c>
      <c r="M726" s="15"/>
      <c r="N726" s="15"/>
      <c r="O726" s="15"/>
      <c r="P726" s="15"/>
      <c r="Q726" s="15"/>
      <c r="R726" s="15"/>
      <c r="S726" s="15" t="str">
        <f>"401.31"</f>
        <v>401.31</v>
      </c>
      <c r="T726" s="15" t="str">
        <f>"520.94"</f>
        <v>520.94</v>
      </c>
      <c r="U726" s="15"/>
      <c r="V726" s="15"/>
      <c r="W726" s="15"/>
      <c r="X726" s="15" t="str">
        <f>"413.45"</f>
        <v>413.45</v>
      </c>
      <c r="Y726" s="15" t="str">
        <f>"498.54"</f>
        <v>498.54</v>
      </c>
      <c r="Z726" s="15"/>
      <c r="AA726" s="15"/>
      <c r="AB726" s="15"/>
      <c r="AC726" s="15"/>
      <c r="AD726" s="15"/>
      <c r="AE726" s="15"/>
      <c r="AF726" s="15"/>
      <c r="AG726" s="15" t="str">
        <f>"347.28"</f>
        <v>347.28</v>
      </c>
      <c r="AH726" s="15" t="str">
        <f>"368.56"</f>
        <v>368.56</v>
      </c>
      <c r="AI726" s="15"/>
    </row>
    <row r="727" spans="1:35">
      <c r="A727" s="14">
        <v>725</v>
      </c>
      <c r="B727" s="14">
        <v>10414</v>
      </c>
      <c r="C727" s="14" t="s">
        <v>892</v>
      </c>
      <c r="D727" s="14" t="s">
        <v>58</v>
      </c>
      <c r="E727" s="15" t="str">
        <f>"358.95"</f>
        <v>358.95</v>
      </c>
      <c r="F727" s="15"/>
      <c r="G727" s="16" t="str">
        <f>"358.95"</f>
        <v>358.95</v>
      </c>
      <c r="H727" s="17">
        <f t="shared" si="11"/>
        <v>350.95</v>
      </c>
      <c r="I727" s="18"/>
      <c r="J727" s="15">
        <v>3</v>
      </c>
      <c r="K727" s="15">
        <v>2016</v>
      </c>
      <c r="L727" s="15" t="str">
        <f>"547.66"</f>
        <v>547.66</v>
      </c>
      <c r="M727" s="15"/>
      <c r="N727" s="15"/>
      <c r="O727" s="15"/>
      <c r="P727" s="15"/>
      <c r="Q727" s="15"/>
      <c r="R727" s="15"/>
      <c r="S727" s="15"/>
      <c r="T727" s="15"/>
      <c r="U727" s="15" t="str">
        <f>"948.14"</f>
        <v>948.14</v>
      </c>
      <c r="V727" s="15"/>
      <c r="W727" s="15"/>
      <c r="X727" s="15"/>
      <c r="Y727" s="15"/>
      <c r="Z727" s="15" t="str">
        <f>"393.51"</f>
        <v>393.51</v>
      </c>
      <c r="AA727" s="15"/>
      <c r="AB727" s="15"/>
      <c r="AC727" s="15"/>
      <c r="AD727" s="15"/>
      <c r="AE727" s="15"/>
      <c r="AF727" s="15" t="str">
        <f>"324.38"</f>
        <v>324.38</v>
      </c>
      <c r="AG727" s="15"/>
      <c r="AH727" s="15"/>
      <c r="AI727" s="15"/>
    </row>
    <row r="728" spans="1:35">
      <c r="A728" s="14">
        <v>726</v>
      </c>
      <c r="B728" s="14">
        <v>3269</v>
      </c>
      <c r="C728" s="14" t="s">
        <v>893</v>
      </c>
      <c r="D728" s="14" t="s">
        <v>403</v>
      </c>
      <c r="E728" s="15" t="str">
        <f>"332.82"</f>
        <v>332.82</v>
      </c>
      <c r="F728" s="15"/>
      <c r="G728" s="16" t="str">
        <f>"360.82"</f>
        <v>360.82</v>
      </c>
      <c r="H728" s="17">
        <f t="shared" si="11"/>
        <v>352.82</v>
      </c>
      <c r="I728" s="18" t="s">
        <v>40</v>
      </c>
      <c r="J728" s="15">
        <v>1</v>
      </c>
      <c r="K728" s="15">
        <v>2016</v>
      </c>
      <c r="L728" s="15" t="str">
        <f>"332.82"</f>
        <v>332.82</v>
      </c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</row>
    <row r="729" spans="1:35">
      <c r="A729" s="14">
        <v>727</v>
      </c>
      <c r="B729" s="14">
        <v>10555</v>
      </c>
      <c r="C729" s="14" t="s">
        <v>894</v>
      </c>
      <c r="D729" s="14" t="s">
        <v>51</v>
      </c>
      <c r="E729" s="15" t="str">
        <f>"361.07"</f>
        <v>361.07</v>
      </c>
      <c r="F729" s="15"/>
      <c r="G729" s="16" t="str">
        <f>"361.07"</f>
        <v>361.07</v>
      </c>
      <c r="H729" s="17">
        <f t="shared" si="11"/>
        <v>353.07</v>
      </c>
      <c r="I729" s="18"/>
      <c r="J729" s="15">
        <v>5</v>
      </c>
      <c r="K729" s="15">
        <v>2016</v>
      </c>
      <c r="L729" s="15"/>
      <c r="M729" s="15"/>
      <c r="N729" s="15"/>
      <c r="O729" s="15"/>
      <c r="P729" s="15"/>
      <c r="Q729" s="15"/>
      <c r="R729" s="15"/>
      <c r="S729" s="15" t="str">
        <f>"478.12"</f>
        <v>478.12</v>
      </c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 t="str">
        <f>"364.46"</f>
        <v>364.46</v>
      </c>
      <c r="AH729" s="15" t="str">
        <f>"357.67"</f>
        <v>357.67</v>
      </c>
      <c r="AI729" s="15"/>
    </row>
    <row r="730" spans="1:35">
      <c r="A730" s="14">
        <v>728</v>
      </c>
      <c r="B730" s="14">
        <v>10061</v>
      </c>
      <c r="C730" s="14" t="s">
        <v>895</v>
      </c>
      <c r="D730" s="14" t="s">
        <v>51</v>
      </c>
      <c r="E730" s="15" t="str">
        <f>"353.48"</f>
        <v>353.48</v>
      </c>
      <c r="F730" s="15"/>
      <c r="G730" s="16" t="str">
        <f>"361.24"</f>
        <v>361.24</v>
      </c>
      <c r="H730" s="17">
        <f t="shared" si="11"/>
        <v>353.24</v>
      </c>
      <c r="I730" s="18"/>
      <c r="J730" s="15">
        <v>3</v>
      </c>
      <c r="K730" s="15">
        <v>2016</v>
      </c>
      <c r="L730" s="15" t="str">
        <f>"353.48"</f>
        <v>353.48</v>
      </c>
      <c r="M730" s="15"/>
      <c r="N730" s="15"/>
      <c r="O730" s="15"/>
      <c r="P730" s="15"/>
      <c r="Q730" s="15"/>
      <c r="R730" s="15"/>
      <c r="S730" s="15" t="str">
        <f>"366.32"</f>
        <v>366.32</v>
      </c>
      <c r="T730" s="15"/>
      <c r="U730" s="15"/>
      <c r="V730" s="15"/>
      <c r="W730" s="15"/>
      <c r="X730" s="15" t="str">
        <f>"356.15"</f>
        <v>356.15</v>
      </c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</row>
    <row r="731" spans="1:35">
      <c r="A731" s="14">
        <v>729</v>
      </c>
      <c r="B731" s="14">
        <v>6847</v>
      </c>
      <c r="C731" s="14" t="s">
        <v>896</v>
      </c>
      <c r="D731" s="14" t="s">
        <v>58</v>
      </c>
      <c r="E731" s="15" t="str">
        <f>"150.92"</f>
        <v>150.92</v>
      </c>
      <c r="F731" s="15"/>
      <c r="G731" s="16" t="str">
        <f>"362.16"</f>
        <v>362.16</v>
      </c>
      <c r="H731" s="17">
        <f t="shared" si="11"/>
        <v>354.16</v>
      </c>
      <c r="I731" s="18" t="s">
        <v>43</v>
      </c>
      <c r="J731" s="15">
        <v>2</v>
      </c>
      <c r="K731" s="15">
        <v>2016</v>
      </c>
      <c r="L731" s="15" t="str">
        <f>"150.92"</f>
        <v>150.92</v>
      </c>
      <c r="M731" s="15"/>
      <c r="N731" s="15"/>
      <c r="O731" s="15"/>
      <c r="P731" s="15"/>
      <c r="Q731" s="15"/>
      <c r="R731" s="15"/>
      <c r="S731" s="15"/>
      <c r="T731" s="15"/>
      <c r="U731" s="15" t="str">
        <f>"334.16"</f>
        <v>334.16</v>
      </c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</row>
    <row r="732" spans="1:35">
      <c r="A732" s="14">
        <v>730</v>
      </c>
      <c r="B732" s="14">
        <v>10588</v>
      </c>
      <c r="C732" s="14" t="s">
        <v>897</v>
      </c>
      <c r="D732" s="14" t="s">
        <v>51</v>
      </c>
      <c r="E732" s="15" t="str">
        <f>"362.22"</f>
        <v>362.22</v>
      </c>
      <c r="F732" s="15"/>
      <c r="G732" s="16" t="str">
        <f>"362.22"</f>
        <v>362.22</v>
      </c>
      <c r="H732" s="17">
        <f t="shared" si="11"/>
        <v>354.22</v>
      </c>
      <c r="I732" s="18"/>
      <c r="J732" s="15">
        <v>3</v>
      </c>
      <c r="K732" s="15">
        <v>2016</v>
      </c>
      <c r="L732" s="15" t="str">
        <f>"450.29"</f>
        <v>450.29</v>
      </c>
      <c r="M732" s="15"/>
      <c r="N732" s="15"/>
      <c r="O732" s="15"/>
      <c r="P732" s="15"/>
      <c r="Q732" s="15"/>
      <c r="R732" s="15"/>
      <c r="S732" s="15" t="str">
        <f>"373.04"</f>
        <v>373.04</v>
      </c>
      <c r="T732" s="15" t="str">
        <f>"426.96"</f>
        <v>426.96</v>
      </c>
      <c r="U732" s="15"/>
      <c r="V732" s="15"/>
      <c r="W732" s="15"/>
      <c r="X732" s="15" t="str">
        <f>"351.39"</f>
        <v>351.39</v>
      </c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</row>
    <row r="733" spans="1:35">
      <c r="A733" s="14">
        <v>731</v>
      </c>
      <c r="B733" s="14">
        <v>10198</v>
      </c>
      <c r="C733" s="14" t="s">
        <v>898</v>
      </c>
      <c r="D733" s="14" t="s">
        <v>58</v>
      </c>
      <c r="E733" s="15" t="str">
        <f>"278.67"</f>
        <v>278.67</v>
      </c>
      <c r="F733" s="15"/>
      <c r="G733" s="16" t="str">
        <f>"363.62"</f>
        <v>363.62</v>
      </c>
      <c r="H733" s="17">
        <f t="shared" si="11"/>
        <v>355.62</v>
      </c>
      <c r="I733" s="18"/>
      <c r="J733" s="15">
        <v>3</v>
      </c>
      <c r="K733" s="15">
        <v>2016</v>
      </c>
      <c r="L733" s="15" t="str">
        <f>"316.24"</f>
        <v>316.24</v>
      </c>
      <c r="M733" s="15"/>
      <c r="N733" s="15"/>
      <c r="O733" s="15"/>
      <c r="P733" s="15"/>
      <c r="Q733" s="15"/>
      <c r="R733" s="15"/>
      <c r="S733" s="15"/>
      <c r="T733" s="15"/>
      <c r="U733" s="15" t="str">
        <f>"486.14"</f>
        <v>486.14</v>
      </c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 t="str">
        <f>"241.10"</f>
        <v>241.10</v>
      </c>
      <c r="AG733" s="15"/>
      <c r="AH733" s="15"/>
      <c r="AI733" s="15"/>
    </row>
    <row r="734" spans="1:35">
      <c r="A734" s="14">
        <v>732</v>
      </c>
      <c r="B734" s="14">
        <v>10854</v>
      </c>
      <c r="C734" s="14" t="s">
        <v>899</v>
      </c>
      <c r="D734" s="14" t="s">
        <v>51</v>
      </c>
      <c r="E734" s="15" t="str">
        <f>"363.78"</f>
        <v>363.78</v>
      </c>
      <c r="F734" s="15"/>
      <c r="G734" s="16" t="str">
        <f>"363.78"</f>
        <v>363.78</v>
      </c>
      <c r="H734" s="17">
        <f t="shared" si="11"/>
        <v>355.78</v>
      </c>
      <c r="I734" s="18"/>
      <c r="J734" s="15">
        <v>5</v>
      </c>
      <c r="K734" s="15">
        <v>2016</v>
      </c>
      <c r="L734" s="15"/>
      <c r="M734" s="15"/>
      <c r="N734" s="15"/>
      <c r="O734" s="15"/>
      <c r="P734" s="15"/>
      <c r="Q734" s="15"/>
      <c r="R734" s="15"/>
      <c r="S734" s="15" t="str">
        <f>"577.60"</f>
        <v>577.60</v>
      </c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 t="str">
        <f>"353.80"</f>
        <v>353.80</v>
      </c>
      <c r="AH734" s="15" t="str">
        <f>"373.76"</f>
        <v>373.76</v>
      </c>
      <c r="AI734" s="15"/>
    </row>
    <row r="735" spans="1:35">
      <c r="A735" s="14">
        <v>733</v>
      </c>
      <c r="B735" s="14">
        <v>11011</v>
      </c>
      <c r="C735" s="14" t="s">
        <v>900</v>
      </c>
      <c r="D735" s="14" t="s">
        <v>537</v>
      </c>
      <c r="E735" s="15" t="str">
        <f>"364.03"</f>
        <v>364.03</v>
      </c>
      <c r="F735" s="15"/>
      <c r="G735" s="16" t="str">
        <f>"364.03"</f>
        <v>364.03</v>
      </c>
      <c r="H735" s="17">
        <f t="shared" si="11"/>
        <v>356.03</v>
      </c>
      <c r="I735" s="18" t="s">
        <v>43</v>
      </c>
      <c r="J735" s="15">
        <v>4</v>
      </c>
      <c r="K735" s="15">
        <v>2016</v>
      </c>
      <c r="L735" s="15"/>
      <c r="M735" s="15" t="str">
        <f>"336.03"</f>
        <v>336.03</v>
      </c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</row>
    <row r="736" spans="1:35">
      <c r="A736" s="14">
        <v>734</v>
      </c>
      <c r="B736" s="14">
        <v>2161</v>
      </c>
      <c r="C736" s="14" t="s">
        <v>901</v>
      </c>
      <c r="D736" s="14" t="s">
        <v>51</v>
      </c>
      <c r="E736" s="15" t="str">
        <f>"311.25"</f>
        <v>311.25</v>
      </c>
      <c r="F736" s="15"/>
      <c r="G736" s="16" t="str">
        <f>"364.12"</f>
        <v>364.12</v>
      </c>
      <c r="H736" s="17">
        <f t="shared" si="11"/>
        <v>356.12</v>
      </c>
      <c r="I736" s="18"/>
      <c r="J736" s="15">
        <v>3</v>
      </c>
      <c r="K736" s="15">
        <v>2016</v>
      </c>
      <c r="L736" s="15" t="str">
        <f>"311.25"</f>
        <v>311.25</v>
      </c>
      <c r="M736" s="15"/>
      <c r="N736" s="15"/>
      <c r="O736" s="15"/>
      <c r="P736" s="15"/>
      <c r="Q736" s="15"/>
      <c r="R736" s="15"/>
      <c r="S736" s="15" t="str">
        <f>"370.65"</f>
        <v>370.65</v>
      </c>
      <c r="T736" s="15" t="str">
        <f>"366.79"</f>
        <v>366.79</v>
      </c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 t="str">
        <f>"361.44"</f>
        <v>361.44</v>
      </c>
      <c r="AF736" s="15"/>
      <c r="AG736" s="15"/>
      <c r="AH736" s="15"/>
      <c r="AI736" s="15"/>
    </row>
    <row r="737" spans="1:35">
      <c r="A737" s="14">
        <v>735</v>
      </c>
      <c r="B737" s="14">
        <v>1874</v>
      </c>
      <c r="C737" s="14" t="s">
        <v>902</v>
      </c>
      <c r="D737" s="14" t="s">
        <v>51</v>
      </c>
      <c r="E737" s="15" t="str">
        <f>"265.50"</f>
        <v>265.50</v>
      </c>
      <c r="F737" s="15"/>
      <c r="G737" s="16" t="str">
        <f>"365.20"</f>
        <v>365.20</v>
      </c>
      <c r="H737" s="17">
        <f t="shared" si="11"/>
        <v>357.2</v>
      </c>
      <c r="I737" s="18"/>
      <c r="J737" s="15">
        <v>3</v>
      </c>
      <c r="K737" s="15">
        <v>2016</v>
      </c>
      <c r="L737" s="15" t="str">
        <f>"265.50"</f>
        <v>265.50</v>
      </c>
      <c r="M737" s="15"/>
      <c r="N737" s="15"/>
      <c r="O737" s="15"/>
      <c r="P737" s="15"/>
      <c r="Q737" s="15"/>
      <c r="R737" s="15"/>
      <c r="S737" s="15" t="str">
        <f>"401.88"</f>
        <v>401.88</v>
      </c>
      <c r="T737" s="15" t="str">
        <f>"328.52"</f>
        <v>328.52</v>
      </c>
      <c r="U737" s="15"/>
      <c r="V737" s="15"/>
      <c r="W737" s="15"/>
      <c r="X737" s="15" t="str">
        <f>"501.04"</f>
        <v>501.04</v>
      </c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</row>
    <row r="738" spans="1:35">
      <c r="A738" s="14">
        <v>736</v>
      </c>
      <c r="B738" s="14">
        <v>10595</v>
      </c>
      <c r="C738" s="14" t="s">
        <v>903</v>
      </c>
      <c r="D738" s="14" t="s">
        <v>51</v>
      </c>
      <c r="E738" s="15" t="str">
        <f>"365.33"</f>
        <v>365.33</v>
      </c>
      <c r="F738" s="15"/>
      <c r="G738" s="16" t="str">
        <f>"365.33"</f>
        <v>365.33</v>
      </c>
      <c r="H738" s="17">
        <f t="shared" si="11"/>
        <v>357.33</v>
      </c>
      <c r="I738" s="18"/>
      <c r="J738" s="15">
        <v>3</v>
      </c>
      <c r="K738" s="15">
        <v>2016</v>
      </c>
      <c r="L738" s="15" t="str">
        <f>"503.23"</f>
        <v>503.23</v>
      </c>
      <c r="M738" s="15"/>
      <c r="N738" s="15"/>
      <c r="O738" s="15"/>
      <c r="P738" s="15"/>
      <c r="Q738" s="15"/>
      <c r="R738" s="15"/>
      <c r="S738" s="15" t="str">
        <f>"449.97"</f>
        <v>449.97</v>
      </c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 t="str">
        <f>"440.32"</f>
        <v>440.32</v>
      </c>
      <c r="AH738" s="15" t="str">
        <f>"290.33"</f>
        <v>290.33</v>
      </c>
      <c r="AI738" s="15" t="str">
        <f>"519.83"</f>
        <v>519.83</v>
      </c>
    </row>
    <row r="739" spans="1:35">
      <c r="A739" s="14">
        <v>737</v>
      </c>
      <c r="B739" s="14">
        <v>3880</v>
      </c>
      <c r="C739" s="14" t="s">
        <v>904</v>
      </c>
      <c r="D739" s="14" t="s">
        <v>150</v>
      </c>
      <c r="E739" s="15" t="str">
        <f>"365.42"</f>
        <v>365.42</v>
      </c>
      <c r="F739" s="15"/>
      <c r="G739" s="16" t="str">
        <f>"365.42"</f>
        <v>365.42</v>
      </c>
      <c r="H739" s="17">
        <f t="shared" si="11"/>
        <v>357.42</v>
      </c>
      <c r="I739" s="18" t="s">
        <v>43</v>
      </c>
      <c r="J739" s="15">
        <v>4</v>
      </c>
      <c r="K739" s="15">
        <v>2016</v>
      </c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 t="str">
        <f>"337.42"</f>
        <v>337.42</v>
      </c>
      <c r="AC739" s="15"/>
      <c r="AD739" s="15"/>
      <c r="AE739" s="15"/>
      <c r="AF739" s="15"/>
      <c r="AG739" s="15"/>
      <c r="AH739" s="15"/>
      <c r="AI739" s="15"/>
    </row>
    <row r="740" spans="1:35">
      <c r="A740" s="14">
        <v>738</v>
      </c>
      <c r="B740" s="14">
        <v>10442</v>
      </c>
      <c r="C740" s="14" t="s">
        <v>905</v>
      </c>
      <c r="D740" s="14" t="s">
        <v>58</v>
      </c>
      <c r="E740" s="15" t="str">
        <f>"366.11"</f>
        <v>366.11</v>
      </c>
      <c r="F740" s="15"/>
      <c r="G740" s="16" t="str">
        <f>"366.11"</f>
        <v>366.11</v>
      </c>
      <c r="H740" s="17">
        <f t="shared" si="11"/>
        <v>358.11</v>
      </c>
      <c r="I740" s="18"/>
      <c r="J740" s="15">
        <v>3</v>
      </c>
      <c r="K740" s="15">
        <v>2016</v>
      </c>
      <c r="L740" s="15" t="str">
        <f>"572.40"</f>
        <v>572.40</v>
      </c>
      <c r="M740" s="15"/>
      <c r="N740" s="15"/>
      <c r="O740" s="15"/>
      <c r="P740" s="15" t="str">
        <f>"400.40"</f>
        <v>400.40</v>
      </c>
      <c r="Q740" s="15"/>
      <c r="R740" s="15"/>
      <c r="S740" s="15"/>
      <c r="T740" s="15"/>
      <c r="U740" s="15" t="str">
        <f>"713.02"</f>
        <v>713.02</v>
      </c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 t="str">
        <f>"449.39"</f>
        <v>449.39</v>
      </c>
      <c r="AH740" s="15" t="str">
        <f>"331.81"</f>
        <v>331.81</v>
      </c>
      <c r="AI740" s="15"/>
    </row>
    <row r="741" spans="1:35">
      <c r="A741" s="14">
        <v>739</v>
      </c>
      <c r="B741" s="14">
        <v>10998</v>
      </c>
      <c r="C741" s="14" t="s">
        <v>906</v>
      </c>
      <c r="D741" s="14" t="s">
        <v>45</v>
      </c>
      <c r="E741" s="15" t="str">
        <f>"367.23"</f>
        <v>367.23</v>
      </c>
      <c r="F741" s="15"/>
      <c r="G741" s="16" t="str">
        <f>"367.23"</f>
        <v>367.23</v>
      </c>
      <c r="H741" s="17">
        <f t="shared" si="11"/>
        <v>359.23</v>
      </c>
      <c r="I741" s="18" t="s">
        <v>43</v>
      </c>
      <c r="J741" s="15">
        <v>4</v>
      </c>
      <c r="K741" s="15">
        <v>2016</v>
      </c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 t="str">
        <f>"339.23"</f>
        <v>339.23</v>
      </c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</row>
    <row r="742" spans="1:35">
      <c r="A742" s="14">
        <v>740</v>
      </c>
      <c r="B742" s="14">
        <v>10505</v>
      </c>
      <c r="C742" s="14" t="s">
        <v>907</v>
      </c>
      <c r="D742" s="14" t="s">
        <v>58</v>
      </c>
      <c r="E742" s="15" t="str">
        <f>"308.02"</f>
        <v>308.02</v>
      </c>
      <c r="F742" s="15"/>
      <c r="G742" s="16" t="str">
        <f>"367.66"</f>
        <v>367.66</v>
      </c>
      <c r="H742" s="17">
        <f t="shared" si="11"/>
        <v>359.66</v>
      </c>
      <c r="I742" s="18" t="s">
        <v>43</v>
      </c>
      <c r="J742" s="15">
        <v>2</v>
      </c>
      <c r="K742" s="15">
        <v>2016</v>
      </c>
      <c r="L742" s="15" t="str">
        <f>"308.02"</f>
        <v>308.02</v>
      </c>
      <c r="M742" s="15"/>
      <c r="N742" s="15"/>
      <c r="O742" s="15"/>
      <c r="P742" s="15"/>
      <c r="Q742" s="15"/>
      <c r="R742" s="15"/>
      <c r="S742" s="15"/>
      <c r="T742" s="15"/>
      <c r="U742" s="15" t="str">
        <f>"339.66"</f>
        <v>339.66</v>
      </c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</row>
    <row r="743" spans="1:35">
      <c r="A743" s="14">
        <v>741</v>
      </c>
      <c r="B743" s="14">
        <v>10174</v>
      </c>
      <c r="C743" s="14" t="s">
        <v>908</v>
      </c>
      <c r="D743" s="14" t="s">
        <v>51</v>
      </c>
      <c r="E743" s="15" t="str">
        <f>"367.82"</f>
        <v>367.82</v>
      </c>
      <c r="F743" s="15"/>
      <c r="G743" s="16" t="str">
        <f>"367.82"</f>
        <v>367.82</v>
      </c>
      <c r="H743" s="17">
        <f t="shared" si="11"/>
        <v>359.82</v>
      </c>
      <c r="I743" s="18"/>
      <c r="J743" s="15">
        <v>3</v>
      </c>
      <c r="K743" s="15">
        <v>2016</v>
      </c>
      <c r="L743" s="15" t="str">
        <f>"503.89"</f>
        <v>503.89</v>
      </c>
      <c r="M743" s="15"/>
      <c r="N743" s="15"/>
      <c r="O743" s="15"/>
      <c r="P743" s="15"/>
      <c r="Q743" s="15"/>
      <c r="R743" s="15"/>
      <c r="S743" s="15" t="str">
        <f>"436.75"</f>
        <v>436.75</v>
      </c>
      <c r="T743" s="15" t="str">
        <f>"482.10"</f>
        <v>482.10</v>
      </c>
      <c r="U743" s="15"/>
      <c r="V743" s="15"/>
      <c r="W743" s="15"/>
      <c r="X743" s="15" t="str">
        <f>"395.34"</f>
        <v>395.34</v>
      </c>
      <c r="Y743" s="15" t="str">
        <f>"394.12"</f>
        <v>394.12</v>
      </c>
      <c r="Z743" s="15"/>
      <c r="AA743" s="15"/>
      <c r="AB743" s="15"/>
      <c r="AC743" s="15"/>
      <c r="AD743" s="15"/>
      <c r="AE743" s="15"/>
      <c r="AF743" s="15"/>
      <c r="AG743" s="15" t="str">
        <f>"356.03"</f>
        <v>356.03</v>
      </c>
      <c r="AH743" s="15" t="str">
        <f>"379.60"</f>
        <v>379.60</v>
      </c>
      <c r="AI743" s="15"/>
    </row>
    <row r="744" spans="1:35">
      <c r="A744" s="14">
        <v>742</v>
      </c>
      <c r="B744" s="14">
        <v>10943</v>
      </c>
      <c r="C744" s="14" t="s">
        <v>909</v>
      </c>
      <c r="D744" s="14" t="s">
        <v>910</v>
      </c>
      <c r="E744" s="15" t="str">
        <f>"367.98"</f>
        <v>367.98</v>
      </c>
      <c r="F744" s="15"/>
      <c r="G744" s="16" t="str">
        <f>"367.98"</f>
        <v>367.98</v>
      </c>
      <c r="H744" s="17">
        <f t="shared" si="11"/>
        <v>359.98</v>
      </c>
      <c r="I744" s="18"/>
      <c r="J744" s="15">
        <v>5</v>
      </c>
      <c r="K744" s="15">
        <v>2016</v>
      </c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 t="str">
        <f>"407.01"</f>
        <v>407.01</v>
      </c>
      <c r="AB744" s="15"/>
      <c r="AC744" s="15"/>
      <c r="AD744" s="15"/>
      <c r="AE744" s="15"/>
      <c r="AF744" s="15" t="str">
        <f>"328.94"</f>
        <v>328.94</v>
      </c>
      <c r="AG744" s="15"/>
      <c r="AH744" s="15"/>
      <c r="AI744" s="15"/>
    </row>
    <row r="745" spans="1:35">
      <c r="A745" s="14">
        <v>743</v>
      </c>
      <c r="B745" s="14">
        <v>11043</v>
      </c>
      <c r="C745" s="14" t="s">
        <v>911</v>
      </c>
      <c r="D745" s="14" t="s">
        <v>119</v>
      </c>
      <c r="E745" s="15" t="str">
        <f>"368.76"</f>
        <v>368.76</v>
      </c>
      <c r="F745" s="15"/>
      <c r="G745" s="16" t="str">
        <f>"368.76"</f>
        <v>368.76</v>
      </c>
      <c r="H745" s="17">
        <f t="shared" si="11"/>
        <v>360.76</v>
      </c>
      <c r="I745" s="18" t="s">
        <v>43</v>
      </c>
      <c r="J745" s="15">
        <v>4</v>
      </c>
      <c r="K745" s="15">
        <v>2016</v>
      </c>
      <c r="L745" s="15"/>
      <c r="M745" s="15" t="str">
        <f>"340.76"</f>
        <v>340.76</v>
      </c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</row>
    <row r="746" spans="1:35">
      <c r="A746" s="14">
        <v>744</v>
      </c>
      <c r="B746" s="14">
        <v>4545</v>
      </c>
      <c r="C746" s="14" t="s">
        <v>912</v>
      </c>
      <c r="D746" s="14" t="s">
        <v>162</v>
      </c>
      <c r="E746" s="15" t="str">
        <f>"369.09"</f>
        <v>369.09</v>
      </c>
      <c r="F746" s="15"/>
      <c r="G746" s="16" t="str">
        <f>"369.09"</f>
        <v>369.09</v>
      </c>
      <c r="H746" s="17">
        <f t="shared" si="11"/>
        <v>361.09</v>
      </c>
      <c r="I746" s="18" t="s">
        <v>43</v>
      </c>
      <c r="J746" s="15">
        <v>4</v>
      </c>
      <c r="K746" s="15">
        <v>2016</v>
      </c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 t="str">
        <f>"341.09"</f>
        <v>341.09</v>
      </c>
      <c r="AA746" s="15"/>
      <c r="AB746" s="15"/>
      <c r="AC746" s="15"/>
      <c r="AD746" s="15"/>
      <c r="AE746" s="15"/>
      <c r="AF746" s="15"/>
      <c r="AG746" s="15"/>
      <c r="AH746" s="15"/>
      <c r="AI746" s="15"/>
    </row>
    <row r="747" spans="1:35">
      <c r="A747" s="14">
        <v>745</v>
      </c>
      <c r="B747" s="14">
        <v>5653</v>
      </c>
      <c r="C747" s="14" t="s">
        <v>913</v>
      </c>
      <c r="D747" s="14" t="s">
        <v>187</v>
      </c>
      <c r="E747" s="15" t="str">
        <f>"369.71"</f>
        <v>369.71</v>
      </c>
      <c r="F747" s="15"/>
      <c r="G747" s="16" t="str">
        <f>"369.71"</f>
        <v>369.71</v>
      </c>
      <c r="H747" s="17">
        <f t="shared" si="11"/>
        <v>361.71</v>
      </c>
      <c r="I747" s="18" t="s">
        <v>43</v>
      </c>
      <c r="J747" s="15">
        <v>4</v>
      </c>
      <c r="K747" s="15">
        <v>2016</v>
      </c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 t="str">
        <f>"341.71"</f>
        <v>341.71</v>
      </c>
      <c r="AB747" s="15"/>
      <c r="AC747" s="15"/>
      <c r="AD747" s="15"/>
      <c r="AE747" s="15"/>
      <c r="AF747" s="15"/>
      <c r="AG747" s="15"/>
      <c r="AH747" s="15"/>
      <c r="AI747" s="15"/>
    </row>
    <row r="748" spans="1:35">
      <c r="A748" s="14">
        <v>746</v>
      </c>
      <c r="B748" s="14">
        <v>10188</v>
      </c>
      <c r="C748" s="14" t="s">
        <v>914</v>
      </c>
      <c r="D748" s="14" t="s">
        <v>58</v>
      </c>
      <c r="E748" s="15" t="str">
        <f>"370.44"</f>
        <v>370.44</v>
      </c>
      <c r="F748" s="15"/>
      <c r="G748" s="16" t="str">
        <f>"370.44"</f>
        <v>370.44</v>
      </c>
      <c r="H748" s="17">
        <f t="shared" si="11"/>
        <v>362.44</v>
      </c>
      <c r="I748" s="18"/>
      <c r="J748" s="15">
        <v>3</v>
      </c>
      <c r="K748" s="15">
        <v>2016</v>
      </c>
      <c r="L748" s="15" t="str">
        <f>"592.93"</f>
        <v>592.93</v>
      </c>
      <c r="M748" s="15"/>
      <c r="N748" s="15"/>
      <c r="O748" s="15"/>
      <c r="P748" s="15"/>
      <c r="Q748" s="15"/>
      <c r="R748" s="15"/>
      <c r="S748" s="15"/>
      <c r="T748" s="15"/>
      <c r="U748" s="15" t="str">
        <f>"513.68"</f>
        <v>513.68</v>
      </c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 t="str">
        <f>"227.20"</f>
        <v>227.20</v>
      </c>
      <c r="AH748" s="15"/>
      <c r="AI748" s="15"/>
    </row>
    <row r="749" spans="1:35">
      <c r="A749" s="14">
        <v>747</v>
      </c>
      <c r="B749" s="14">
        <v>10479</v>
      </c>
      <c r="C749" s="14" t="s">
        <v>915</v>
      </c>
      <c r="D749" s="14" t="s">
        <v>58</v>
      </c>
      <c r="E749" s="15" t="str">
        <f>"409.83"</f>
        <v>409.83</v>
      </c>
      <c r="F749" s="15"/>
      <c r="G749" s="16" t="str">
        <f>"370.80"</f>
        <v>370.80</v>
      </c>
      <c r="H749" s="17">
        <f t="shared" si="11"/>
        <v>362.8</v>
      </c>
      <c r="I749" s="18" t="s">
        <v>43</v>
      </c>
      <c r="J749" s="15">
        <v>2</v>
      </c>
      <c r="K749" s="15">
        <v>2016</v>
      </c>
      <c r="L749" s="15" t="str">
        <f>"476.85"</f>
        <v>476.85</v>
      </c>
      <c r="M749" s="15"/>
      <c r="N749" s="15"/>
      <c r="O749" s="15"/>
      <c r="P749" s="15" t="str">
        <f>"342.80"</f>
        <v>342.80</v>
      </c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</row>
    <row r="750" spans="1:35">
      <c r="A750" s="14">
        <v>748</v>
      </c>
      <c r="B750" s="14">
        <v>5502</v>
      </c>
      <c r="C750" s="14" t="s">
        <v>916</v>
      </c>
      <c r="D750" s="14" t="s">
        <v>58</v>
      </c>
      <c r="E750" s="15" t="str">
        <f>"193.66"</f>
        <v>193.66</v>
      </c>
      <c r="F750" s="15"/>
      <c r="G750" s="16" t="str">
        <f>"372.61"</f>
        <v>372.61</v>
      </c>
      <c r="H750" s="17">
        <f t="shared" si="11"/>
        <v>364.61</v>
      </c>
      <c r="I750" s="18"/>
      <c r="J750" s="15">
        <v>3</v>
      </c>
      <c r="K750" s="15">
        <v>2016</v>
      </c>
      <c r="L750" s="15" t="str">
        <f>"193.66"</f>
        <v>193.66</v>
      </c>
      <c r="M750" s="15"/>
      <c r="N750" s="15"/>
      <c r="O750" s="15"/>
      <c r="P750" s="15" t="str">
        <f>"231.54"</f>
        <v>231.54</v>
      </c>
      <c r="Q750" s="15"/>
      <c r="R750" s="15"/>
      <c r="S750" s="15"/>
      <c r="T750" s="15"/>
      <c r="U750" s="15" t="str">
        <f>"513.68"</f>
        <v>513.68</v>
      </c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</row>
    <row r="751" spans="1:35">
      <c r="A751" s="14">
        <v>749</v>
      </c>
      <c r="B751" s="14">
        <v>10551</v>
      </c>
      <c r="C751" s="14" t="s">
        <v>917</v>
      </c>
      <c r="D751" s="14" t="s">
        <v>51</v>
      </c>
      <c r="E751" s="15" t="str">
        <f>"373.16"</f>
        <v>373.16</v>
      </c>
      <c r="F751" s="15"/>
      <c r="G751" s="16" t="str">
        <f>"373.16"</f>
        <v>373.16</v>
      </c>
      <c r="H751" s="17">
        <f t="shared" si="11"/>
        <v>365.16</v>
      </c>
      <c r="I751" s="18"/>
      <c r="J751" s="15">
        <v>3</v>
      </c>
      <c r="K751" s="15">
        <v>2016</v>
      </c>
      <c r="L751" s="15" t="str">
        <f>"545.38"</f>
        <v>545.38</v>
      </c>
      <c r="M751" s="15"/>
      <c r="N751" s="15"/>
      <c r="O751" s="15"/>
      <c r="P751" s="15"/>
      <c r="Q751" s="15"/>
      <c r="R751" s="15"/>
      <c r="S751" s="15" t="str">
        <f>"427.75"</f>
        <v>427.75</v>
      </c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 t="str">
        <f>"352.21"</f>
        <v>352.21</v>
      </c>
      <c r="AH751" s="15" t="str">
        <f>"394.11"</f>
        <v>394.11</v>
      </c>
      <c r="AI751" s="15"/>
    </row>
    <row r="752" spans="1:35">
      <c r="A752" s="14">
        <v>750</v>
      </c>
      <c r="B752" s="14">
        <v>10910</v>
      </c>
      <c r="C752" s="14" t="s">
        <v>918</v>
      </c>
      <c r="D752" s="14" t="s">
        <v>51</v>
      </c>
      <c r="E752" s="15" t="str">
        <f>"373.98"</f>
        <v>373.98</v>
      </c>
      <c r="F752" s="15"/>
      <c r="G752" s="16" t="str">
        <f>"373.98"</f>
        <v>373.98</v>
      </c>
      <c r="H752" s="17">
        <f t="shared" si="11"/>
        <v>365.98</v>
      </c>
      <c r="I752" s="18"/>
      <c r="J752" s="15">
        <v>5</v>
      </c>
      <c r="K752" s="15">
        <v>2016</v>
      </c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 t="str">
        <f>"359.37"</f>
        <v>359.37</v>
      </c>
      <c r="AH752" s="15" t="str">
        <f>"388.59"</f>
        <v>388.59</v>
      </c>
      <c r="AI752" s="15"/>
    </row>
    <row r="753" spans="1:35">
      <c r="A753" s="14">
        <v>751</v>
      </c>
      <c r="B753" s="14">
        <v>10955</v>
      </c>
      <c r="C753" s="14" t="s">
        <v>919</v>
      </c>
      <c r="D753" s="14" t="s">
        <v>58</v>
      </c>
      <c r="E753" s="15" t="str">
        <f>"374.33"</f>
        <v>374.33</v>
      </c>
      <c r="F753" s="15"/>
      <c r="G753" s="16" t="str">
        <f>"374.33"</f>
        <v>374.33</v>
      </c>
      <c r="H753" s="17">
        <f t="shared" si="11"/>
        <v>366.33</v>
      </c>
      <c r="I753" s="18"/>
      <c r="J753" s="15">
        <v>5</v>
      </c>
      <c r="K753" s="15">
        <v>2016</v>
      </c>
      <c r="L753" s="15"/>
      <c r="M753" s="15"/>
      <c r="N753" s="15"/>
      <c r="O753" s="15"/>
      <c r="P753" s="15" t="str">
        <f>"308.22"</f>
        <v>308.22</v>
      </c>
      <c r="Q753" s="15"/>
      <c r="R753" s="15"/>
      <c r="S753" s="15"/>
      <c r="T753" s="15"/>
      <c r="U753" s="15" t="str">
        <f>"440.44"</f>
        <v>440.44</v>
      </c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</row>
    <row r="754" spans="1:35">
      <c r="A754" s="14">
        <v>752</v>
      </c>
      <c r="B754" s="14">
        <v>1912</v>
      </c>
      <c r="C754" s="14" t="s">
        <v>920</v>
      </c>
      <c r="D754" s="14" t="s">
        <v>106</v>
      </c>
      <c r="E754" s="15" t="str">
        <f>"342.23"</f>
        <v>342.23</v>
      </c>
      <c r="F754" s="15"/>
      <c r="G754" s="16" t="str">
        <f>"375.54"</f>
        <v>375.54</v>
      </c>
      <c r="H754" s="17">
        <f t="shared" si="11"/>
        <v>367.54</v>
      </c>
      <c r="I754" s="18" t="s">
        <v>43</v>
      </c>
      <c r="J754" s="15">
        <v>2</v>
      </c>
      <c r="K754" s="15">
        <v>2016</v>
      </c>
      <c r="L754" s="15" t="str">
        <f>"342.23"</f>
        <v>342.23</v>
      </c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 t="str">
        <f>"347.54"</f>
        <v>347.54</v>
      </c>
      <c r="AF754" s="15"/>
      <c r="AG754" s="15"/>
      <c r="AH754" s="15"/>
      <c r="AI754" s="15"/>
    </row>
    <row r="755" spans="1:35">
      <c r="A755" s="14">
        <v>753</v>
      </c>
      <c r="B755" s="14">
        <v>2269</v>
      </c>
      <c r="C755" s="14" t="s">
        <v>921</v>
      </c>
      <c r="D755" s="14" t="s">
        <v>761</v>
      </c>
      <c r="E755" s="15" t="str">
        <f>"399.63"</f>
        <v>399.63</v>
      </c>
      <c r="F755" s="15"/>
      <c r="G755" s="16" t="str">
        <f>"376.00"</f>
        <v>376.00</v>
      </c>
      <c r="H755" s="17">
        <f t="shared" si="11"/>
        <v>368</v>
      </c>
      <c r="I755" s="18" t="s">
        <v>43</v>
      </c>
      <c r="J755" s="15">
        <v>2</v>
      </c>
      <c r="K755" s="15">
        <v>2016</v>
      </c>
      <c r="L755" s="15" t="str">
        <f>"451.26"</f>
        <v>451.26</v>
      </c>
      <c r="M755" s="15"/>
      <c r="N755" s="15"/>
      <c r="O755" s="15"/>
      <c r="P755" s="15"/>
      <c r="Q755" s="15"/>
      <c r="R755" s="15" t="str">
        <f>"348.00"</f>
        <v>348.00</v>
      </c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</row>
    <row r="756" spans="1:35">
      <c r="A756" s="14">
        <v>754</v>
      </c>
      <c r="B756" s="14">
        <v>8446</v>
      </c>
      <c r="C756" s="14" t="s">
        <v>922</v>
      </c>
      <c r="D756" s="14" t="s">
        <v>51</v>
      </c>
      <c r="E756" s="15" t="str">
        <f>"186.86"</f>
        <v>186.86</v>
      </c>
      <c r="F756" s="15"/>
      <c r="G756" s="16" t="str">
        <f>"376.50"</f>
        <v>376.50</v>
      </c>
      <c r="H756" s="17">
        <f t="shared" si="11"/>
        <v>368.5</v>
      </c>
      <c r="I756" s="18" t="s">
        <v>43</v>
      </c>
      <c r="J756" s="15">
        <v>2</v>
      </c>
      <c r="K756" s="15">
        <v>2016</v>
      </c>
      <c r="L756" s="15" t="str">
        <f>"186.86"</f>
        <v>186.86</v>
      </c>
      <c r="M756" s="15"/>
      <c r="N756" s="15"/>
      <c r="O756" s="15"/>
      <c r="P756" s="15"/>
      <c r="Q756" s="15"/>
      <c r="R756" s="15"/>
      <c r="S756" s="15"/>
      <c r="T756" s="15" t="str">
        <f>"348.50"</f>
        <v>348.50</v>
      </c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</row>
    <row r="757" spans="1:35">
      <c r="A757" s="14">
        <v>755</v>
      </c>
      <c r="B757" s="14">
        <v>10157</v>
      </c>
      <c r="C757" s="14" t="s">
        <v>923</v>
      </c>
      <c r="D757" s="14" t="s">
        <v>51</v>
      </c>
      <c r="E757" s="15" t="str">
        <f>"376.66"</f>
        <v>376.66</v>
      </c>
      <c r="F757" s="15"/>
      <c r="G757" s="16" t="str">
        <f>"376.66"</f>
        <v>376.66</v>
      </c>
      <c r="H757" s="17">
        <f t="shared" si="11"/>
        <v>368.66</v>
      </c>
      <c r="I757" s="18"/>
      <c r="J757" s="15">
        <v>3</v>
      </c>
      <c r="K757" s="15">
        <v>2016</v>
      </c>
      <c r="L757" s="15" t="str">
        <f>"561.72"</f>
        <v>561.72</v>
      </c>
      <c r="M757" s="15"/>
      <c r="N757" s="15"/>
      <c r="O757" s="15"/>
      <c r="P757" s="15"/>
      <c r="Q757" s="15"/>
      <c r="R757" s="15"/>
      <c r="S757" s="15" t="str">
        <f>"442.90"</f>
        <v>442.90</v>
      </c>
      <c r="T757" s="15"/>
      <c r="U757" s="15"/>
      <c r="V757" s="15"/>
      <c r="W757" s="15"/>
      <c r="X757" s="15"/>
      <c r="Y757" s="15"/>
      <c r="Z757" s="15"/>
      <c r="AA757" s="15"/>
      <c r="AB757" s="15"/>
      <c r="AC757" s="15" t="str">
        <f>"476.28"</f>
        <v>476.28</v>
      </c>
      <c r="AD757" s="15"/>
      <c r="AE757" s="15" t="str">
        <f>"400.81"</f>
        <v>400.81</v>
      </c>
      <c r="AF757" s="15"/>
      <c r="AG757" s="15" t="str">
        <f>"358.57"</f>
        <v>358.57</v>
      </c>
      <c r="AH757" s="15" t="str">
        <f>"394.74"</f>
        <v>394.74</v>
      </c>
      <c r="AI757" s="15"/>
    </row>
    <row r="758" spans="1:35">
      <c r="A758" s="14">
        <v>756</v>
      </c>
      <c r="B758" s="14">
        <v>4166</v>
      </c>
      <c r="C758" s="14" t="s">
        <v>924</v>
      </c>
      <c r="D758" s="14" t="s">
        <v>207</v>
      </c>
      <c r="E758" s="15" t="str">
        <f>"349.16"</f>
        <v>349.16</v>
      </c>
      <c r="F758" s="15"/>
      <c r="G758" s="16" t="str">
        <f>"377.16"</f>
        <v>377.16</v>
      </c>
      <c r="H758" s="17">
        <f t="shared" si="11"/>
        <v>369.16</v>
      </c>
      <c r="I758" s="18" t="s">
        <v>40</v>
      </c>
      <c r="J758" s="15">
        <v>1</v>
      </c>
      <c r="K758" s="15">
        <v>2016</v>
      </c>
      <c r="L758" s="15" t="str">
        <f>"349.16"</f>
        <v>349.16</v>
      </c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</row>
    <row r="759" spans="1:35">
      <c r="A759" s="14">
        <v>757</v>
      </c>
      <c r="B759" s="14">
        <v>5713</v>
      </c>
      <c r="C759" s="14" t="s">
        <v>925</v>
      </c>
      <c r="D759" s="14" t="s">
        <v>79</v>
      </c>
      <c r="E759" s="15" t="str">
        <f>"256.68"</f>
        <v>256.68</v>
      </c>
      <c r="F759" s="15"/>
      <c r="G759" s="16" t="str">
        <f>"377.69"</f>
        <v>377.69</v>
      </c>
      <c r="H759" s="17">
        <f t="shared" si="11"/>
        <v>369.69</v>
      </c>
      <c r="I759" s="18" t="s">
        <v>43</v>
      </c>
      <c r="J759" s="15">
        <v>2</v>
      </c>
      <c r="K759" s="15">
        <v>2016</v>
      </c>
      <c r="L759" s="15" t="str">
        <f>"256.68"</f>
        <v>256.68</v>
      </c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 t="str">
        <f>"349.69"</f>
        <v>349.69</v>
      </c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</row>
    <row r="760" spans="1:35">
      <c r="A760" s="14">
        <v>758</v>
      </c>
      <c r="B760" s="14">
        <v>3655</v>
      </c>
      <c r="C760" s="14" t="s">
        <v>926</v>
      </c>
      <c r="D760" s="14" t="s">
        <v>119</v>
      </c>
      <c r="E760" s="15" t="str">
        <f>"377.99"</f>
        <v>377.99</v>
      </c>
      <c r="F760" s="15"/>
      <c r="G760" s="16" t="str">
        <f>"377.99"</f>
        <v>377.99</v>
      </c>
      <c r="H760" s="17">
        <f t="shared" si="11"/>
        <v>369.99</v>
      </c>
      <c r="I760" s="18"/>
      <c r="J760" s="15">
        <v>5</v>
      </c>
      <c r="K760" s="15">
        <v>2016</v>
      </c>
      <c r="L760" s="15"/>
      <c r="M760" s="15"/>
      <c r="N760" s="15"/>
      <c r="O760" s="15"/>
      <c r="P760" s="15"/>
      <c r="Q760" s="15" t="str">
        <f>"169.88"</f>
        <v>169.88</v>
      </c>
      <c r="R760" s="15"/>
      <c r="S760" s="15"/>
      <c r="T760" s="15"/>
      <c r="U760" s="15"/>
      <c r="V760" s="15" t="str">
        <f>"586.09"</f>
        <v>586.09</v>
      </c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</row>
    <row r="761" spans="1:35">
      <c r="A761" s="14">
        <v>759</v>
      </c>
      <c r="B761" s="14">
        <v>10096</v>
      </c>
      <c r="C761" s="14" t="s">
        <v>927</v>
      </c>
      <c r="D761" s="14" t="s">
        <v>51</v>
      </c>
      <c r="E761" s="15" t="str">
        <f>"350.31"</f>
        <v>350.31</v>
      </c>
      <c r="F761" s="15"/>
      <c r="G761" s="16" t="str">
        <f>"378.31"</f>
        <v>378.31</v>
      </c>
      <c r="H761" s="17">
        <f t="shared" si="11"/>
        <v>370.31</v>
      </c>
      <c r="I761" s="18" t="s">
        <v>40</v>
      </c>
      <c r="J761" s="15">
        <v>1</v>
      </c>
      <c r="K761" s="15">
        <v>2016</v>
      </c>
      <c r="L761" s="15" t="str">
        <f>"350.31"</f>
        <v>350.31</v>
      </c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</row>
    <row r="762" spans="1:35">
      <c r="A762" s="14">
        <v>760</v>
      </c>
      <c r="B762" s="14">
        <v>5492</v>
      </c>
      <c r="C762" s="14" t="s">
        <v>928</v>
      </c>
      <c r="D762" s="14" t="s">
        <v>51</v>
      </c>
      <c r="E762" s="15" t="str">
        <f>"379.05"</f>
        <v>379.05</v>
      </c>
      <c r="F762" s="15"/>
      <c r="G762" s="16" t="str">
        <f>"379.05"</f>
        <v>379.05</v>
      </c>
      <c r="H762" s="17">
        <f t="shared" si="11"/>
        <v>371.05</v>
      </c>
      <c r="I762" s="18"/>
      <c r="J762" s="15">
        <v>3</v>
      </c>
      <c r="K762" s="15">
        <v>2016</v>
      </c>
      <c r="L762" s="15" t="str">
        <f>"480.56"</f>
        <v>480.56</v>
      </c>
      <c r="M762" s="15"/>
      <c r="N762" s="15"/>
      <c r="O762" s="15"/>
      <c r="P762" s="15"/>
      <c r="Q762" s="15"/>
      <c r="R762" s="15"/>
      <c r="S762" s="15" t="str">
        <f>"358.23"</f>
        <v>358.23</v>
      </c>
      <c r="T762" s="15"/>
      <c r="U762" s="15"/>
      <c r="V762" s="15"/>
      <c r="W762" s="15"/>
      <c r="X762" s="15" t="str">
        <f>"406.57"</f>
        <v>406.57</v>
      </c>
      <c r="Y762" s="15"/>
      <c r="Z762" s="15"/>
      <c r="AA762" s="15"/>
      <c r="AB762" s="15"/>
      <c r="AC762" s="15"/>
      <c r="AD762" s="15"/>
      <c r="AE762" s="15" t="str">
        <f>"399.86"</f>
        <v>399.86</v>
      </c>
      <c r="AF762" s="15"/>
      <c r="AG762" s="15"/>
      <c r="AH762" s="15"/>
      <c r="AI762" s="15"/>
    </row>
    <row r="763" spans="1:35">
      <c r="A763" s="14">
        <v>761</v>
      </c>
      <c r="B763" s="14">
        <v>10621</v>
      </c>
      <c r="C763" s="14" t="s">
        <v>929</v>
      </c>
      <c r="D763" s="14" t="s">
        <v>51</v>
      </c>
      <c r="E763" s="15" t="str">
        <f>"379.50"</f>
        <v>379.50</v>
      </c>
      <c r="F763" s="15"/>
      <c r="G763" s="16" t="str">
        <f>"379.50"</f>
        <v>379.50</v>
      </c>
      <c r="H763" s="17">
        <f t="shared" si="11"/>
        <v>371.5</v>
      </c>
      <c r="I763" s="18"/>
      <c r="J763" s="15">
        <v>3</v>
      </c>
      <c r="K763" s="15">
        <v>2016</v>
      </c>
      <c r="L763" s="15" t="str">
        <f>"544.91"</f>
        <v>544.91</v>
      </c>
      <c r="M763" s="15"/>
      <c r="N763" s="15"/>
      <c r="O763" s="15"/>
      <c r="P763" s="15"/>
      <c r="Q763" s="15"/>
      <c r="R763" s="15"/>
      <c r="S763" s="15" t="str">
        <f>"540.91"</f>
        <v>540.91</v>
      </c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 t="str">
        <f>"302.91"</f>
        <v>302.91</v>
      </c>
      <c r="AH763" s="15" t="str">
        <f>"456.09"</f>
        <v>456.09</v>
      </c>
      <c r="AI763" s="15"/>
    </row>
    <row r="764" spans="1:35">
      <c r="A764" s="14">
        <v>762</v>
      </c>
      <c r="B764" s="14">
        <v>10364</v>
      </c>
      <c r="C764" s="14" t="s">
        <v>930</v>
      </c>
      <c r="D764" s="14" t="s">
        <v>119</v>
      </c>
      <c r="E764" s="15" t="str">
        <f>"352.70"</f>
        <v>352.70</v>
      </c>
      <c r="F764" s="15"/>
      <c r="G764" s="16" t="str">
        <f>"380.70"</f>
        <v>380.70</v>
      </c>
      <c r="H764" s="17">
        <f t="shared" si="11"/>
        <v>372.7</v>
      </c>
      <c r="I764" s="18" t="s">
        <v>40</v>
      </c>
      <c r="J764" s="15">
        <v>1</v>
      </c>
      <c r="K764" s="15">
        <v>2016</v>
      </c>
      <c r="L764" s="15" t="str">
        <f>"352.70"</f>
        <v>352.70</v>
      </c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</row>
    <row r="765" spans="1:35">
      <c r="A765" s="14">
        <v>763</v>
      </c>
      <c r="B765" s="14">
        <v>10063</v>
      </c>
      <c r="C765" s="14" t="s">
        <v>931</v>
      </c>
      <c r="D765" s="14" t="s">
        <v>51</v>
      </c>
      <c r="E765" s="15" t="str">
        <f>"275.01"</f>
        <v>275.01</v>
      </c>
      <c r="F765" s="15"/>
      <c r="G765" s="16" t="str">
        <f>"381.29"</f>
        <v>381.29</v>
      </c>
      <c r="H765" s="17">
        <f t="shared" si="11"/>
        <v>373.29</v>
      </c>
      <c r="I765" s="18" t="s">
        <v>43</v>
      </c>
      <c r="J765" s="15">
        <v>2</v>
      </c>
      <c r="K765" s="15">
        <v>2016</v>
      </c>
      <c r="L765" s="15" t="str">
        <f>"275.01"</f>
        <v>275.01</v>
      </c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 t="str">
        <f>"353.29"</f>
        <v>353.29</v>
      </c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</row>
    <row r="766" spans="1:35">
      <c r="A766" s="14">
        <v>764</v>
      </c>
      <c r="B766" s="14">
        <v>10554</v>
      </c>
      <c r="C766" s="14" t="s">
        <v>932</v>
      </c>
      <c r="D766" s="14" t="s">
        <v>51</v>
      </c>
      <c r="E766" s="15" t="str">
        <f>"419.08"</f>
        <v>419.08</v>
      </c>
      <c r="F766" s="15"/>
      <c r="G766" s="16" t="str">
        <f>"381.67"</f>
        <v>381.67</v>
      </c>
      <c r="H766" s="17">
        <f t="shared" si="11"/>
        <v>373.67</v>
      </c>
      <c r="I766" s="18" t="s">
        <v>43</v>
      </c>
      <c r="J766" s="15">
        <v>2</v>
      </c>
      <c r="K766" s="15">
        <v>2016</v>
      </c>
      <c r="L766" s="15" t="str">
        <f>"484.48"</f>
        <v>484.48</v>
      </c>
      <c r="M766" s="15"/>
      <c r="N766" s="15"/>
      <c r="O766" s="15"/>
      <c r="P766" s="15"/>
      <c r="Q766" s="15"/>
      <c r="R766" s="15"/>
      <c r="S766" s="15" t="str">
        <f>"353.67"</f>
        <v>353.67</v>
      </c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</row>
    <row r="767" spans="1:35">
      <c r="A767" s="14">
        <v>765</v>
      </c>
      <c r="B767" s="14">
        <v>10993</v>
      </c>
      <c r="C767" s="14" t="s">
        <v>933</v>
      </c>
      <c r="D767" s="14" t="s">
        <v>168</v>
      </c>
      <c r="E767" s="15" t="str">
        <f>"382.23"</f>
        <v>382.23</v>
      </c>
      <c r="F767" s="15"/>
      <c r="G767" s="16" t="str">
        <f>"382.23"</f>
        <v>382.23</v>
      </c>
      <c r="H767" s="17">
        <f t="shared" si="11"/>
        <v>374.23</v>
      </c>
      <c r="I767" s="18"/>
      <c r="J767" s="15">
        <v>5</v>
      </c>
      <c r="K767" s="15">
        <v>2016</v>
      </c>
      <c r="L767" s="15"/>
      <c r="M767" s="15"/>
      <c r="N767" s="15"/>
      <c r="O767" s="15"/>
      <c r="P767" s="15"/>
      <c r="Q767" s="15" t="str">
        <f>"275.12"</f>
        <v>275.12</v>
      </c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 t="str">
        <f>"489.34"</f>
        <v>489.34</v>
      </c>
      <c r="AE767" s="15"/>
      <c r="AF767" s="15"/>
      <c r="AG767" s="15"/>
      <c r="AH767" s="15"/>
      <c r="AI767" s="15"/>
    </row>
    <row r="768" spans="1:35">
      <c r="A768" s="14">
        <v>766</v>
      </c>
      <c r="B768" s="14">
        <v>10590</v>
      </c>
      <c r="C768" s="14" t="s">
        <v>934</v>
      </c>
      <c r="D768" s="14" t="s">
        <v>51</v>
      </c>
      <c r="E768" s="15" t="str">
        <f>"354.58"</f>
        <v>354.58</v>
      </c>
      <c r="F768" s="15"/>
      <c r="G768" s="16" t="str">
        <f>"382.58"</f>
        <v>382.58</v>
      </c>
      <c r="H768" s="17">
        <f t="shared" si="11"/>
        <v>374.58</v>
      </c>
      <c r="I768" s="18" t="s">
        <v>40</v>
      </c>
      <c r="J768" s="15">
        <v>1</v>
      </c>
      <c r="K768" s="15">
        <v>2016</v>
      </c>
      <c r="L768" s="15" t="str">
        <f>"354.58"</f>
        <v>354.58</v>
      </c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</row>
    <row r="769" spans="1:35">
      <c r="A769" s="14">
        <v>767</v>
      </c>
      <c r="B769" s="14">
        <v>2334</v>
      </c>
      <c r="C769" s="14" t="s">
        <v>935</v>
      </c>
      <c r="D769" s="14" t="s">
        <v>51</v>
      </c>
      <c r="E769" s="15" t="str">
        <f>"383.31"</f>
        <v>383.31</v>
      </c>
      <c r="F769" s="15"/>
      <c r="G769" s="16" t="str">
        <f>"383.31"</f>
        <v>383.31</v>
      </c>
      <c r="H769" s="17">
        <f t="shared" si="11"/>
        <v>375.31</v>
      </c>
      <c r="I769" s="18"/>
      <c r="J769" s="15">
        <v>3</v>
      </c>
      <c r="K769" s="15">
        <v>2016</v>
      </c>
      <c r="L769" s="15" t="str">
        <f>"528.64"</f>
        <v>528.64</v>
      </c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 t="str">
        <f>"422.67"</f>
        <v>422.67</v>
      </c>
      <c r="Y769" s="15" t="str">
        <f>"603.24"</f>
        <v>603.24</v>
      </c>
      <c r="Z769" s="15"/>
      <c r="AA769" s="15"/>
      <c r="AB769" s="15"/>
      <c r="AC769" s="15"/>
      <c r="AD769" s="15"/>
      <c r="AE769" s="15"/>
      <c r="AF769" s="15"/>
      <c r="AG769" s="15" t="str">
        <f>"364.62"</f>
        <v>364.62</v>
      </c>
      <c r="AH769" s="15" t="str">
        <f>"401.99"</f>
        <v>401.99</v>
      </c>
      <c r="AI769" s="15"/>
    </row>
    <row r="770" spans="1:35">
      <c r="A770" s="14">
        <v>768</v>
      </c>
      <c r="B770" s="14">
        <v>10195</v>
      </c>
      <c r="C770" s="14" t="s">
        <v>936</v>
      </c>
      <c r="D770" s="14" t="s">
        <v>58</v>
      </c>
      <c r="E770" s="15" t="str">
        <f>"241.63"</f>
        <v>241.63</v>
      </c>
      <c r="F770" s="15"/>
      <c r="G770" s="16" t="str">
        <f>"383.97"</f>
        <v>383.97</v>
      </c>
      <c r="H770" s="17">
        <f t="shared" si="11"/>
        <v>375.97</v>
      </c>
      <c r="I770" s="18"/>
      <c r="J770" s="15">
        <v>3</v>
      </c>
      <c r="K770" s="15">
        <v>2016</v>
      </c>
      <c r="L770" s="15" t="str">
        <f>"270.85"</f>
        <v>270.85</v>
      </c>
      <c r="M770" s="15"/>
      <c r="N770" s="15"/>
      <c r="O770" s="15"/>
      <c r="P770" s="15"/>
      <c r="Q770" s="15"/>
      <c r="R770" s="15"/>
      <c r="S770" s="15"/>
      <c r="T770" s="15"/>
      <c r="U770" s="15" t="str">
        <f>"555.52"</f>
        <v>555.52</v>
      </c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 t="str">
        <f>"212.41"</f>
        <v>212.41</v>
      </c>
      <c r="AG770" s="15"/>
      <c r="AH770" s="15"/>
      <c r="AI770" s="15"/>
    </row>
    <row r="771" spans="1:35">
      <c r="A771" s="14">
        <v>769</v>
      </c>
      <c r="B771" s="14">
        <v>10060</v>
      </c>
      <c r="C771" s="14" t="s">
        <v>937</v>
      </c>
      <c r="D771" s="14" t="s">
        <v>51</v>
      </c>
      <c r="E771" s="15" t="str">
        <f>"276.72"</f>
        <v>276.72</v>
      </c>
      <c r="F771" s="15"/>
      <c r="G771" s="16" t="str">
        <f>"384.15"</f>
        <v>384.15</v>
      </c>
      <c r="H771" s="17">
        <f t="shared" ref="H771:H834" si="12">G771-8</f>
        <v>376.15</v>
      </c>
      <c r="I771" s="18" t="s">
        <v>43</v>
      </c>
      <c r="J771" s="15">
        <v>2</v>
      </c>
      <c r="K771" s="15">
        <v>2016</v>
      </c>
      <c r="L771" s="15" t="str">
        <f>"276.72"</f>
        <v>276.72</v>
      </c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 t="str">
        <f>"356.15"</f>
        <v>356.15</v>
      </c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</row>
    <row r="772" spans="1:35">
      <c r="A772" s="14">
        <v>770</v>
      </c>
      <c r="B772" s="14">
        <v>6080</v>
      </c>
      <c r="C772" s="14" t="s">
        <v>938</v>
      </c>
      <c r="D772" s="14" t="s">
        <v>139</v>
      </c>
      <c r="E772" s="15" t="str">
        <f>"260.56"</f>
        <v>260.56</v>
      </c>
      <c r="F772" s="15"/>
      <c r="G772" s="16" t="str">
        <f>"384.70"</f>
        <v>384.70</v>
      </c>
      <c r="H772" s="17">
        <f t="shared" si="12"/>
        <v>376.7</v>
      </c>
      <c r="I772" s="18" t="s">
        <v>43</v>
      </c>
      <c r="J772" s="15">
        <v>2</v>
      </c>
      <c r="K772" s="15">
        <v>2016</v>
      </c>
      <c r="L772" s="15" t="str">
        <f>"260.56"</f>
        <v>260.56</v>
      </c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 t="str">
        <f>"356.70"</f>
        <v>356.70</v>
      </c>
      <c r="AA772" s="15"/>
      <c r="AB772" s="15"/>
      <c r="AC772" s="15"/>
      <c r="AD772" s="15"/>
      <c r="AE772" s="15"/>
      <c r="AF772" s="15"/>
      <c r="AG772" s="15"/>
      <c r="AH772" s="15"/>
      <c r="AI772" s="15"/>
    </row>
    <row r="773" spans="1:35">
      <c r="A773" s="14">
        <v>771</v>
      </c>
      <c r="B773" s="14">
        <v>1387</v>
      </c>
      <c r="C773" s="14" t="s">
        <v>939</v>
      </c>
      <c r="D773" s="14" t="s">
        <v>76</v>
      </c>
      <c r="E773" s="15" t="str">
        <f>"356.71"</f>
        <v>356.71</v>
      </c>
      <c r="F773" s="15"/>
      <c r="G773" s="16" t="str">
        <f>"384.71"</f>
        <v>384.71</v>
      </c>
      <c r="H773" s="17">
        <f t="shared" si="12"/>
        <v>376.71</v>
      </c>
      <c r="I773" s="18" t="s">
        <v>40</v>
      </c>
      <c r="J773" s="15">
        <v>1</v>
      </c>
      <c r="K773" s="15">
        <v>2017</v>
      </c>
      <c r="L773" s="15" t="str">
        <f>"356.71"</f>
        <v>356.71</v>
      </c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</row>
    <row r="774" spans="1:35">
      <c r="A774" s="14">
        <v>772</v>
      </c>
      <c r="B774" s="14">
        <v>10835</v>
      </c>
      <c r="C774" s="14" t="s">
        <v>940</v>
      </c>
      <c r="D774" s="14" t="s">
        <v>51</v>
      </c>
      <c r="E774" s="15" t="str">
        <f>"385.78"</f>
        <v>385.78</v>
      </c>
      <c r="F774" s="15"/>
      <c r="G774" s="16" t="str">
        <f>"385.78"</f>
        <v>385.78</v>
      </c>
      <c r="H774" s="17">
        <f t="shared" si="12"/>
        <v>377.78</v>
      </c>
      <c r="I774" s="18"/>
      <c r="J774" s="15">
        <v>5</v>
      </c>
      <c r="K774" s="15">
        <v>2016</v>
      </c>
      <c r="L774" s="15"/>
      <c r="M774" s="15"/>
      <c r="N774" s="15"/>
      <c r="O774" s="15"/>
      <c r="P774" s="15"/>
      <c r="Q774" s="15"/>
      <c r="R774" s="15"/>
      <c r="S774" s="15" t="str">
        <f>"568.71"</f>
        <v>568.71</v>
      </c>
      <c r="T774" s="15"/>
      <c r="U774" s="15"/>
      <c r="V774" s="15"/>
      <c r="W774" s="15"/>
      <c r="X774" s="15" t="str">
        <f>"387.61"</f>
        <v>387.61</v>
      </c>
      <c r="Y774" s="15" t="str">
        <f>"383.95"</f>
        <v>383.95</v>
      </c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</row>
    <row r="775" spans="1:35">
      <c r="A775" s="14">
        <v>773</v>
      </c>
      <c r="B775" s="14">
        <v>531</v>
      </c>
      <c r="C775" s="14" t="s">
        <v>941</v>
      </c>
      <c r="D775" s="14" t="s">
        <v>85</v>
      </c>
      <c r="E775" s="15" t="str">
        <f>"151.94"</f>
        <v>151.94</v>
      </c>
      <c r="F775" s="15"/>
      <c r="G775" s="16" t="str">
        <f>"385.99"</f>
        <v>385.99</v>
      </c>
      <c r="H775" s="17">
        <f t="shared" si="12"/>
        <v>377.99</v>
      </c>
      <c r="I775" s="18" t="s">
        <v>43</v>
      </c>
      <c r="J775" s="15">
        <v>2</v>
      </c>
      <c r="K775" s="15">
        <v>2016</v>
      </c>
      <c r="L775" s="15" t="str">
        <f>"151.94"</f>
        <v>151.94</v>
      </c>
      <c r="M775" s="15"/>
      <c r="N775" s="15"/>
      <c r="O775" s="15"/>
      <c r="P775" s="15"/>
      <c r="Q775" s="15"/>
      <c r="R775" s="15"/>
      <c r="S775" s="15"/>
      <c r="T775" s="15"/>
      <c r="U775" s="15"/>
      <c r="V775" s="15" t="str">
        <f>"357.99"</f>
        <v>357.99</v>
      </c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</row>
    <row r="776" spans="1:35">
      <c r="A776" s="14">
        <v>774</v>
      </c>
      <c r="B776" s="14">
        <v>10327</v>
      </c>
      <c r="C776" s="14" t="s">
        <v>942</v>
      </c>
      <c r="D776" s="14" t="s">
        <v>47</v>
      </c>
      <c r="E776" s="15" t="str">
        <f>"358.13"</f>
        <v>358.13</v>
      </c>
      <c r="F776" s="15"/>
      <c r="G776" s="16" t="str">
        <f>"386.13"</f>
        <v>386.13</v>
      </c>
      <c r="H776" s="17">
        <f t="shared" si="12"/>
        <v>378.13</v>
      </c>
      <c r="I776" s="18" t="s">
        <v>40</v>
      </c>
      <c r="J776" s="15">
        <v>1</v>
      </c>
      <c r="K776" s="15">
        <v>2016</v>
      </c>
      <c r="L776" s="15" t="str">
        <f>"358.13"</f>
        <v>358.13</v>
      </c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</row>
    <row r="777" spans="1:35">
      <c r="A777" s="14">
        <v>775</v>
      </c>
      <c r="B777" s="14">
        <v>5431</v>
      </c>
      <c r="C777" s="14" t="s">
        <v>943</v>
      </c>
      <c r="D777" s="14" t="s">
        <v>558</v>
      </c>
      <c r="E777" s="15" t="str">
        <f>"358.18"</f>
        <v>358.18</v>
      </c>
      <c r="F777" s="15"/>
      <c r="G777" s="16" t="str">
        <f>"386.18"</f>
        <v>386.18</v>
      </c>
      <c r="H777" s="17">
        <f t="shared" si="12"/>
        <v>378.18</v>
      </c>
      <c r="I777" s="18" t="s">
        <v>40</v>
      </c>
      <c r="J777" s="15">
        <v>1</v>
      </c>
      <c r="K777" s="15">
        <v>2016</v>
      </c>
      <c r="L777" s="15" t="str">
        <f>"358.18"</f>
        <v>358.18</v>
      </c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</row>
    <row r="778" spans="1:35">
      <c r="A778" s="14">
        <v>776</v>
      </c>
      <c r="B778" s="14">
        <v>2175</v>
      </c>
      <c r="C778" s="14" t="s">
        <v>944</v>
      </c>
      <c r="D778" s="14" t="s">
        <v>51</v>
      </c>
      <c r="E778" s="15" t="str">
        <f>"327.36"</f>
        <v>327.36</v>
      </c>
      <c r="F778" s="15"/>
      <c r="G778" s="16" t="str">
        <f>"386.41"</f>
        <v>386.41</v>
      </c>
      <c r="H778" s="17">
        <f t="shared" si="12"/>
        <v>378.41</v>
      </c>
      <c r="I778" s="18"/>
      <c r="J778" s="15">
        <v>3</v>
      </c>
      <c r="K778" s="15">
        <v>2016</v>
      </c>
      <c r="L778" s="15" t="str">
        <f>"327.36"</f>
        <v>327.36</v>
      </c>
      <c r="M778" s="15"/>
      <c r="N778" s="15"/>
      <c r="O778" s="15"/>
      <c r="P778" s="15"/>
      <c r="Q778" s="15"/>
      <c r="R778" s="15"/>
      <c r="S778" s="15" t="str">
        <f>"375.55"</f>
        <v>375.55</v>
      </c>
      <c r="T778" s="15"/>
      <c r="U778" s="15"/>
      <c r="V778" s="15"/>
      <c r="W778" s="15"/>
      <c r="X778" s="15" t="str">
        <f>"407.84"</f>
        <v>407.84</v>
      </c>
      <c r="Y778" s="15" t="str">
        <f>"439.21"</f>
        <v>439.21</v>
      </c>
      <c r="Z778" s="15"/>
      <c r="AA778" s="15"/>
      <c r="AB778" s="15"/>
      <c r="AC778" s="15"/>
      <c r="AD778" s="15"/>
      <c r="AE778" s="15" t="str">
        <f>"397.27"</f>
        <v>397.27</v>
      </c>
      <c r="AF778" s="15"/>
      <c r="AG778" s="15"/>
      <c r="AH778" s="15"/>
      <c r="AI778" s="15"/>
    </row>
    <row r="779" spans="1:35">
      <c r="A779" s="14">
        <v>777</v>
      </c>
      <c r="B779" s="14">
        <v>5770</v>
      </c>
      <c r="C779" s="14" t="s">
        <v>945</v>
      </c>
      <c r="D779" s="14" t="s">
        <v>74</v>
      </c>
      <c r="E779" s="15" t="str">
        <f>"332.70"</f>
        <v>332.70</v>
      </c>
      <c r="F779" s="15"/>
      <c r="G779" s="16" t="str">
        <f>"388.04"</f>
        <v>388.04</v>
      </c>
      <c r="H779" s="17">
        <f t="shared" si="12"/>
        <v>380.04</v>
      </c>
      <c r="I779" s="18" t="s">
        <v>43</v>
      </c>
      <c r="J779" s="15">
        <v>2</v>
      </c>
      <c r="K779" s="15">
        <v>2016</v>
      </c>
      <c r="L779" s="15" t="str">
        <f>"332.70"</f>
        <v>332.70</v>
      </c>
      <c r="M779" s="15"/>
      <c r="N779" s="15"/>
      <c r="O779" s="15"/>
      <c r="P779" s="15"/>
      <c r="Q779" s="15"/>
      <c r="R779" s="15"/>
      <c r="S779" s="15"/>
      <c r="T779" s="15"/>
      <c r="U779" s="15"/>
      <c r="V779" s="15" t="str">
        <f>"360.04"</f>
        <v>360.04</v>
      </c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</row>
    <row r="780" spans="1:35">
      <c r="A780" s="14">
        <v>778</v>
      </c>
      <c r="B780" s="14">
        <v>9958</v>
      </c>
      <c r="C780" s="14" t="s">
        <v>946</v>
      </c>
      <c r="D780" s="14" t="s">
        <v>58</v>
      </c>
      <c r="E780" s="15" t="str">
        <f>"283.71"</f>
        <v>283.71</v>
      </c>
      <c r="F780" s="15"/>
      <c r="G780" s="16" t="str">
        <f>"390.14"</f>
        <v>390.14</v>
      </c>
      <c r="H780" s="17">
        <f t="shared" si="12"/>
        <v>382.14</v>
      </c>
      <c r="I780" s="18"/>
      <c r="J780" s="15">
        <v>3</v>
      </c>
      <c r="K780" s="15">
        <v>2016</v>
      </c>
      <c r="L780" s="15" t="str">
        <f>"283.71"</f>
        <v>283.71</v>
      </c>
      <c r="M780" s="15"/>
      <c r="N780" s="15"/>
      <c r="O780" s="15"/>
      <c r="P780" s="15" t="str">
        <f>"470.12"</f>
        <v>470.12</v>
      </c>
      <c r="Q780" s="15"/>
      <c r="R780" s="15"/>
      <c r="S780" s="15"/>
      <c r="T780" s="15"/>
      <c r="U780" s="15" t="str">
        <f>"537.34"</f>
        <v>537.34</v>
      </c>
      <c r="V780" s="15"/>
      <c r="W780" s="15"/>
      <c r="X780" s="15"/>
      <c r="Y780" s="15"/>
      <c r="Z780" s="15" t="str">
        <f>"599.39"</f>
        <v>599.39</v>
      </c>
      <c r="AA780" s="15"/>
      <c r="AB780" s="15"/>
      <c r="AC780" s="15"/>
      <c r="AD780" s="15"/>
      <c r="AE780" s="15"/>
      <c r="AF780" s="15" t="str">
        <f>"310.15"</f>
        <v>310.15</v>
      </c>
      <c r="AG780" s="15"/>
      <c r="AH780" s="15"/>
      <c r="AI780" s="15"/>
    </row>
    <row r="781" spans="1:35">
      <c r="A781" s="14">
        <v>779</v>
      </c>
      <c r="B781" s="14">
        <v>3391</v>
      </c>
      <c r="C781" s="14" t="s">
        <v>947</v>
      </c>
      <c r="D781" s="14" t="s">
        <v>45</v>
      </c>
      <c r="E781" s="15" t="str">
        <f>"362.74"</f>
        <v>362.74</v>
      </c>
      <c r="F781" s="15"/>
      <c r="G781" s="16" t="str">
        <f>"390.74"</f>
        <v>390.74</v>
      </c>
      <c r="H781" s="17">
        <f t="shared" si="12"/>
        <v>382.74</v>
      </c>
      <c r="I781" s="18" t="s">
        <v>40</v>
      </c>
      <c r="J781" s="15">
        <v>1</v>
      </c>
      <c r="K781" s="15">
        <v>2016</v>
      </c>
      <c r="L781" s="15" t="str">
        <f>"362.74"</f>
        <v>362.74</v>
      </c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</row>
    <row r="782" spans="1:35">
      <c r="A782" s="14">
        <v>780</v>
      </c>
      <c r="B782" s="14">
        <v>10344</v>
      </c>
      <c r="C782" s="14" t="s">
        <v>948</v>
      </c>
      <c r="D782" s="14" t="s">
        <v>51</v>
      </c>
      <c r="E782" s="15" t="str">
        <f>"363.02"</f>
        <v>363.02</v>
      </c>
      <c r="F782" s="15"/>
      <c r="G782" s="16" t="str">
        <f>"391.02"</f>
        <v>391.02</v>
      </c>
      <c r="H782" s="17">
        <f t="shared" si="12"/>
        <v>383.02</v>
      </c>
      <c r="I782" s="18" t="s">
        <v>40</v>
      </c>
      <c r="J782" s="15">
        <v>1</v>
      </c>
      <c r="K782" s="15">
        <v>2016</v>
      </c>
      <c r="L782" s="15" t="str">
        <f>"363.02"</f>
        <v>363.02</v>
      </c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</row>
    <row r="783" spans="1:35">
      <c r="A783" s="14">
        <v>781</v>
      </c>
      <c r="B783" s="14">
        <v>8633</v>
      </c>
      <c r="C783" s="14" t="s">
        <v>949</v>
      </c>
      <c r="D783" s="14" t="s">
        <v>51</v>
      </c>
      <c r="E783" s="15" t="str">
        <f>"387.29"</f>
        <v>387.29</v>
      </c>
      <c r="F783" s="15"/>
      <c r="G783" s="16" t="str">
        <f>"391.97"</f>
        <v>391.97</v>
      </c>
      <c r="H783" s="17">
        <f t="shared" si="12"/>
        <v>383.97</v>
      </c>
      <c r="I783" s="18"/>
      <c r="J783" s="15">
        <v>3</v>
      </c>
      <c r="K783" s="15">
        <v>2016</v>
      </c>
      <c r="L783" s="15" t="str">
        <f>"392.93"</f>
        <v>392.93</v>
      </c>
      <c r="M783" s="15"/>
      <c r="N783" s="15"/>
      <c r="O783" s="15"/>
      <c r="P783" s="15"/>
      <c r="Q783" s="15"/>
      <c r="R783" s="15"/>
      <c r="S783" s="15" t="str">
        <f>"413.73"</f>
        <v>413.73</v>
      </c>
      <c r="T783" s="15" t="str">
        <f>"402.30"</f>
        <v>402.30</v>
      </c>
      <c r="U783" s="15"/>
      <c r="V783" s="15"/>
      <c r="W783" s="15"/>
      <c r="X783" s="15" t="str">
        <f>"443.00"</f>
        <v>443.00</v>
      </c>
      <c r="Y783" s="15" t="str">
        <f>"568.24"</f>
        <v>568.24</v>
      </c>
      <c r="Z783" s="15"/>
      <c r="AA783" s="15"/>
      <c r="AB783" s="15"/>
      <c r="AC783" s="15"/>
      <c r="AD783" s="15"/>
      <c r="AE783" s="15"/>
      <c r="AF783" s="15"/>
      <c r="AG783" s="15" t="str">
        <f>"381.64"</f>
        <v>381.64</v>
      </c>
      <c r="AH783" s="15" t="str">
        <f>"416.82"</f>
        <v>416.82</v>
      </c>
      <c r="AI783" s="15"/>
    </row>
    <row r="784" spans="1:35">
      <c r="A784" s="14">
        <v>782</v>
      </c>
      <c r="B784" s="14">
        <v>8453</v>
      </c>
      <c r="C784" s="14" t="s">
        <v>950</v>
      </c>
      <c r="D784" s="14" t="s">
        <v>51</v>
      </c>
      <c r="E784" s="15" t="str">
        <f>"364.09"</f>
        <v>364.09</v>
      </c>
      <c r="F784" s="15"/>
      <c r="G784" s="16" t="str">
        <f>"392.09"</f>
        <v>392.09</v>
      </c>
      <c r="H784" s="17">
        <f t="shared" si="12"/>
        <v>384.09</v>
      </c>
      <c r="I784" s="18" t="s">
        <v>40</v>
      </c>
      <c r="J784" s="15">
        <v>1</v>
      </c>
      <c r="K784" s="15">
        <v>2016</v>
      </c>
      <c r="L784" s="15" t="str">
        <f>"364.09"</f>
        <v>364.09</v>
      </c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</row>
    <row r="785" spans="1:35">
      <c r="A785" s="14">
        <v>783</v>
      </c>
      <c r="B785" s="14">
        <v>5735</v>
      </c>
      <c r="C785" s="14" t="s">
        <v>951</v>
      </c>
      <c r="D785" s="14" t="s">
        <v>45</v>
      </c>
      <c r="E785" s="15" t="str">
        <f>"391.50"</f>
        <v>391.50</v>
      </c>
      <c r="F785" s="15"/>
      <c r="G785" s="16" t="str">
        <f>"394.74"</f>
        <v>394.74</v>
      </c>
      <c r="H785" s="17">
        <f t="shared" si="12"/>
        <v>386.74</v>
      </c>
      <c r="I785" s="18"/>
      <c r="J785" s="15">
        <v>3</v>
      </c>
      <c r="K785" s="15">
        <v>2016</v>
      </c>
      <c r="L785" s="15" t="str">
        <f>"418.32"</f>
        <v>418.32</v>
      </c>
      <c r="M785" s="15"/>
      <c r="N785" s="15"/>
      <c r="O785" s="15"/>
      <c r="P785" s="15"/>
      <c r="Q785" s="15"/>
      <c r="R785" s="15"/>
      <c r="S785" s="15"/>
      <c r="T785" s="15"/>
      <c r="U785" s="15"/>
      <c r="V785" s="15" t="str">
        <f>"522.00"</f>
        <v>522.00</v>
      </c>
      <c r="W785" s="15"/>
      <c r="X785" s="15"/>
      <c r="Y785" s="15"/>
      <c r="Z785" s="15" t="str">
        <f>"424.80"</f>
        <v>424.80</v>
      </c>
      <c r="AA785" s="15" t="str">
        <f>"733.06"</f>
        <v>733.06</v>
      </c>
      <c r="AB785" s="15"/>
      <c r="AC785" s="15" t="str">
        <f>"462.73"</f>
        <v>462.73</v>
      </c>
      <c r="AD785" s="15"/>
      <c r="AE785" s="15" t="str">
        <f>"364.67"</f>
        <v>364.67</v>
      </c>
      <c r="AF785" s="15"/>
      <c r="AG785" s="15"/>
      <c r="AH785" s="15"/>
      <c r="AI785" s="15"/>
    </row>
    <row r="786" spans="1:35">
      <c r="A786" s="14">
        <v>784</v>
      </c>
      <c r="B786" s="14">
        <v>5743</v>
      </c>
      <c r="C786" s="14" t="s">
        <v>952</v>
      </c>
      <c r="D786" s="14" t="s">
        <v>51</v>
      </c>
      <c r="E786" s="15" t="str">
        <f>"367.96"</f>
        <v>367.96</v>
      </c>
      <c r="F786" s="15"/>
      <c r="G786" s="16" t="str">
        <f>"395.96"</f>
        <v>395.96</v>
      </c>
      <c r="H786" s="17">
        <f t="shared" si="12"/>
        <v>387.96</v>
      </c>
      <c r="I786" s="18" t="s">
        <v>40</v>
      </c>
      <c r="J786" s="15">
        <v>1</v>
      </c>
      <c r="K786" s="15">
        <v>2016</v>
      </c>
      <c r="L786" s="15" t="str">
        <f>"367.96"</f>
        <v>367.96</v>
      </c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</row>
    <row r="787" spans="1:35">
      <c r="A787" s="14">
        <v>785</v>
      </c>
      <c r="B787" s="14">
        <v>8456</v>
      </c>
      <c r="C787" s="14" t="s">
        <v>953</v>
      </c>
      <c r="D787" s="14" t="s">
        <v>51</v>
      </c>
      <c r="E787" s="15" t="str">
        <f>"352.27"</f>
        <v>352.27</v>
      </c>
      <c r="F787" s="15"/>
      <c r="G787" s="16" t="str">
        <f>"396.26"</f>
        <v>396.26</v>
      </c>
      <c r="H787" s="17">
        <f t="shared" si="12"/>
        <v>388.26</v>
      </c>
      <c r="I787" s="18"/>
      <c r="J787" s="15">
        <v>3</v>
      </c>
      <c r="K787" s="15">
        <v>2016</v>
      </c>
      <c r="L787" s="15" t="str">
        <f>"352.27"</f>
        <v>352.27</v>
      </c>
      <c r="M787" s="15"/>
      <c r="N787" s="15"/>
      <c r="O787" s="15"/>
      <c r="P787" s="15"/>
      <c r="Q787" s="15"/>
      <c r="R787" s="15"/>
      <c r="S787" s="15" t="str">
        <f>"434.24"</f>
        <v>434.24</v>
      </c>
      <c r="T787" s="15" t="str">
        <f>"478.06"</f>
        <v>478.06</v>
      </c>
      <c r="U787" s="15"/>
      <c r="V787" s="15"/>
      <c r="W787" s="15"/>
      <c r="X787" s="15" t="str">
        <f>"358.27"</f>
        <v>358.27</v>
      </c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</row>
    <row r="788" spans="1:35">
      <c r="A788" s="14">
        <v>786</v>
      </c>
      <c r="B788" s="14">
        <v>5145</v>
      </c>
      <c r="C788" s="14" t="s">
        <v>954</v>
      </c>
      <c r="D788" s="14" t="s">
        <v>419</v>
      </c>
      <c r="E788" s="15" t="str">
        <f>"368.27"</f>
        <v>368.27</v>
      </c>
      <c r="F788" s="15"/>
      <c r="G788" s="16" t="str">
        <f>"396.27"</f>
        <v>396.27</v>
      </c>
      <c r="H788" s="17">
        <f t="shared" si="12"/>
        <v>388.27</v>
      </c>
      <c r="I788" s="18" t="s">
        <v>40</v>
      </c>
      <c r="J788" s="15">
        <v>1</v>
      </c>
      <c r="K788" s="15">
        <v>2016</v>
      </c>
      <c r="L788" s="15" t="str">
        <f>"368.27"</f>
        <v>368.27</v>
      </c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</row>
    <row r="789" spans="1:35">
      <c r="A789" s="14">
        <v>787</v>
      </c>
      <c r="B789" s="14">
        <v>5429</v>
      </c>
      <c r="C789" s="14" t="s">
        <v>955</v>
      </c>
      <c r="D789" s="14" t="s">
        <v>58</v>
      </c>
      <c r="E789" s="15" t="str">
        <f>"285.73"</f>
        <v>285.73</v>
      </c>
      <c r="F789" s="15"/>
      <c r="G789" s="16" t="str">
        <f>"398.66"</f>
        <v>398.66</v>
      </c>
      <c r="H789" s="17">
        <f t="shared" si="12"/>
        <v>390.66</v>
      </c>
      <c r="I789" s="18"/>
      <c r="J789" s="15">
        <v>3</v>
      </c>
      <c r="K789" s="15">
        <v>2016</v>
      </c>
      <c r="L789" s="15" t="str">
        <f>"285.73"</f>
        <v>285.73</v>
      </c>
      <c r="M789" s="15"/>
      <c r="N789" s="15" t="str">
        <f>"351.38"</f>
        <v>351.38</v>
      </c>
      <c r="O789" s="15"/>
      <c r="P789" s="15"/>
      <c r="Q789" s="15"/>
      <c r="R789" s="15"/>
      <c r="S789" s="15"/>
      <c r="T789" s="15"/>
      <c r="U789" s="15" t="str">
        <f>"445.94"</f>
        <v>445.94</v>
      </c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</row>
    <row r="790" spans="1:35">
      <c r="A790" s="14">
        <v>788</v>
      </c>
      <c r="B790" s="14">
        <v>10705</v>
      </c>
      <c r="C790" s="14" t="s">
        <v>956</v>
      </c>
      <c r="D790" s="14" t="s">
        <v>45</v>
      </c>
      <c r="E790" s="15" t="str">
        <f>"450.71"</f>
        <v>450.71</v>
      </c>
      <c r="F790" s="15"/>
      <c r="G790" s="16" t="str">
        <f>"399.51"</f>
        <v>399.51</v>
      </c>
      <c r="H790" s="17">
        <f t="shared" si="12"/>
        <v>391.51</v>
      </c>
      <c r="I790" s="18" t="s">
        <v>43</v>
      </c>
      <c r="J790" s="15">
        <v>2</v>
      </c>
      <c r="K790" s="15">
        <v>2016</v>
      </c>
      <c r="L790" s="15" t="str">
        <f>"529.91"</f>
        <v>529.91</v>
      </c>
      <c r="M790" s="15" t="str">
        <f>"371.51"</f>
        <v>371.51</v>
      </c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</row>
    <row r="791" spans="1:35">
      <c r="A791" s="14">
        <v>789</v>
      </c>
      <c r="B791" s="14">
        <v>10437</v>
      </c>
      <c r="C791" s="14" t="s">
        <v>957</v>
      </c>
      <c r="D791" s="14" t="s">
        <v>58</v>
      </c>
      <c r="E791" s="15" t="str">
        <f>"399.87"</f>
        <v>399.87</v>
      </c>
      <c r="F791" s="15"/>
      <c r="G791" s="16" t="str">
        <f>"399.87"</f>
        <v>399.87</v>
      </c>
      <c r="H791" s="17">
        <f t="shared" si="12"/>
        <v>391.87</v>
      </c>
      <c r="I791" s="18"/>
      <c r="J791" s="15">
        <v>3</v>
      </c>
      <c r="K791" s="15">
        <v>2016</v>
      </c>
      <c r="L791" s="15" t="str">
        <f>"694.78"</f>
        <v>694.78</v>
      </c>
      <c r="M791" s="15"/>
      <c r="N791" s="15"/>
      <c r="O791" s="15"/>
      <c r="P791" s="15"/>
      <c r="Q791" s="15"/>
      <c r="R791" s="15"/>
      <c r="S791" s="15"/>
      <c r="T791" s="15"/>
      <c r="U791" s="15" t="str">
        <f>"872.16"</f>
        <v>872.16</v>
      </c>
      <c r="V791" s="15"/>
      <c r="W791" s="15"/>
      <c r="X791" s="15"/>
      <c r="Y791" s="15"/>
      <c r="Z791" s="15"/>
      <c r="AA791" s="15" t="str">
        <f>"784.28"</f>
        <v>784.28</v>
      </c>
      <c r="AB791" s="15"/>
      <c r="AC791" s="15" t="str">
        <f>"408.52"</f>
        <v>408.52</v>
      </c>
      <c r="AD791" s="15"/>
      <c r="AE791" s="15"/>
      <c r="AF791" s="15" t="str">
        <f>"391.22"</f>
        <v>391.22</v>
      </c>
      <c r="AG791" s="15"/>
      <c r="AH791" s="15"/>
      <c r="AI791" s="15"/>
    </row>
    <row r="792" spans="1:35">
      <c r="A792" s="14">
        <v>790</v>
      </c>
      <c r="B792" s="14">
        <v>10147</v>
      </c>
      <c r="C792" s="14" t="s">
        <v>958</v>
      </c>
      <c r="D792" s="14" t="s">
        <v>58</v>
      </c>
      <c r="E792" s="15" t="str">
        <f>"378.14"</f>
        <v>378.14</v>
      </c>
      <c r="F792" s="15"/>
      <c r="G792" s="16" t="str">
        <f>"401.78"</f>
        <v>401.78</v>
      </c>
      <c r="H792" s="17">
        <f t="shared" si="12"/>
        <v>393.78</v>
      </c>
      <c r="I792" s="18"/>
      <c r="J792" s="15">
        <v>3</v>
      </c>
      <c r="K792" s="15">
        <v>2016</v>
      </c>
      <c r="L792" s="15" t="str">
        <f>"457.02"</f>
        <v>457.02</v>
      </c>
      <c r="M792" s="15"/>
      <c r="N792" s="15"/>
      <c r="O792" s="15"/>
      <c r="P792" s="15"/>
      <c r="Q792" s="15"/>
      <c r="R792" s="15"/>
      <c r="S792" s="15"/>
      <c r="T792" s="15"/>
      <c r="U792" s="15" t="str">
        <f>"504.30"</f>
        <v>504.30</v>
      </c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 t="str">
        <f>"299.26"</f>
        <v>299.26</v>
      </c>
      <c r="AG792" s="15"/>
      <c r="AH792" s="15"/>
      <c r="AI792" s="15"/>
    </row>
    <row r="793" spans="1:35">
      <c r="A793" s="14">
        <v>791</v>
      </c>
      <c r="B793" s="14">
        <v>10967</v>
      </c>
      <c r="C793" s="14" t="s">
        <v>959</v>
      </c>
      <c r="D793" s="14" t="s">
        <v>45</v>
      </c>
      <c r="E793" s="15" t="str">
        <f>"402.42"</f>
        <v>402.42</v>
      </c>
      <c r="F793" s="15"/>
      <c r="G793" s="16" t="str">
        <f>"402.42"</f>
        <v>402.42</v>
      </c>
      <c r="H793" s="17">
        <f t="shared" si="12"/>
        <v>394.42</v>
      </c>
      <c r="I793" s="18" t="s">
        <v>43</v>
      </c>
      <c r="J793" s="15">
        <v>4</v>
      </c>
      <c r="K793" s="15">
        <v>2016</v>
      </c>
      <c r="L793" s="15"/>
      <c r="M793" s="15" t="str">
        <f>"374.42"</f>
        <v>374.42</v>
      </c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</row>
    <row r="794" spans="1:35">
      <c r="A794" s="14">
        <v>792</v>
      </c>
      <c r="B794" s="14">
        <v>8307</v>
      </c>
      <c r="C794" s="14" t="s">
        <v>960</v>
      </c>
      <c r="D794" s="14" t="s">
        <v>632</v>
      </c>
      <c r="E794" s="15" t="str">
        <f>"375.03"</f>
        <v>375.03</v>
      </c>
      <c r="F794" s="15"/>
      <c r="G794" s="16" t="str">
        <f>"403.03"</f>
        <v>403.03</v>
      </c>
      <c r="H794" s="17">
        <f t="shared" si="12"/>
        <v>395.03</v>
      </c>
      <c r="I794" s="18" t="s">
        <v>40</v>
      </c>
      <c r="J794" s="15">
        <v>1</v>
      </c>
      <c r="K794" s="15">
        <v>2016</v>
      </c>
      <c r="L794" s="15" t="str">
        <f>"375.03"</f>
        <v>375.03</v>
      </c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</row>
    <row r="795" spans="1:35">
      <c r="A795" s="14">
        <v>793</v>
      </c>
      <c r="B795" s="14">
        <v>2668</v>
      </c>
      <c r="C795" s="14" t="s">
        <v>961</v>
      </c>
      <c r="D795" s="14" t="s">
        <v>74</v>
      </c>
      <c r="E795" s="15" t="str">
        <f>"231.58"</f>
        <v>231.58</v>
      </c>
      <c r="F795" s="15"/>
      <c r="G795" s="16" t="str">
        <f>"407.77"</f>
        <v>407.77</v>
      </c>
      <c r="H795" s="17">
        <f t="shared" si="12"/>
        <v>399.77</v>
      </c>
      <c r="I795" s="18"/>
      <c r="J795" s="15">
        <v>3</v>
      </c>
      <c r="K795" s="15">
        <v>2016</v>
      </c>
      <c r="L795" s="15" t="str">
        <f>"231.58"</f>
        <v>231.58</v>
      </c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 t="str">
        <f>"388.15"</f>
        <v>388.15</v>
      </c>
      <c r="AB795" s="15"/>
      <c r="AC795" s="15" t="str">
        <f>"427.38"</f>
        <v>427.38</v>
      </c>
      <c r="AD795" s="15"/>
      <c r="AE795" s="15"/>
      <c r="AF795" s="15"/>
      <c r="AG795" s="15"/>
      <c r="AH795" s="15"/>
      <c r="AI795" s="15"/>
    </row>
    <row r="796" spans="1:35">
      <c r="A796" s="14">
        <v>794</v>
      </c>
      <c r="B796" s="14">
        <v>10361</v>
      </c>
      <c r="C796" s="14" t="s">
        <v>962</v>
      </c>
      <c r="D796" s="14" t="s">
        <v>119</v>
      </c>
      <c r="E796" s="15" t="str">
        <f>"430.35"</f>
        <v>430.35</v>
      </c>
      <c r="F796" s="15"/>
      <c r="G796" s="16" t="str">
        <f>"407.87"</f>
        <v>407.87</v>
      </c>
      <c r="H796" s="17">
        <f t="shared" si="12"/>
        <v>399.87</v>
      </c>
      <c r="I796" s="18" t="s">
        <v>43</v>
      </c>
      <c r="J796" s="15">
        <v>2</v>
      </c>
      <c r="K796" s="15">
        <v>2016</v>
      </c>
      <c r="L796" s="15" t="str">
        <f>"480.83"</f>
        <v>480.83</v>
      </c>
      <c r="M796" s="15" t="str">
        <f>"379.87"</f>
        <v>379.87</v>
      </c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</row>
    <row r="797" spans="1:35">
      <c r="A797" s="14">
        <v>795</v>
      </c>
      <c r="B797" s="14">
        <v>9987</v>
      </c>
      <c r="C797" s="14" t="s">
        <v>963</v>
      </c>
      <c r="D797" s="14" t="s">
        <v>119</v>
      </c>
      <c r="E797" s="15" t="str">
        <f>"380.15"</f>
        <v>380.15</v>
      </c>
      <c r="F797" s="15"/>
      <c r="G797" s="16" t="str">
        <f>"408.15"</f>
        <v>408.15</v>
      </c>
      <c r="H797" s="17">
        <f t="shared" si="12"/>
        <v>400.15</v>
      </c>
      <c r="I797" s="18" t="s">
        <v>40</v>
      </c>
      <c r="J797" s="15">
        <v>1</v>
      </c>
      <c r="K797" s="15">
        <v>2016</v>
      </c>
      <c r="L797" s="15" t="str">
        <f>"380.15"</f>
        <v>380.15</v>
      </c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</row>
    <row r="798" spans="1:35">
      <c r="A798" s="14">
        <v>796</v>
      </c>
      <c r="B798" s="14">
        <v>10438</v>
      </c>
      <c r="C798" s="14" t="s">
        <v>964</v>
      </c>
      <c r="D798" s="14" t="s">
        <v>58</v>
      </c>
      <c r="E798" s="15" t="str">
        <f>"408.66"</f>
        <v>408.66</v>
      </c>
      <c r="F798" s="15"/>
      <c r="G798" s="16" t="str">
        <f>"408.66"</f>
        <v>408.66</v>
      </c>
      <c r="H798" s="17">
        <f t="shared" si="12"/>
        <v>400.66</v>
      </c>
      <c r="I798" s="18"/>
      <c r="J798" s="15">
        <v>3</v>
      </c>
      <c r="K798" s="15">
        <v>2016</v>
      </c>
      <c r="L798" s="15" t="str">
        <f>"679.17"</f>
        <v>679.17</v>
      </c>
      <c r="M798" s="15"/>
      <c r="N798" s="15"/>
      <c r="O798" s="15"/>
      <c r="P798" s="15"/>
      <c r="Q798" s="15"/>
      <c r="R798" s="15"/>
      <c r="S798" s="15"/>
      <c r="T798" s="15"/>
      <c r="U798" s="15" t="str">
        <f>"767.52"</f>
        <v>767.52</v>
      </c>
      <c r="V798" s="15"/>
      <c r="W798" s="15"/>
      <c r="X798" s="15"/>
      <c r="Y798" s="15"/>
      <c r="Z798" s="15"/>
      <c r="AA798" s="15"/>
      <c r="AB798" s="15"/>
      <c r="AC798" s="15" t="str">
        <f>"448.15"</f>
        <v>448.15</v>
      </c>
      <c r="AD798" s="15"/>
      <c r="AE798" s="15"/>
      <c r="AF798" s="15" t="str">
        <f>"369.16"</f>
        <v>369.16</v>
      </c>
      <c r="AG798" s="15"/>
      <c r="AH798" s="15"/>
      <c r="AI798" s="15"/>
    </row>
    <row r="799" spans="1:35">
      <c r="A799" s="14">
        <v>797</v>
      </c>
      <c r="B799" s="14">
        <v>10684</v>
      </c>
      <c r="C799" s="14" t="s">
        <v>965</v>
      </c>
      <c r="D799" s="14" t="s">
        <v>51</v>
      </c>
      <c r="E799" s="15" t="str">
        <f>"411.46"</f>
        <v>411.46</v>
      </c>
      <c r="F799" s="15"/>
      <c r="G799" s="16" t="str">
        <f>"411.46"</f>
        <v>411.46</v>
      </c>
      <c r="H799" s="17">
        <f t="shared" si="12"/>
        <v>403.46</v>
      </c>
      <c r="I799" s="18"/>
      <c r="J799" s="15">
        <v>3</v>
      </c>
      <c r="K799" s="15">
        <v>2016</v>
      </c>
      <c r="L799" s="15" t="str">
        <f>"584.01"</f>
        <v>584.01</v>
      </c>
      <c r="M799" s="15"/>
      <c r="N799" s="15"/>
      <c r="O799" s="15"/>
      <c r="P799" s="15"/>
      <c r="Q799" s="15"/>
      <c r="R799" s="15"/>
      <c r="S799" s="15" t="str">
        <f>"399.83"</f>
        <v>399.83</v>
      </c>
      <c r="T799" s="15" t="str">
        <f>"452.26"</f>
        <v>452.26</v>
      </c>
      <c r="U799" s="15"/>
      <c r="V799" s="15"/>
      <c r="W799" s="15"/>
      <c r="X799" s="15" t="str">
        <f>"423.09"</f>
        <v>423.09</v>
      </c>
      <c r="Y799" s="15"/>
      <c r="Z799" s="15"/>
      <c r="AA799" s="15"/>
      <c r="AB799" s="15"/>
      <c r="AC799" s="15"/>
      <c r="AD799" s="15"/>
      <c r="AE799" s="15"/>
      <c r="AF799" s="15"/>
      <c r="AG799" s="15"/>
      <c r="AH799" s="15" t="str">
        <f>"457.51"</f>
        <v>457.51</v>
      </c>
      <c r="AI799" s="15"/>
    </row>
    <row r="800" spans="1:35">
      <c r="A800" s="14">
        <v>798</v>
      </c>
      <c r="B800" s="14">
        <v>4000</v>
      </c>
      <c r="C800" s="14" t="s">
        <v>966</v>
      </c>
      <c r="D800" s="14" t="s">
        <v>497</v>
      </c>
      <c r="E800" s="15" t="str">
        <f>"524.51"</f>
        <v>524.51</v>
      </c>
      <c r="F800" s="15"/>
      <c r="G800" s="16" t="str">
        <f>"411.72"</f>
        <v>411.72</v>
      </c>
      <c r="H800" s="17">
        <f t="shared" si="12"/>
        <v>403.72</v>
      </c>
      <c r="I800" s="18" t="s">
        <v>43</v>
      </c>
      <c r="J800" s="15">
        <v>2</v>
      </c>
      <c r="K800" s="15">
        <v>2016</v>
      </c>
      <c r="L800" s="15" t="str">
        <f>"665.30"</f>
        <v>665.30</v>
      </c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 t="str">
        <f>"383.72"</f>
        <v>383.72</v>
      </c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</row>
    <row r="801" spans="1:35">
      <c r="A801" s="14">
        <v>799</v>
      </c>
      <c r="B801" s="14">
        <v>10850</v>
      </c>
      <c r="C801" s="14" t="s">
        <v>967</v>
      </c>
      <c r="D801" s="14" t="s">
        <v>51</v>
      </c>
      <c r="E801" s="15" t="str">
        <f>"412.71"</f>
        <v>412.71</v>
      </c>
      <c r="F801" s="15"/>
      <c r="G801" s="16" t="str">
        <f>"412.71"</f>
        <v>412.71</v>
      </c>
      <c r="H801" s="17">
        <f t="shared" si="12"/>
        <v>404.71</v>
      </c>
      <c r="I801" s="18"/>
      <c r="J801" s="15">
        <v>5</v>
      </c>
      <c r="K801" s="15">
        <v>2016</v>
      </c>
      <c r="L801" s="15"/>
      <c r="M801" s="15"/>
      <c r="N801" s="15"/>
      <c r="O801" s="15"/>
      <c r="P801" s="15"/>
      <c r="Q801" s="15"/>
      <c r="R801" s="15"/>
      <c r="S801" s="15" t="str">
        <f>"460.34"</f>
        <v>460.34</v>
      </c>
      <c r="T801" s="15"/>
      <c r="U801" s="15"/>
      <c r="V801" s="15"/>
      <c r="W801" s="15"/>
      <c r="X801" s="15" t="str">
        <f>"453.38"</f>
        <v>453.38</v>
      </c>
      <c r="Y801" s="15"/>
      <c r="Z801" s="15"/>
      <c r="AA801" s="15"/>
      <c r="AB801" s="15"/>
      <c r="AC801" s="15"/>
      <c r="AD801" s="15"/>
      <c r="AE801" s="15"/>
      <c r="AF801" s="15"/>
      <c r="AG801" s="15"/>
      <c r="AH801" s="15" t="str">
        <f>"372.03"</f>
        <v>372.03</v>
      </c>
      <c r="AI801" s="15"/>
    </row>
    <row r="802" spans="1:35">
      <c r="A802" s="14">
        <v>800</v>
      </c>
      <c r="B802" s="14">
        <v>10870</v>
      </c>
      <c r="C802" s="14" t="s">
        <v>968</v>
      </c>
      <c r="D802" s="14" t="s">
        <v>51</v>
      </c>
      <c r="E802" s="15" t="str">
        <f>"412.78"</f>
        <v>412.78</v>
      </c>
      <c r="F802" s="15"/>
      <c r="G802" s="16" t="str">
        <f>"412.78"</f>
        <v>412.78</v>
      </c>
      <c r="H802" s="17">
        <f t="shared" si="12"/>
        <v>404.78</v>
      </c>
      <c r="I802" s="18"/>
      <c r="J802" s="15">
        <v>5</v>
      </c>
      <c r="K802" s="15">
        <v>2016</v>
      </c>
      <c r="L802" s="15"/>
      <c r="M802" s="15"/>
      <c r="N802" s="15"/>
      <c r="O802" s="15"/>
      <c r="P802" s="15"/>
      <c r="Q802" s="15"/>
      <c r="R802" s="15"/>
      <c r="S802" s="15" t="str">
        <f>"496.24"</f>
        <v>496.24</v>
      </c>
      <c r="T802" s="15"/>
      <c r="U802" s="15"/>
      <c r="V802" s="15"/>
      <c r="W802" s="15"/>
      <c r="X802" s="15" t="str">
        <f>"702.60"</f>
        <v>702.60</v>
      </c>
      <c r="Y802" s="15"/>
      <c r="Z802" s="15"/>
      <c r="AA802" s="15"/>
      <c r="AB802" s="15"/>
      <c r="AC802" s="15"/>
      <c r="AD802" s="15"/>
      <c r="AE802" s="15"/>
      <c r="AF802" s="15"/>
      <c r="AG802" s="15" t="str">
        <f>"329.31"</f>
        <v>329.31</v>
      </c>
      <c r="AH802" s="15"/>
      <c r="AI802" s="15"/>
    </row>
    <row r="803" spans="1:35">
      <c r="A803" s="14">
        <v>801</v>
      </c>
      <c r="B803" s="14">
        <v>8458</v>
      </c>
      <c r="C803" s="14" t="s">
        <v>969</v>
      </c>
      <c r="D803" s="14" t="s">
        <v>51</v>
      </c>
      <c r="E803" s="15" t="str">
        <f>"343.57"</f>
        <v>343.57</v>
      </c>
      <c r="F803" s="15"/>
      <c r="G803" s="16" t="str">
        <f>"413.30"</f>
        <v>413.30</v>
      </c>
      <c r="H803" s="17">
        <f t="shared" si="12"/>
        <v>405.3</v>
      </c>
      <c r="I803" s="18"/>
      <c r="J803" s="15">
        <v>3</v>
      </c>
      <c r="K803" s="15">
        <v>2016</v>
      </c>
      <c r="L803" s="15" t="str">
        <f>"343.57"</f>
        <v>343.57</v>
      </c>
      <c r="M803" s="15"/>
      <c r="N803" s="15"/>
      <c r="O803" s="15"/>
      <c r="P803" s="15"/>
      <c r="Q803" s="15"/>
      <c r="R803" s="15"/>
      <c r="S803" s="15" t="str">
        <f>"419.77"</f>
        <v>419.77</v>
      </c>
      <c r="T803" s="15" t="str">
        <f>"483.66"</f>
        <v>483.66</v>
      </c>
      <c r="U803" s="15"/>
      <c r="V803" s="15"/>
      <c r="W803" s="15"/>
      <c r="X803" s="15" t="str">
        <f>"411.02"</f>
        <v>411.02</v>
      </c>
      <c r="Y803" s="15" t="str">
        <f>"415.58"</f>
        <v>415.58</v>
      </c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</row>
    <row r="804" spans="1:35">
      <c r="A804" s="14">
        <v>802</v>
      </c>
      <c r="B804" s="14">
        <v>10293</v>
      </c>
      <c r="C804" s="14" t="s">
        <v>970</v>
      </c>
      <c r="D804" s="14" t="s">
        <v>158</v>
      </c>
      <c r="E804" s="15" t="str">
        <f>"458.47"</f>
        <v>458.47</v>
      </c>
      <c r="F804" s="15"/>
      <c r="G804" s="16" t="str">
        <f>"414.49"</f>
        <v>414.49</v>
      </c>
      <c r="H804" s="17">
        <f t="shared" si="12"/>
        <v>406.49</v>
      </c>
      <c r="I804" s="18" t="s">
        <v>43</v>
      </c>
      <c r="J804" s="15">
        <v>2</v>
      </c>
      <c r="K804" s="15">
        <v>2016</v>
      </c>
      <c r="L804" s="15" t="str">
        <f>"530.44"</f>
        <v>530.44</v>
      </c>
      <c r="M804" s="15" t="str">
        <f>"386.49"</f>
        <v>386.49</v>
      </c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</row>
    <row r="805" spans="1:35">
      <c r="A805" s="14">
        <v>803</v>
      </c>
      <c r="B805" s="14">
        <v>10585</v>
      </c>
      <c r="C805" s="14" t="s">
        <v>971</v>
      </c>
      <c r="D805" s="14" t="s">
        <v>51</v>
      </c>
      <c r="E805" s="15" t="str">
        <f>"415.03"</f>
        <v>415.03</v>
      </c>
      <c r="F805" s="15"/>
      <c r="G805" s="16" t="str">
        <f>"415.03"</f>
        <v>415.03</v>
      </c>
      <c r="H805" s="17">
        <f t="shared" si="12"/>
        <v>407.03</v>
      </c>
      <c r="I805" s="18"/>
      <c r="J805" s="15">
        <v>3</v>
      </c>
      <c r="K805" s="15">
        <v>2016</v>
      </c>
      <c r="L805" s="15" t="str">
        <f>"612.52"</f>
        <v>612.52</v>
      </c>
      <c r="M805" s="15"/>
      <c r="N805" s="15"/>
      <c r="O805" s="15"/>
      <c r="P805" s="15"/>
      <c r="Q805" s="15"/>
      <c r="R805" s="15"/>
      <c r="S805" s="15" t="str">
        <f>"473.33"</f>
        <v>473.33</v>
      </c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 t="str">
        <f>"356.73"</f>
        <v>356.73</v>
      </c>
      <c r="AI805" s="15"/>
    </row>
    <row r="806" spans="1:35">
      <c r="A806" s="14">
        <v>804</v>
      </c>
      <c r="B806" s="14">
        <v>10066</v>
      </c>
      <c r="C806" s="14" t="s">
        <v>972</v>
      </c>
      <c r="D806" s="14" t="s">
        <v>51</v>
      </c>
      <c r="E806" s="15" t="str">
        <f>"275.20"</f>
        <v>275.20</v>
      </c>
      <c r="F806" s="15"/>
      <c r="G806" s="16" t="str">
        <f>"415.21"</f>
        <v>415.21</v>
      </c>
      <c r="H806" s="17">
        <f t="shared" si="12"/>
        <v>407.21</v>
      </c>
      <c r="I806" s="18"/>
      <c r="J806" s="15">
        <v>3</v>
      </c>
      <c r="K806" s="15">
        <v>2016</v>
      </c>
      <c r="L806" s="15" t="str">
        <f>"275.20"</f>
        <v>275.20</v>
      </c>
      <c r="M806" s="15"/>
      <c r="N806" s="15"/>
      <c r="O806" s="15"/>
      <c r="P806" s="15"/>
      <c r="Q806" s="15"/>
      <c r="R806" s="15"/>
      <c r="S806" s="15" t="str">
        <f>"430.82"</f>
        <v>430.82</v>
      </c>
      <c r="T806" s="15" t="str">
        <f>"399.60"</f>
        <v>399.60</v>
      </c>
      <c r="U806" s="15"/>
      <c r="V806" s="15"/>
      <c r="W806" s="15"/>
      <c r="X806" s="15" t="str">
        <f>"480.39"</f>
        <v>480.39</v>
      </c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</row>
    <row r="807" spans="1:35">
      <c r="A807" s="14">
        <v>805</v>
      </c>
      <c r="B807" s="14">
        <v>8457</v>
      </c>
      <c r="C807" s="14" t="s">
        <v>973</v>
      </c>
      <c r="D807" s="14" t="s">
        <v>51</v>
      </c>
      <c r="E807" s="15" t="str">
        <f>"381.89"</f>
        <v>381.89</v>
      </c>
      <c r="F807" s="15"/>
      <c r="G807" s="16" t="str">
        <f>"415.85"</f>
        <v>415.85</v>
      </c>
      <c r="H807" s="17">
        <f t="shared" si="12"/>
        <v>407.85</v>
      </c>
      <c r="I807" s="18"/>
      <c r="J807" s="15">
        <v>3</v>
      </c>
      <c r="K807" s="15">
        <v>2016</v>
      </c>
      <c r="L807" s="15" t="str">
        <f>"381.89"</f>
        <v>381.89</v>
      </c>
      <c r="M807" s="15"/>
      <c r="N807" s="15"/>
      <c r="O807" s="15"/>
      <c r="P807" s="15"/>
      <c r="Q807" s="15"/>
      <c r="R807" s="15"/>
      <c r="S807" s="15" t="str">
        <f>"438.80"</f>
        <v>438.80</v>
      </c>
      <c r="T807" s="15" t="str">
        <f>"540.00"</f>
        <v>540.00</v>
      </c>
      <c r="U807" s="15"/>
      <c r="V807" s="15"/>
      <c r="W807" s="15"/>
      <c r="X807" s="15" t="str">
        <f>"392.90"</f>
        <v>392.90</v>
      </c>
      <c r="Y807" s="15" t="str">
        <f>"532.97"</f>
        <v>532.97</v>
      </c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</row>
    <row r="808" spans="1:35">
      <c r="A808" s="14">
        <v>806</v>
      </c>
      <c r="B808" s="14">
        <v>6662</v>
      </c>
      <c r="C808" s="14" t="s">
        <v>974</v>
      </c>
      <c r="D808" s="14" t="s">
        <v>158</v>
      </c>
      <c r="E808" s="15" t="str">
        <f>"214.87"</f>
        <v>214.87</v>
      </c>
      <c r="F808" s="15"/>
      <c r="G808" s="16" t="str">
        <f>"416.20"</f>
        <v>416.20</v>
      </c>
      <c r="H808" s="17">
        <f t="shared" si="12"/>
        <v>408.2</v>
      </c>
      <c r="I808" s="18"/>
      <c r="J808" s="15">
        <v>3</v>
      </c>
      <c r="K808" s="15">
        <v>2016</v>
      </c>
      <c r="L808" s="15" t="str">
        <f>"214.87"</f>
        <v>214.87</v>
      </c>
      <c r="M808" s="15" t="str">
        <f>"546.66"</f>
        <v>546.66</v>
      </c>
      <c r="N808" s="15"/>
      <c r="O808" s="15" t="str">
        <f>"285.74"</f>
        <v>285.74</v>
      </c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</row>
    <row r="809" spans="1:35">
      <c r="A809" s="14">
        <v>807</v>
      </c>
      <c r="B809" s="14">
        <v>2391</v>
      </c>
      <c r="C809" s="14" t="s">
        <v>975</v>
      </c>
      <c r="D809" s="14" t="s">
        <v>51</v>
      </c>
      <c r="E809" s="15" t="str">
        <f>"409.34"</f>
        <v>409.34</v>
      </c>
      <c r="F809" s="15"/>
      <c r="G809" s="16" t="str">
        <f>"416.91"</f>
        <v>416.91</v>
      </c>
      <c r="H809" s="17">
        <f t="shared" si="12"/>
        <v>408.91</v>
      </c>
      <c r="I809" s="18"/>
      <c r="J809" s="15">
        <v>3</v>
      </c>
      <c r="K809" s="15">
        <v>2016</v>
      </c>
      <c r="L809" s="15" t="str">
        <f>"461.14"</f>
        <v>461.14</v>
      </c>
      <c r="M809" s="15"/>
      <c r="N809" s="15"/>
      <c r="O809" s="15"/>
      <c r="P809" s="15"/>
      <c r="Q809" s="15"/>
      <c r="R809" s="15"/>
      <c r="S809" s="15" t="str">
        <f>"476.29"</f>
        <v>476.29</v>
      </c>
      <c r="T809" s="15"/>
      <c r="U809" s="15"/>
      <c r="V809" s="15"/>
      <c r="W809" s="15"/>
      <c r="X809" s="15" t="str">
        <f>"357.53"</f>
        <v>357.53</v>
      </c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</row>
    <row r="810" spans="1:35">
      <c r="A810" s="14">
        <v>808</v>
      </c>
      <c r="B810" s="14">
        <v>10274</v>
      </c>
      <c r="C810" s="14" t="s">
        <v>976</v>
      </c>
      <c r="D810" s="14" t="s">
        <v>119</v>
      </c>
      <c r="E810" s="15" t="str">
        <f>"419.85"</f>
        <v>419.85</v>
      </c>
      <c r="F810" s="15"/>
      <c r="G810" s="16" t="str">
        <f>"418.27"</f>
        <v>418.27</v>
      </c>
      <c r="H810" s="17">
        <f t="shared" si="12"/>
        <v>410.27</v>
      </c>
      <c r="I810" s="18" t="s">
        <v>43</v>
      </c>
      <c r="J810" s="15">
        <v>2</v>
      </c>
      <c r="K810" s="15">
        <v>2016</v>
      </c>
      <c r="L810" s="15" t="str">
        <f>"449.42"</f>
        <v>449.42</v>
      </c>
      <c r="M810" s="15" t="str">
        <f>"390.27"</f>
        <v>390.27</v>
      </c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</row>
    <row r="811" spans="1:35">
      <c r="A811" s="14">
        <v>809</v>
      </c>
      <c r="B811" s="14">
        <v>9929</v>
      </c>
      <c r="C811" s="14" t="s">
        <v>977</v>
      </c>
      <c r="D811" s="14" t="s">
        <v>343</v>
      </c>
      <c r="E811" s="15" t="str">
        <f>"392.18"</f>
        <v>392.18</v>
      </c>
      <c r="F811" s="15"/>
      <c r="G811" s="16" t="str">
        <f>"420.18"</f>
        <v>420.18</v>
      </c>
      <c r="H811" s="17">
        <f t="shared" si="12"/>
        <v>412.18</v>
      </c>
      <c r="I811" s="18" t="s">
        <v>40</v>
      </c>
      <c r="J811" s="15">
        <v>1</v>
      </c>
      <c r="K811" s="15">
        <v>2016</v>
      </c>
      <c r="L811" s="15" t="str">
        <f>"392.18"</f>
        <v>392.18</v>
      </c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</row>
    <row r="812" spans="1:35">
      <c r="A812" s="14">
        <v>810</v>
      </c>
      <c r="B812" s="14">
        <v>11058</v>
      </c>
      <c r="C812" s="14" t="s">
        <v>978</v>
      </c>
      <c r="D812" s="14" t="s">
        <v>158</v>
      </c>
      <c r="E812" s="15" t="str">
        <f>"420.38"</f>
        <v>420.38</v>
      </c>
      <c r="F812" s="15"/>
      <c r="G812" s="16" t="str">
        <f>"420.38"</f>
        <v>420.38</v>
      </c>
      <c r="H812" s="17">
        <f t="shared" si="12"/>
        <v>412.38</v>
      </c>
      <c r="I812" s="18" t="s">
        <v>43</v>
      </c>
      <c r="J812" s="15">
        <v>4</v>
      </c>
      <c r="K812" s="15">
        <v>2016</v>
      </c>
      <c r="L812" s="15"/>
      <c r="M812" s="15" t="str">
        <f>"392.38"</f>
        <v>392.38</v>
      </c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</row>
    <row r="813" spans="1:35">
      <c r="A813" s="14">
        <v>811</v>
      </c>
      <c r="B813" s="14">
        <v>4046</v>
      </c>
      <c r="C813" s="14" t="s">
        <v>979</v>
      </c>
      <c r="D813" s="14" t="s">
        <v>403</v>
      </c>
      <c r="E813" s="15" t="str">
        <f>"422.38"</f>
        <v>422.38</v>
      </c>
      <c r="F813" s="15"/>
      <c r="G813" s="16" t="str">
        <f>"422.38"</f>
        <v>422.38</v>
      </c>
      <c r="H813" s="17">
        <f t="shared" si="12"/>
        <v>414.38</v>
      </c>
      <c r="I813" s="18" t="s">
        <v>43</v>
      </c>
      <c r="J813" s="15">
        <v>4</v>
      </c>
      <c r="K813" s="15">
        <v>2016</v>
      </c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 t="str">
        <f>"394.38"</f>
        <v>394.38</v>
      </c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</row>
    <row r="814" spans="1:35">
      <c r="A814" s="14">
        <v>812</v>
      </c>
      <c r="B814" s="14">
        <v>2266</v>
      </c>
      <c r="C814" s="14" t="s">
        <v>980</v>
      </c>
      <c r="D814" s="14" t="s">
        <v>51</v>
      </c>
      <c r="E814" s="15" t="str">
        <f>"396.02"</f>
        <v>396.02</v>
      </c>
      <c r="F814" s="15"/>
      <c r="G814" s="16" t="str">
        <f>"424.02"</f>
        <v>424.02</v>
      </c>
      <c r="H814" s="17">
        <f t="shared" si="12"/>
        <v>416.02</v>
      </c>
      <c r="I814" s="18" t="s">
        <v>40</v>
      </c>
      <c r="J814" s="15">
        <v>1</v>
      </c>
      <c r="K814" s="15">
        <v>2016</v>
      </c>
      <c r="L814" s="15" t="str">
        <f>"396.02"</f>
        <v>396.02</v>
      </c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</row>
    <row r="815" spans="1:35">
      <c r="A815" s="14">
        <v>813</v>
      </c>
      <c r="B815" s="14">
        <v>10440</v>
      </c>
      <c r="C815" s="14" t="s">
        <v>981</v>
      </c>
      <c r="D815" s="14" t="s">
        <v>58</v>
      </c>
      <c r="E815" s="15" t="str">
        <f>"424.06"</f>
        <v>424.06</v>
      </c>
      <c r="F815" s="15"/>
      <c r="G815" s="16" t="str">
        <f>"424.06"</f>
        <v>424.06</v>
      </c>
      <c r="H815" s="17">
        <f t="shared" si="12"/>
        <v>416.06</v>
      </c>
      <c r="I815" s="18"/>
      <c r="J815" s="15">
        <v>3</v>
      </c>
      <c r="K815" s="15">
        <v>2016</v>
      </c>
      <c r="L815" s="15" t="str">
        <f>"744.97"</f>
        <v>744.97</v>
      </c>
      <c r="M815" s="15"/>
      <c r="N815" s="15"/>
      <c r="O815" s="15"/>
      <c r="P815" s="15"/>
      <c r="Q815" s="15"/>
      <c r="R815" s="15"/>
      <c r="S815" s="15"/>
      <c r="T815" s="15"/>
      <c r="U815" s="15" t="str">
        <f>"833.60"</f>
        <v>833.60</v>
      </c>
      <c r="V815" s="15"/>
      <c r="W815" s="15"/>
      <c r="X815" s="15"/>
      <c r="Y815" s="15"/>
      <c r="Z815" s="15"/>
      <c r="AA815" s="15" t="str">
        <f>"467.08"</f>
        <v>467.08</v>
      </c>
      <c r="AB815" s="15"/>
      <c r="AC815" s="15" t="str">
        <f>"480.85"</f>
        <v>480.85</v>
      </c>
      <c r="AD815" s="15"/>
      <c r="AE815" s="15"/>
      <c r="AF815" s="15" t="str">
        <f>"381.04"</f>
        <v>381.04</v>
      </c>
      <c r="AG815" s="15"/>
      <c r="AH815" s="15"/>
      <c r="AI815" s="15"/>
    </row>
    <row r="816" spans="1:35">
      <c r="A816" s="14">
        <v>814</v>
      </c>
      <c r="B816" s="14">
        <v>11069</v>
      </c>
      <c r="C816" s="14" t="s">
        <v>982</v>
      </c>
      <c r="D816" s="14" t="s">
        <v>49</v>
      </c>
      <c r="E816" s="15" t="str">
        <f>"425.41"</f>
        <v>425.41</v>
      </c>
      <c r="F816" s="15"/>
      <c r="G816" s="16" t="str">
        <f>"425.41"</f>
        <v>425.41</v>
      </c>
      <c r="H816" s="17">
        <f t="shared" si="12"/>
        <v>417.41</v>
      </c>
      <c r="I816" s="18" t="s">
        <v>43</v>
      </c>
      <c r="J816" s="15">
        <v>4</v>
      </c>
      <c r="K816" s="15">
        <v>2016</v>
      </c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 t="str">
        <f>"397.41"</f>
        <v>397.41</v>
      </c>
      <c r="AG816" s="15"/>
      <c r="AH816" s="15"/>
      <c r="AI816" s="15"/>
    </row>
    <row r="817" spans="1:35">
      <c r="A817" s="14">
        <v>815</v>
      </c>
      <c r="B817" s="14">
        <v>10892</v>
      </c>
      <c r="C817" s="14" t="s">
        <v>983</v>
      </c>
      <c r="D817" s="14" t="s">
        <v>51</v>
      </c>
      <c r="E817" s="15" t="str">
        <f>"426.52"</f>
        <v>426.52</v>
      </c>
      <c r="F817" s="15"/>
      <c r="G817" s="16" t="str">
        <f>"426.52"</f>
        <v>426.52</v>
      </c>
      <c r="H817" s="17">
        <f t="shared" si="12"/>
        <v>418.52</v>
      </c>
      <c r="I817" s="18" t="s">
        <v>43</v>
      </c>
      <c r="J817" s="15">
        <v>4</v>
      </c>
      <c r="K817" s="15">
        <v>2016</v>
      </c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 t="str">
        <f>"398.52"</f>
        <v>398.52</v>
      </c>
      <c r="AI817" s="15"/>
    </row>
    <row r="818" spans="1:35">
      <c r="A818" s="14">
        <v>816</v>
      </c>
      <c r="B818" s="14">
        <v>10809</v>
      </c>
      <c r="C818" s="14" t="s">
        <v>984</v>
      </c>
      <c r="D818" s="14" t="s">
        <v>58</v>
      </c>
      <c r="E818" s="15" t="str">
        <f>"428.25"</f>
        <v>428.25</v>
      </c>
      <c r="F818" s="15"/>
      <c r="G818" s="16" t="str">
        <f>"428.25"</f>
        <v>428.25</v>
      </c>
      <c r="H818" s="17">
        <f t="shared" si="12"/>
        <v>420.25</v>
      </c>
      <c r="I818" s="18"/>
      <c r="J818" s="15">
        <v>5</v>
      </c>
      <c r="K818" s="15">
        <v>2016</v>
      </c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 t="str">
        <f>"415.72"</f>
        <v>415.72</v>
      </c>
      <c r="AB818" s="15"/>
      <c r="AC818" s="15" t="str">
        <f>"440.78"</f>
        <v>440.78</v>
      </c>
      <c r="AD818" s="15"/>
      <c r="AE818" s="15"/>
      <c r="AF818" s="15"/>
      <c r="AG818" s="15"/>
      <c r="AH818" s="15"/>
      <c r="AI818" s="15"/>
    </row>
    <row r="819" spans="1:35">
      <c r="A819" s="14">
        <v>817</v>
      </c>
      <c r="B819" s="14">
        <v>10021</v>
      </c>
      <c r="C819" s="14" t="s">
        <v>985</v>
      </c>
      <c r="D819" s="14" t="s">
        <v>51</v>
      </c>
      <c r="E819" s="15" t="str">
        <f>"347.59"</f>
        <v>347.59</v>
      </c>
      <c r="F819" s="15"/>
      <c r="G819" s="16" t="str">
        <f>"434.04"</f>
        <v>434.04</v>
      </c>
      <c r="H819" s="17">
        <f t="shared" si="12"/>
        <v>426.04</v>
      </c>
      <c r="I819" s="18" t="s">
        <v>43</v>
      </c>
      <c r="J819" s="15">
        <v>2</v>
      </c>
      <c r="K819" s="15">
        <v>2016</v>
      </c>
      <c r="L819" s="15" t="str">
        <f>"347.59"</f>
        <v>347.59</v>
      </c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 t="str">
        <f>"406.04"</f>
        <v>406.04</v>
      </c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</row>
    <row r="820" spans="1:35">
      <c r="A820" s="14">
        <v>818</v>
      </c>
      <c r="B820" s="14">
        <v>8151</v>
      </c>
      <c r="C820" s="14" t="s">
        <v>986</v>
      </c>
      <c r="D820" s="14" t="s">
        <v>987</v>
      </c>
      <c r="E820" s="15" t="str">
        <f>"407.70"</f>
        <v>407.70</v>
      </c>
      <c r="F820" s="15"/>
      <c r="G820" s="16" t="str">
        <f>"435.70"</f>
        <v>435.70</v>
      </c>
      <c r="H820" s="17">
        <f t="shared" si="12"/>
        <v>427.7</v>
      </c>
      <c r="I820" s="18" t="s">
        <v>40</v>
      </c>
      <c r="J820" s="15">
        <v>1</v>
      </c>
      <c r="K820" s="15">
        <v>2016</v>
      </c>
      <c r="L820" s="15" t="str">
        <f>"407.70"</f>
        <v>407.70</v>
      </c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</row>
    <row r="821" spans="1:35">
      <c r="A821" s="14">
        <v>819</v>
      </c>
      <c r="B821" s="14">
        <v>3249</v>
      </c>
      <c r="C821" s="14" t="s">
        <v>988</v>
      </c>
      <c r="D821" s="14" t="s">
        <v>497</v>
      </c>
      <c r="E821" s="15" t="str">
        <f>"420.98"</f>
        <v>420.98</v>
      </c>
      <c r="F821" s="15"/>
      <c r="G821" s="16" t="str">
        <f>"436.15"</f>
        <v>436.15</v>
      </c>
      <c r="H821" s="17">
        <f t="shared" si="12"/>
        <v>428.15</v>
      </c>
      <c r="I821" s="18" t="s">
        <v>43</v>
      </c>
      <c r="J821" s="15">
        <v>2</v>
      </c>
      <c r="K821" s="15">
        <v>2016</v>
      </c>
      <c r="L821" s="15" t="str">
        <f>"433.80"</f>
        <v>433.80</v>
      </c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 t="str">
        <f>"408.15"</f>
        <v>408.15</v>
      </c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</row>
    <row r="822" spans="1:35">
      <c r="A822" s="14">
        <v>820</v>
      </c>
      <c r="B822" s="14">
        <v>10905</v>
      </c>
      <c r="C822" s="14" t="s">
        <v>989</v>
      </c>
      <c r="D822" s="14" t="s">
        <v>51</v>
      </c>
      <c r="E822" s="15" t="str">
        <f>"436.47"</f>
        <v>436.47</v>
      </c>
      <c r="F822" s="15"/>
      <c r="G822" s="16" t="str">
        <f>"436.47"</f>
        <v>436.47</v>
      </c>
      <c r="H822" s="17">
        <f t="shared" si="12"/>
        <v>428.47</v>
      </c>
      <c r="I822" s="18"/>
      <c r="J822" s="15">
        <v>5</v>
      </c>
      <c r="K822" s="15">
        <v>2016</v>
      </c>
      <c r="L822" s="15"/>
      <c r="M822" s="15"/>
      <c r="N822" s="15"/>
      <c r="O822" s="15"/>
      <c r="P822" s="15"/>
      <c r="Q822" s="15"/>
      <c r="R822" s="15"/>
      <c r="S822" s="15" t="str">
        <f>"547.63"</f>
        <v>547.63</v>
      </c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 t="str">
        <f>"325.30"</f>
        <v>325.30</v>
      </c>
      <c r="AF822" s="15"/>
      <c r="AG822" s="15"/>
      <c r="AH822" s="15"/>
      <c r="AI822" s="15"/>
    </row>
    <row r="823" spans="1:35">
      <c r="A823" s="14">
        <v>821</v>
      </c>
      <c r="B823" s="14">
        <v>10723</v>
      </c>
      <c r="C823" s="14" t="s">
        <v>990</v>
      </c>
      <c r="D823" s="14" t="s">
        <v>58</v>
      </c>
      <c r="E823" s="15" t="str">
        <f>"438.55"</f>
        <v>438.55</v>
      </c>
      <c r="F823" s="15"/>
      <c r="G823" s="16" t="str">
        <f>"438.55"</f>
        <v>438.55</v>
      </c>
      <c r="H823" s="17">
        <f t="shared" si="12"/>
        <v>430.55</v>
      </c>
      <c r="I823" s="18"/>
      <c r="J823" s="15">
        <v>5</v>
      </c>
      <c r="K823" s="15">
        <v>2016</v>
      </c>
      <c r="L823" s="15"/>
      <c r="M823" s="15"/>
      <c r="N823" s="15" t="str">
        <f>"452.63"</f>
        <v>452.63</v>
      </c>
      <c r="O823" s="15"/>
      <c r="P823" s="15"/>
      <c r="Q823" s="15"/>
      <c r="R823" s="15"/>
      <c r="S823" s="15"/>
      <c r="T823" s="15"/>
      <c r="U823" s="15" t="str">
        <f>"986.70"</f>
        <v>986.70</v>
      </c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 t="str">
        <f>"424.46"</f>
        <v>424.46</v>
      </c>
      <c r="AG823" s="15"/>
      <c r="AH823" s="15"/>
      <c r="AI823" s="15"/>
    </row>
    <row r="824" spans="1:35">
      <c r="A824" s="14">
        <v>822</v>
      </c>
      <c r="B824" s="14">
        <v>10664</v>
      </c>
      <c r="C824" s="14" t="s">
        <v>991</v>
      </c>
      <c r="D824" s="14" t="s">
        <v>45</v>
      </c>
      <c r="E824" s="15" t="str">
        <f>"410.96"</f>
        <v>410.96</v>
      </c>
      <c r="F824" s="15"/>
      <c r="G824" s="16" t="str">
        <f>"438.96"</f>
        <v>438.96</v>
      </c>
      <c r="H824" s="17">
        <f t="shared" si="12"/>
        <v>430.96</v>
      </c>
      <c r="I824" s="18" t="s">
        <v>40</v>
      </c>
      <c r="J824" s="15">
        <v>1</v>
      </c>
      <c r="K824" s="15">
        <v>2016</v>
      </c>
      <c r="L824" s="15" t="str">
        <f>"410.96"</f>
        <v>410.96</v>
      </c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</row>
    <row r="825" spans="1:35">
      <c r="A825" s="14">
        <v>823</v>
      </c>
      <c r="B825" s="14">
        <v>2647</v>
      </c>
      <c r="C825" s="14" t="s">
        <v>992</v>
      </c>
      <c r="D825" s="14" t="s">
        <v>987</v>
      </c>
      <c r="E825" s="15" t="str">
        <f>"412.54"</f>
        <v>412.54</v>
      </c>
      <c r="F825" s="15"/>
      <c r="G825" s="16" t="str">
        <f>"440.54"</f>
        <v>440.54</v>
      </c>
      <c r="H825" s="17">
        <f t="shared" si="12"/>
        <v>432.54</v>
      </c>
      <c r="I825" s="18" t="s">
        <v>40</v>
      </c>
      <c r="J825" s="15">
        <v>1</v>
      </c>
      <c r="K825" s="15">
        <v>2016</v>
      </c>
      <c r="L825" s="15" t="str">
        <f>"412.54"</f>
        <v>412.54</v>
      </c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</row>
    <row r="826" spans="1:35">
      <c r="A826" s="14">
        <v>824</v>
      </c>
      <c r="B826" s="14">
        <v>2159</v>
      </c>
      <c r="C826" s="14" t="s">
        <v>993</v>
      </c>
      <c r="D826" s="14" t="s">
        <v>51</v>
      </c>
      <c r="E826" s="15" t="str">
        <f>"362.36"</f>
        <v>362.36</v>
      </c>
      <c r="F826" s="15"/>
      <c r="G826" s="16" t="str">
        <f>"440.81"</f>
        <v>440.81</v>
      </c>
      <c r="H826" s="17">
        <f t="shared" si="12"/>
        <v>432.81</v>
      </c>
      <c r="I826" s="18"/>
      <c r="J826" s="15">
        <v>3</v>
      </c>
      <c r="K826" s="15">
        <v>2016</v>
      </c>
      <c r="L826" s="15" t="str">
        <f>"362.36"</f>
        <v>362.36</v>
      </c>
      <c r="M826" s="15"/>
      <c r="N826" s="15"/>
      <c r="O826" s="15"/>
      <c r="P826" s="15"/>
      <c r="Q826" s="15"/>
      <c r="R826" s="15"/>
      <c r="S826" s="15" t="str">
        <f>"433.44"</f>
        <v>433.44</v>
      </c>
      <c r="T826" s="15"/>
      <c r="U826" s="15"/>
      <c r="V826" s="15"/>
      <c r="W826" s="15"/>
      <c r="X826" s="15" t="str">
        <f>"509.41"</f>
        <v>509.41</v>
      </c>
      <c r="Y826" s="15"/>
      <c r="Z826" s="15"/>
      <c r="AA826" s="15"/>
      <c r="AB826" s="15"/>
      <c r="AC826" s="15"/>
      <c r="AD826" s="15"/>
      <c r="AE826" s="15" t="str">
        <f>"448.18"</f>
        <v>448.18</v>
      </c>
      <c r="AF826" s="15"/>
      <c r="AG826" s="15"/>
      <c r="AH826" s="15"/>
      <c r="AI826" s="15"/>
    </row>
    <row r="827" spans="1:35">
      <c r="A827" s="14">
        <v>825</v>
      </c>
      <c r="B827" s="14">
        <v>10191</v>
      </c>
      <c r="C827" s="14" t="s">
        <v>994</v>
      </c>
      <c r="D827" s="14" t="s">
        <v>51</v>
      </c>
      <c r="E827" s="15" t="str">
        <f>"441.00"</f>
        <v>441.00</v>
      </c>
      <c r="F827" s="15"/>
      <c r="G827" s="16" t="str">
        <f>"441.00"</f>
        <v>441.00</v>
      </c>
      <c r="H827" s="17">
        <f t="shared" si="12"/>
        <v>433</v>
      </c>
      <c r="I827" s="18"/>
      <c r="J827" s="15">
        <v>3</v>
      </c>
      <c r="K827" s="15">
        <v>2016</v>
      </c>
      <c r="L827" s="15" t="str">
        <f>"534.06"</f>
        <v>534.06</v>
      </c>
      <c r="M827" s="15"/>
      <c r="N827" s="15"/>
      <c r="O827" s="15"/>
      <c r="P827" s="15"/>
      <c r="Q827" s="15"/>
      <c r="R827" s="15"/>
      <c r="S827" s="15" t="str">
        <f>"465.69"</f>
        <v>465.69</v>
      </c>
      <c r="T827" s="15"/>
      <c r="U827" s="15"/>
      <c r="V827" s="15"/>
      <c r="W827" s="15"/>
      <c r="X827" s="15" t="str">
        <f>"416.31"</f>
        <v>416.31</v>
      </c>
      <c r="Y827" s="15" t="str">
        <f>"699.10"</f>
        <v>699.10</v>
      </c>
      <c r="Z827" s="15"/>
      <c r="AA827" s="15"/>
      <c r="AB827" s="15"/>
      <c r="AC827" s="15"/>
      <c r="AD827" s="15"/>
      <c r="AE827" s="15"/>
      <c r="AF827" s="15"/>
      <c r="AG827" s="15"/>
      <c r="AH827" s="15" t="str">
        <f>"490.48"</f>
        <v>490.48</v>
      </c>
      <c r="AI827" s="15"/>
    </row>
    <row r="828" spans="1:35">
      <c r="A828" s="14">
        <v>826</v>
      </c>
      <c r="B828" s="14">
        <v>10335</v>
      </c>
      <c r="C828" s="14" t="s">
        <v>995</v>
      </c>
      <c r="D828" s="14" t="s">
        <v>146</v>
      </c>
      <c r="E828" s="15" t="str">
        <f>"413.54"</f>
        <v>413.54</v>
      </c>
      <c r="F828" s="15"/>
      <c r="G828" s="16" t="str">
        <f>"441.54"</f>
        <v>441.54</v>
      </c>
      <c r="H828" s="17">
        <f t="shared" si="12"/>
        <v>433.54</v>
      </c>
      <c r="I828" s="18" t="s">
        <v>40</v>
      </c>
      <c r="J828" s="15">
        <v>1</v>
      </c>
      <c r="K828" s="15">
        <v>2016</v>
      </c>
      <c r="L828" s="15" t="str">
        <f>"413.54"</f>
        <v>413.54</v>
      </c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</row>
    <row r="829" spans="1:35">
      <c r="A829" s="14">
        <v>827</v>
      </c>
      <c r="B829" s="14">
        <v>9982</v>
      </c>
      <c r="C829" s="14" t="s">
        <v>996</v>
      </c>
      <c r="D829" s="14" t="s">
        <v>119</v>
      </c>
      <c r="E829" s="15" t="str">
        <f>"413.61"</f>
        <v>413.61</v>
      </c>
      <c r="F829" s="15"/>
      <c r="G829" s="16" t="str">
        <f>"441.61"</f>
        <v>441.61</v>
      </c>
      <c r="H829" s="17">
        <f t="shared" si="12"/>
        <v>433.61</v>
      </c>
      <c r="I829" s="18" t="s">
        <v>40</v>
      </c>
      <c r="J829" s="15">
        <v>1</v>
      </c>
      <c r="K829" s="15">
        <v>2016</v>
      </c>
      <c r="L829" s="15" t="str">
        <f>"413.61"</f>
        <v>413.61</v>
      </c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</row>
    <row r="830" spans="1:35">
      <c r="A830" s="14">
        <v>828</v>
      </c>
      <c r="B830" s="14">
        <v>3005</v>
      </c>
      <c r="C830" s="14" t="s">
        <v>997</v>
      </c>
      <c r="D830" s="14" t="s">
        <v>139</v>
      </c>
      <c r="E830" s="15" t="str">
        <f>"415.25"</f>
        <v>415.25</v>
      </c>
      <c r="F830" s="15"/>
      <c r="G830" s="16" t="str">
        <f>"443.25"</f>
        <v>443.25</v>
      </c>
      <c r="H830" s="17">
        <f t="shared" si="12"/>
        <v>435.25</v>
      </c>
      <c r="I830" s="18" t="s">
        <v>40</v>
      </c>
      <c r="J830" s="15">
        <v>1</v>
      </c>
      <c r="K830" s="15">
        <v>2016</v>
      </c>
      <c r="L830" s="15" t="str">
        <f>"415.25"</f>
        <v>415.25</v>
      </c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</row>
    <row r="831" spans="1:35">
      <c r="A831" s="14">
        <v>829</v>
      </c>
      <c r="B831" s="14">
        <v>2166</v>
      </c>
      <c r="C831" s="14" t="s">
        <v>998</v>
      </c>
      <c r="D831" s="14" t="s">
        <v>51</v>
      </c>
      <c r="E831" s="15" t="str">
        <f>"360.58"</f>
        <v>360.58</v>
      </c>
      <c r="F831" s="15"/>
      <c r="G831" s="16" t="str">
        <f>"443.57"</f>
        <v>443.57</v>
      </c>
      <c r="H831" s="17">
        <f t="shared" si="12"/>
        <v>435.57</v>
      </c>
      <c r="I831" s="18" t="s">
        <v>43</v>
      </c>
      <c r="J831" s="15">
        <v>2</v>
      </c>
      <c r="K831" s="15">
        <v>2016</v>
      </c>
      <c r="L831" s="15" t="str">
        <f>"360.58"</f>
        <v>360.58</v>
      </c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 t="str">
        <f>"415.57"</f>
        <v>415.57</v>
      </c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</row>
    <row r="832" spans="1:35">
      <c r="A832" s="14">
        <v>830</v>
      </c>
      <c r="B832" s="14">
        <v>10356</v>
      </c>
      <c r="C832" s="14" t="s">
        <v>999</v>
      </c>
      <c r="D832" s="14" t="s">
        <v>289</v>
      </c>
      <c r="E832" s="15" t="str">
        <f>"415.96"</f>
        <v>415.96</v>
      </c>
      <c r="F832" s="15"/>
      <c r="G832" s="16" t="str">
        <f>"443.96"</f>
        <v>443.96</v>
      </c>
      <c r="H832" s="17">
        <f t="shared" si="12"/>
        <v>435.96</v>
      </c>
      <c r="I832" s="18" t="s">
        <v>40</v>
      </c>
      <c r="J832" s="15">
        <v>1</v>
      </c>
      <c r="K832" s="15">
        <v>2016</v>
      </c>
      <c r="L832" s="15" t="str">
        <f>"415.96"</f>
        <v>415.96</v>
      </c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</row>
    <row r="833" spans="1:35">
      <c r="A833" s="14">
        <v>831</v>
      </c>
      <c r="B833" s="14">
        <v>10044</v>
      </c>
      <c r="C833" s="14" t="s">
        <v>1000</v>
      </c>
      <c r="D833" s="14" t="s">
        <v>51</v>
      </c>
      <c r="E833" s="15" t="str">
        <f>"444.84"</f>
        <v>444.84</v>
      </c>
      <c r="F833" s="15"/>
      <c r="G833" s="16" t="str">
        <f>"444.84"</f>
        <v>444.84</v>
      </c>
      <c r="H833" s="17">
        <f t="shared" si="12"/>
        <v>436.84</v>
      </c>
      <c r="I833" s="18"/>
      <c r="J833" s="15">
        <v>3</v>
      </c>
      <c r="K833" s="15">
        <v>2016</v>
      </c>
      <c r="L833" s="15" t="str">
        <f>"530.51"</f>
        <v>530.51</v>
      </c>
      <c r="M833" s="15"/>
      <c r="N833" s="15"/>
      <c r="O833" s="15"/>
      <c r="P833" s="15"/>
      <c r="Q833" s="15"/>
      <c r="R833" s="15"/>
      <c r="S833" s="15" t="str">
        <f>"431.96"</f>
        <v>431.96</v>
      </c>
      <c r="T833" s="15" t="str">
        <f>"457.72"</f>
        <v>457.72</v>
      </c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</row>
    <row r="834" spans="1:35">
      <c r="A834" s="14">
        <v>832</v>
      </c>
      <c r="B834" s="14">
        <v>10228</v>
      </c>
      <c r="C834" s="14" t="s">
        <v>1001</v>
      </c>
      <c r="D834" s="14" t="s">
        <v>158</v>
      </c>
      <c r="E834" s="15" t="str">
        <f>"483.55"</f>
        <v>483.55</v>
      </c>
      <c r="F834" s="15"/>
      <c r="G834" s="16" t="str">
        <f>"445.53"</f>
        <v>445.53</v>
      </c>
      <c r="H834" s="17">
        <f t="shared" si="12"/>
        <v>437.53</v>
      </c>
      <c r="I834" s="18" t="s">
        <v>43</v>
      </c>
      <c r="J834" s="15">
        <v>2</v>
      </c>
      <c r="K834" s="15">
        <v>2016</v>
      </c>
      <c r="L834" s="15" t="str">
        <f>"549.57"</f>
        <v>549.57</v>
      </c>
      <c r="M834" s="15" t="str">
        <f>"417.53"</f>
        <v>417.53</v>
      </c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</row>
    <row r="835" spans="1:35">
      <c r="A835" s="14">
        <v>833</v>
      </c>
      <c r="B835" s="14">
        <v>4306</v>
      </c>
      <c r="C835" s="14" t="s">
        <v>1002</v>
      </c>
      <c r="D835" s="14" t="s">
        <v>419</v>
      </c>
      <c r="E835" s="15" t="str">
        <f>"418.08"</f>
        <v>418.08</v>
      </c>
      <c r="F835" s="15"/>
      <c r="G835" s="16" t="str">
        <f>"446.08"</f>
        <v>446.08</v>
      </c>
      <c r="H835" s="17">
        <f t="shared" ref="H835:H898" si="13">G835-8</f>
        <v>438.08</v>
      </c>
      <c r="I835" s="18" t="s">
        <v>40</v>
      </c>
      <c r="J835" s="15">
        <v>1</v>
      </c>
      <c r="K835" s="15">
        <v>2016</v>
      </c>
      <c r="L835" s="15" t="str">
        <f>"418.08"</f>
        <v>418.08</v>
      </c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</row>
    <row r="836" spans="1:35">
      <c r="A836" s="14">
        <v>834</v>
      </c>
      <c r="B836" s="14">
        <v>9979</v>
      </c>
      <c r="C836" s="14" t="s">
        <v>1003</v>
      </c>
      <c r="D836" s="14" t="s">
        <v>119</v>
      </c>
      <c r="E836" s="15" t="str">
        <f>"418.49"</f>
        <v>418.49</v>
      </c>
      <c r="F836" s="15"/>
      <c r="G836" s="16" t="str">
        <f>"446.49"</f>
        <v>446.49</v>
      </c>
      <c r="H836" s="17">
        <f t="shared" si="13"/>
        <v>438.49</v>
      </c>
      <c r="I836" s="18" t="s">
        <v>40</v>
      </c>
      <c r="J836" s="15">
        <v>1</v>
      </c>
      <c r="K836" s="15">
        <v>2016</v>
      </c>
      <c r="L836" s="15" t="str">
        <f>"418.49"</f>
        <v>418.49</v>
      </c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</row>
    <row r="837" spans="1:35">
      <c r="A837" s="14">
        <v>835</v>
      </c>
      <c r="B837" s="14">
        <v>10680</v>
      </c>
      <c r="C837" s="14" t="s">
        <v>1004</v>
      </c>
      <c r="D837" s="14" t="s">
        <v>58</v>
      </c>
      <c r="E837" s="15" t="str">
        <f>"307.21"</f>
        <v>307.21</v>
      </c>
      <c r="F837" s="15"/>
      <c r="G837" s="16" t="str">
        <f>"446.58"</f>
        <v>446.58</v>
      </c>
      <c r="H837" s="17">
        <f t="shared" si="13"/>
        <v>438.58</v>
      </c>
      <c r="I837" s="18"/>
      <c r="J837" s="15">
        <v>3</v>
      </c>
      <c r="K837" s="15">
        <v>2016</v>
      </c>
      <c r="L837" s="15" t="str">
        <f>"307.21"</f>
        <v>307.21</v>
      </c>
      <c r="M837" s="15"/>
      <c r="N837" s="15" t="str">
        <f>"496.58"</f>
        <v>496.58</v>
      </c>
      <c r="O837" s="15"/>
      <c r="P837" s="15" t="str">
        <f>"396.57"</f>
        <v>396.57</v>
      </c>
      <c r="Q837" s="15"/>
      <c r="R837" s="15"/>
      <c r="S837" s="15"/>
      <c r="T837" s="15"/>
      <c r="U837" s="15" t="str">
        <f>"676.12"</f>
        <v>676.12</v>
      </c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</row>
    <row r="838" spans="1:35">
      <c r="A838" s="14">
        <v>836</v>
      </c>
      <c r="B838" s="14">
        <v>10858</v>
      </c>
      <c r="C838" s="14" t="s">
        <v>1005</v>
      </c>
      <c r="D838" s="14" t="s">
        <v>51</v>
      </c>
      <c r="E838" s="15" t="str">
        <f>"447.50"</f>
        <v>447.50</v>
      </c>
      <c r="F838" s="15"/>
      <c r="G838" s="16" t="str">
        <f>"447.50"</f>
        <v>447.50</v>
      </c>
      <c r="H838" s="17">
        <f t="shared" si="13"/>
        <v>439.5</v>
      </c>
      <c r="I838" s="18" t="s">
        <v>43</v>
      </c>
      <c r="J838" s="15">
        <v>4</v>
      </c>
      <c r="K838" s="15">
        <v>2016</v>
      </c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 t="str">
        <f>"419.50"</f>
        <v>419.50</v>
      </c>
      <c r="AI838" s="15"/>
    </row>
    <row r="839" spans="1:35">
      <c r="A839" s="14">
        <v>837</v>
      </c>
      <c r="B839" s="14">
        <v>1489</v>
      </c>
      <c r="C839" s="14" t="s">
        <v>1006</v>
      </c>
      <c r="D839" s="14" t="s">
        <v>403</v>
      </c>
      <c r="E839" s="15" t="str">
        <f>"420.77"</f>
        <v>420.77</v>
      </c>
      <c r="F839" s="15"/>
      <c r="G839" s="16" t="str">
        <f>"448.77"</f>
        <v>448.77</v>
      </c>
      <c r="H839" s="17">
        <f t="shared" si="13"/>
        <v>440.77</v>
      </c>
      <c r="I839" s="18" t="s">
        <v>40</v>
      </c>
      <c r="J839" s="15">
        <v>1</v>
      </c>
      <c r="K839" s="15">
        <v>2016</v>
      </c>
      <c r="L839" s="15" t="str">
        <f>"420.77"</f>
        <v>420.77</v>
      </c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</row>
    <row r="840" spans="1:35">
      <c r="A840" s="14">
        <v>838</v>
      </c>
      <c r="B840" s="14">
        <v>10230</v>
      </c>
      <c r="C840" s="14" t="s">
        <v>1007</v>
      </c>
      <c r="D840" s="14" t="s">
        <v>158</v>
      </c>
      <c r="E840" s="15" t="str">
        <f>"437.30"</f>
        <v>437.30</v>
      </c>
      <c r="F840" s="15"/>
      <c r="G840" s="16" t="str">
        <f>"449.60"</f>
        <v>449.60</v>
      </c>
      <c r="H840" s="17">
        <f t="shared" si="13"/>
        <v>441.6</v>
      </c>
      <c r="I840" s="18" t="s">
        <v>43</v>
      </c>
      <c r="J840" s="15">
        <v>2</v>
      </c>
      <c r="K840" s="15">
        <v>2016</v>
      </c>
      <c r="L840" s="15" t="str">
        <f>"453.00"</f>
        <v>453.00</v>
      </c>
      <c r="M840" s="15" t="str">
        <f>"421.60"</f>
        <v>421.60</v>
      </c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</row>
    <row r="841" spans="1:35">
      <c r="A841" s="14">
        <v>839</v>
      </c>
      <c r="B841" s="14">
        <v>10535</v>
      </c>
      <c r="C841" s="14" t="s">
        <v>1008</v>
      </c>
      <c r="D841" s="14" t="s">
        <v>51</v>
      </c>
      <c r="E841" s="15" t="str">
        <f>"451.09"</f>
        <v>451.09</v>
      </c>
      <c r="F841" s="15"/>
      <c r="G841" s="16" t="str">
        <f>"451.09"</f>
        <v>451.09</v>
      </c>
      <c r="H841" s="17">
        <f t="shared" si="13"/>
        <v>443.09</v>
      </c>
      <c r="I841" s="18" t="s">
        <v>43</v>
      </c>
      <c r="J841" s="15">
        <v>4</v>
      </c>
      <c r="K841" s="15">
        <v>2016</v>
      </c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 t="str">
        <f>"423.09"</f>
        <v>423.09</v>
      </c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</row>
    <row r="842" spans="1:35">
      <c r="A842" s="14">
        <v>840</v>
      </c>
      <c r="B842" s="14">
        <v>10166</v>
      </c>
      <c r="C842" s="14" t="s">
        <v>1009</v>
      </c>
      <c r="D842" s="14" t="s">
        <v>58</v>
      </c>
      <c r="E842" s="15" t="str">
        <f>"452.22"</f>
        <v>452.22</v>
      </c>
      <c r="F842" s="15"/>
      <c r="G842" s="16" t="str">
        <f>"452.22"</f>
        <v>452.22</v>
      </c>
      <c r="H842" s="17">
        <f t="shared" si="13"/>
        <v>444.22</v>
      </c>
      <c r="I842" s="18"/>
      <c r="J842" s="15">
        <v>3</v>
      </c>
      <c r="K842" s="15">
        <v>2016</v>
      </c>
      <c r="L842" s="15" t="str">
        <f>"536.98"</f>
        <v>536.98</v>
      </c>
      <c r="M842" s="15"/>
      <c r="N842" s="15"/>
      <c r="O842" s="15"/>
      <c r="P842" s="15" t="str">
        <f>"466.16"</f>
        <v>466.16</v>
      </c>
      <c r="Q842" s="15"/>
      <c r="R842" s="15"/>
      <c r="S842" s="15"/>
      <c r="T842" s="15"/>
      <c r="U842" s="15" t="str">
        <f>"735.04"</f>
        <v>735.04</v>
      </c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 t="str">
        <f>"438.27"</f>
        <v>438.27</v>
      </c>
      <c r="AI842" s="15"/>
    </row>
    <row r="843" spans="1:35">
      <c r="A843" s="14">
        <v>841</v>
      </c>
      <c r="B843" s="14">
        <v>10747</v>
      </c>
      <c r="C843" s="14" t="s">
        <v>1010</v>
      </c>
      <c r="D843" s="14" t="s">
        <v>58</v>
      </c>
      <c r="E843" s="15" t="str">
        <f>"452.95"</f>
        <v>452.95</v>
      </c>
      <c r="F843" s="15"/>
      <c r="G843" s="16" t="str">
        <f>"452.95"</f>
        <v>452.95</v>
      </c>
      <c r="H843" s="17">
        <f t="shared" si="13"/>
        <v>444.95</v>
      </c>
      <c r="I843" s="18"/>
      <c r="J843" s="15">
        <v>5</v>
      </c>
      <c r="K843" s="15">
        <v>2016</v>
      </c>
      <c r="L843" s="15"/>
      <c r="M843" s="15"/>
      <c r="N843" s="15"/>
      <c r="O843" s="15"/>
      <c r="P843" s="15" t="str">
        <f>"531.99"</f>
        <v>531.99</v>
      </c>
      <c r="Q843" s="15"/>
      <c r="R843" s="15"/>
      <c r="S843" s="15"/>
      <c r="T843" s="15"/>
      <c r="U843" s="15" t="str">
        <f>"811.04"</f>
        <v>811.04</v>
      </c>
      <c r="V843" s="15"/>
      <c r="W843" s="15"/>
      <c r="X843" s="15"/>
      <c r="Y843" s="15"/>
      <c r="Z843" s="15" t="str">
        <f>"523.22"</f>
        <v>523.22</v>
      </c>
      <c r="AA843" s="15"/>
      <c r="AB843" s="15"/>
      <c r="AC843" s="15"/>
      <c r="AD843" s="15"/>
      <c r="AE843" s="15"/>
      <c r="AF843" s="15" t="str">
        <f>"382.68"</f>
        <v>382.68</v>
      </c>
      <c r="AG843" s="15"/>
      <c r="AH843" s="15"/>
      <c r="AI843" s="15"/>
    </row>
    <row r="844" spans="1:35">
      <c r="A844" s="14">
        <v>842</v>
      </c>
      <c r="B844" s="14">
        <v>9992</v>
      </c>
      <c r="C844" s="14" t="s">
        <v>1011</v>
      </c>
      <c r="D844" s="14" t="s">
        <v>146</v>
      </c>
      <c r="E844" s="15" t="str">
        <f>"425.87"</f>
        <v>425.87</v>
      </c>
      <c r="F844" s="15"/>
      <c r="G844" s="16" t="str">
        <f>"453.87"</f>
        <v>453.87</v>
      </c>
      <c r="H844" s="17">
        <f t="shared" si="13"/>
        <v>445.87</v>
      </c>
      <c r="I844" s="18" t="s">
        <v>40</v>
      </c>
      <c r="J844" s="15">
        <v>1</v>
      </c>
      <c r="K844" s="15">
        <v>2016</v>
      </c>
      <c r="L844" s="15" t="str">
        <f>"425.87"</f>
        <v>425.87</v>
      </c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</row>
    <row r="845" spans="1:35">
      <c r="A845" s="14">
        <v>843</v>
      </c>
      <c r="B845" s="14">
        <v>10899</v>
      </c>
      <c r="C845" s="14" t="s">
        <v>1012</v>
      </c>
      <c r="D845" s="14" t="s">
        <v>51</v>
      </c>
      <c r="E845" s="15" t="str">
        <f>"454.21"</f>
        <v>454.21</v>
      </c>
      <c r="F845" s="15"/>
      <c r="G845" s="16" t="str">
        <f>"454.21"</f>
        <v>454.21</v>
      </c>
      <c r="H845" s="17">
        <f t="shared" si="13"/>
        <v>446.21</v>
      </c>
      <c r="I845" s="18"/>
      <c r="J845" s="15">
        <v>5</v>
      </c>
      <c r="K845" s="15">
        <v>2016</v>
      </c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 t="str">
        <f>"346.96"</f>
        <v>346.96</v>
      </c>
      <c r="AH845" s="15" t="str">
        <f>"561.45"</f>
        <v>561.45</v>
      </c>
      <c r="AI845" s="15"/>
    </row>
    <row r="846" spans="1:35">
      <c r="A846" s="14">
        <v>844</v>
      </c>
      <c r="B846" s="14">
        <v>10778</v>
      </c>
      <c r="C846" s="14" t="s">
        <v>1013</v>
      </c>
      <c r="D846" s="14" t="s">
        <v>58</v>
      </c>
      <c r="E846" s="15" t="str">
        <f>"456.06"</f>
        <v>456.06</v>
      </c>
      <c r="F846" s="15"/>
      <c r="G846" s="16" t="str">
        <f>"456.06"</f>
        <v>456.06</v>
      </c>
      <c r="H846" s="17">
        <f t="shared" si="13"/>
        <v>448.06</v>
      </c>
      <c r="I846" s="18"/>
      <c r="J846" s="15">
        <v>5</v>
      </c>
      <c r="K846" s="15">
        <v>2016</v>
      </c>
      <c r="L846" s="15"/>
      <c r="M846" s="15"/>
      <c r="N846" s="15"/>
      <c r="O846" s="15"/>
      <c r="P846" s="15"/>
      <c r="Q846" s="15"/>
      <c r="R846" s="15"/>
      <c r="S846" s="15"/>
      <c r="T846" s="15"/>
      <c r="U846" s="15" t="str">
        <f>"1145.28"</f>
        <v>1145.28</v>
      </c>
      <c r="V846" s="15"/>
      <c r="W846" s="15"/>
      <c r="X846" s="15"/>
      <c r="Y846" s="15"/>
      <c r="Z846" s="15"/>
      <c r="AA846" s="15" t="str">
        <f>"515.55"</f>
        <v>515.55</v>
      </c>
      <c r="AB846" s="15"/>
      <c r="AC846" s="15" t="str">
        <f>"532.55"</f>
        <v>532.55</v>
      </c>
      <c r="AD846" s="15"/>
      <c r="AE846" s="15"/>
      <c r="AF846" s="15" t="str">
        <f>"396.56"</f>
        <v>396.56</v>
      </c>
      <c r="AG846" s="15"/>
      <c r="AH846" s="15"/>
      <c r="AI846" s="15"/>
    </row>
    <row r="847" spans="1:35">
      <c r="A847" s="14">
        <v>845</v>
      </c>
      <c r="B847" s="14">
        <v>7623</v>
      </c>
      <c r="C847" s="14" t="s">
        <v>1014</v>
      </c>
      <c r="D847" s="14" t="s">
        <v>1015</v>
      </c>
      <c r="E847" s="15" t="str">
        <f>"419.62"</f>
        <v>419.62</v>
      </c>
      <c r="F847" s="15"/>
      <c r="G847" s="16" t="str">
        <f>"456.74"</f>
        <v>456.74</v>
      </c>
      <c r="H847" s="17">
        <f t="shared" si="13"/>
        <v>448.74</v>
      </c>
      <c r="I847" s="18" t="s">
        <v>43</v>
      </c>
      <c r="J847" s="15">
        <v>2</v>
      </c>
      <c r="K847" s="15">
        <v>2016</v>
      </c>
      <c r="L847" s="15" t="str">
        <f>"419.62"</f>
        <v>419.62</v>
      </c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 t="str">
        <f>"428.74"</f>
        <v>428.74</v>
      </c>
      <c r="AA847" s="15"/>
      <c r="AB847" s="15"/>
      <c r="AC847" s="15"/>
      <c r="AD847" s="15"/>
      <c r="AE847" s="15"/>
      <c r="AF847" s="15"/>
      <c r="AG847" s="15"/>
      <c r="AH847" s="15"/>
      <c r="AI847" s="15"/>
    </row>
    <row r="848" spans="1:35">
      <c r="A848" s="14">
        <v>846</v>
      </c>
      <c r="B848" s="14">
        <v>10169</v>
      </c>
      <c r="C848" s="14" t="s">
        <v>1016</v>
      </c>
      <c r="D848" s="14" t="s">
        <v>58</v>
      </c>
      <c r="E848" s="15" t="str">
        <f>"413.35"</f>
        <v>413.35</v>
      </c>
      <c r="F848" s="15"/>
      <c r="G848" s="16" t="str">
        <f>"460.72"</f>
        <v>460.72</v>
      </c>
      <c r="H848" s="17">
        <f t="shared" si="13"/>
        <v>452.72</v>
      </c>
      <c r="I848" s="18" t="s">
        <v>43</v>
      </c>
      <c r="J848" s="15">
        <v>2</v>
      </c>
      <c r="K848" s="15">
        <v>2016</v>
      </c>
      <c r="L848" s="15" t="str">
        <f>"413.35"</f>
        <v>413.35</v>
      </c>
      <c r="M848" s="15"/>
      <c r="N848" s="15"/>
      <c r="O848" s="15"/>
      <c r="P848" s="15"/>
      <c r="Q848" s="15"/>
      <c r="R848" s="15"/>
      <c r="S848" s="15"/>
      <c r="T848" s="15"/>
      <c r="U848" s="15" t="str">
        <f>"432.72"</f>
        <v>432.72</v>
      </c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</row>
    <row r="849" spans="1:35">
      <c r="A849" s="14">
        <v>847</v>
      </c>
      <c r="B849" s="14">
        <v>8354</v>
      </c>
      <c r="C849" s="14" t="s">
        <v>1017</v>
      </c>
      <c r="D849" s="14" t="s">
        <v>146</v>
      </c>
      <c r="E849" s="15" t="str">
        <f>"435.06"</f>
        <v>435.06</v>
      </c>
      <c r="F849" s="15"/>
      <c r="G849" s="16" t="str">
        <f>"463.06"</f>
        <v>463.06</v>
      </c>
      <c r="H849" s="17">
        <f t="shared" si="13"/>
        <v>455.06</v>
      </c>
      <c r="I849" s="18" t="s">
        <v>40</v>
      </c>
      <c r="J849" s="15">
        <v>1</v>
      </c>
      <c r="K849" s="15">
        <v>2016</v>
      </c>
      <c r="L849" s="15" t="str">
        <f>"435.06"</f>
        <v>435.06</v>
      </c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</row>
    <row r="850" spans="1:35">
      <c r="A850" s="14">
        <v>848</v>
      </c>
      <c r="B850" s="14">
        <v>4892</v>
      </c>
      <c r="C850" s="14" t="s">
        <v>1018</v>
      </c>
      <c r="D850" s="14" t="s">
        <v>108</v>
      </c>
      <c r="E850" s="15" t="str">
        <f>"345.10"</f>
        <v>345.10</v>
      </c>
      <c r="F850" s="15"/>
      <c r="G850" s="16" t="str">
        <f>"464.24"</f>
        <v>464.24</v>
      </c>
      <c r="H850" s="17">
        <f t="shared" si="13"/>
        <v>456.24</v>
      </c>
      <c r="I850" s="18" t="s">
        <v>43</v>
      </c>
      <c r="J850" s="15">
        <v>2</v>
      </c>
      <c r="K850" s="15">
        <v>2016</v>
      </c>
      <c r="L850" s="15" t="str">
        <f>"345.10"</f>
        <v>345.10</v>
      </c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 t="str">
        <f>"436.24"</f>
        <v>436.24</v>
      </c>
      <c r="AF850" s="15"/>
      <c r="AG850" s="15"/>
      <c r="AH850" s="15"/>
      <c r="AI850" s="15"/>
    </row>
    <row r="851" spans="1:35">
      <c r="A851" s="14">
        <v>849</v>
      </c>
      <c r="B851" s="14">
        <v>5766</v>
      </c>
      <c r="C851" s="14" t="s">
        <v>1019</v>
      </c>
      <c r="D851" s="14" t="s">
        <v>98</v>
      </c>
      <c r="E851" s="15" t="str">
        <f>"436.89"</f>
        <v>436.89</v>
      </c>
      <c r="F851" s="15"/>
      <c r="G851" s="16" t="str">
        <f>"464.89"</f>
        <v>464.89</v>
      </c>
      <c r="H851" s="17">
        <f t="shared" si="13"/>
        <v>456.89</v>
      </c>
      <c r="I851" s="18" t="s">
        <v>40</v>
      </c>
      <c r="J851" s="15">
        <v>1</v>
      </c>
      <c r="K851" s="15">
        <v>2016</v>
      </c>
      <c r="L851" s="15" t="str">
        <f>"436.89"</f>
        <v>436.89</v>
      </c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</row>
    <row r="852" spans="1:35">
      <c r="A852" s="14">
        <v>850</v>
      </c>
      <c r="B852" s="14">
        <v>127</v>
      </c>
      <c r="C852" s="14" t="s">
        <v>1020</v>
      </c>
      <c r="D852" s="14" t="s">
        <v>758</v>
      </c>
      <c r="E852" s="15" t="str">
        <f>"438.24"</f>
        <v>438.24</v>
      </c>
      <c r="F852" s="15"/>
      <c r="G852" s="16" t="str">
        <f>"466.24"</f>
        <v>466.24</v>
      </c>
      <c r="H852" s="17">
        <f t="shared" si="13"/>
        <v>458.24</v>
      </c>
      <c r="I852" s="18" t="s">
        <v>40</v>
      </c>
      <c r="J852" s="15">
        <v>1</v>
      </c>
      <c r="K852" s="15">
        <v>2016</v>
      </c>
      <c r="L852" s="15" t="str">
        <f>"438.24"</f>
        <v>438.24</v>
      </c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</row>
    <row r="853" spans="1:35">
      <c r="A853" s="14">
        <v>851</v>
      </c>
      <c r="B853" s="14">
        <v>10594</v>
      </c>
      <c r="C853" s="14" t="s">
        <v>1021</v>
      </c>
      <c r="D853" s="14" t="s">
        <v>51</v>
      </c>
      <c r="E853" s="15" t="str">
        <f>"467.08"</f>
        <v>467.08</v>
      </c>
      <c r="F853" s="15"/>
      <c r="G853" s="16" t="str">
        <f>"467.08"</f>
        <v>467.08</v>
      </c>
      <c r="H853" s="17">
        <f t="shared" si="13"/>
        <v>459.08</v>
      </c>
      <c r="I853" s="18"/>
      <c r="J853" s="15">
        <v>3</v>
      </c>
      <c r="K853" s="15">
        <v>2016</v>
      </c>
      <c r="L853" s="15" t="str">
        <f>"590.34"</f>
        <v>590.34</v>
      </c>
      <c r="M853" s="15"/>
      <c r="N853" s="15"/>
      <c r="O853" s="15"/>
      <c r="P853" s="15"/>
      <c r="Q853" s="15"/>
      <c r="R853" s="15"/>
      <c r="S853" s="15" t="str">
        <f>"579.08"</f>
        <v>579.08</v>
      </c>
      <c r="T853" s="15"/>
      <c r="U853" s="15"/>
      <c r="V853" s="15"/>
      <c r="W853" s="15"/>
      <c r="X853" s="15" t="str">
        <f>"493.84"</f>
        <v>493.84</v>
      </c>
      <c r="Y853" s="15"/>
      <c r="Z853" s="15"/>
      <c r="AA853" s="15"/>
      <c r="AB853" s="15"/>
      <c r="AC853" s="15"/>
      <c r="AD853" s="15"/>
      <c r="AE853" s="15"/>
      <c r="AF853" s="15"/>
      <c r="AG853" s="15"/>
      <c r="AH853" s="15" t="str">
        <f>"440.32"</f>
        <v>440.32</v>
      </c>
      <c r="AI853" s="15"/>
    </row>
    <row r="854" spans="1:35">
      <c r="A854" s="14">
        <v>852</v>
      </c>
      <c r="B854" s="14">
        <v>10623</v>
      </c>
      <c r="C854" s="14" t="s">
        <v>1022</v>
      </c>
      <c r="D854" s="14" t="s">
        <v>51</v>
      </c>
      <c r="E854" s="15" t="str">
        <f>"449.45"</f>
        <v>449.45</v>
      </c>
      <c r="F854" s="15"/>
      <c r="G854" s="16" t="str">
        <f>"467.37"</f>
        <v>467.37</v>
      </c>
      <c r="H854" s="17">
        <f t="shared" si="13"/>
        <v>459.37</v>
      </c>
      <c r="I854" s="18" t="s">
        <v>43</v>
      </c>
      <c r="J854" s="15">
        <v>2</v>
      </c>
      <c r="K854" s="15">
        <v>2016</v>
      </c>
      <c r="L854" s="15" t="str">
        <f>"459.52"</f>
        <v>459.52</v>
      </c>
      <c r="M854" s="15"/>
      <c r="N854" s="15"/>
      <c r="O854" s="15"/>
      <c r="P854" s="15"/>
      <c r="Q854" s="15"/>
      <c r="R854" s="15"/>
      <c r="S854" s="15" t="str">
        <f>"439.37"</f>
        <v>439.37</v>
      </c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</row>
    <row r="855" spans="1:35">
      <c r="A855" s="14">
        <v>853</v>
      </c>
      <c r="B855" s="14">
        <v>10445</v>
      </c>
      <c r="C855" s="14" t="s">
        <v>1023</v>
      </c>
      <c r="D855" s="14" t="s">
        <v>58</v>
      </c>
      <c r="E855" s="15" t="str">
        <f>"467.47"</f>
        <v>467.47</v>
      </c>
      <c r="F855" s="15"/>
      <c r="G855" s="16" t="str">
        <f>"467.47"</f>
        <v>467.47</v>
      </c>
      <c r="H855" s="17">
        <f t="shared" si="13"/>
        <v>459.47</v>
      </c>
      <c r="I855" s="18"/>
      <c r="J855" s="15">
        <v>3</v>
      </c>
      <c r="K855" s="15">
        <v>2016</v>
      </c>
      <c r="L855" s="15" t="str">
        <f>"528.61"</f>
        <v>528.61</v>
      </c>
      <c r="M855" s="15"/>
      <c r="N855" s="15"/>
      <c r="O855" s="15"/>
      <c r="P855" s="15" t="str">
        <f>"408.06"</f>
        <v>408.06</v>
      </c>
      <c r="Q855" s="15"/>
      <c r="R855" s="15"/>
      <c r="S855" s="15"/>
      <c r="T855" s="15"/>
      <c r="U855" s="15" t="str">
        <f>"526.88"</f>
        <v>526.88</v>
      </c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</row>
    <row r="856" spans="1:35">
      <c r="A856" s="14">
        <v>854</v>
      </c>
      <c r="B856" s="14">
        <v>10845</v>
      </c>
      <c r="C856" s="14" t="s">
        <v>1024</v>
      </c>
      <c r="D856" s="14" t="s">
        <v>51</v>
      </c>
      <c r="E856" s="15" t="str">
        <f>"469.88"</f>
        <v>469.88</v>
      </c>
      <c r="F856" s="15"/>
      <c r="G856" s="16" t="str">
        <f>"469.88"</f>
        <v>469.88</v>
      </c>
      <c r="H856" s="17">
        <f t="shared" si="13"/>
        <v>461.88</v>
      </c>
      <c r="I856" s="18" t="s">
        <v>43</v>
      </c>
      <c r="J856" s="15">
        <v>4</v>
      </c>
      <c r="K856" s="15">
        <v>2016</v>
      </c>
      <c r="L856" s="15"/>
      <c r="M856" s="15"/>
      <c r="N856" s="15"/>
      <c r="O856" s="15"/>
      <c r="P856" s="15"/>
      <c r="Q856" s="15"/>
      <c r="R856" s="15"/>
      <c r="S856" s="15" t="str">
        <f>"441.88"</f>
        <v>441.88</v>
      </c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</row>
    <row r="857" spans="1:35">
      <c r="A857" s="14">
        <v>855</v>
      </c>
      <c r="B857" s="14">
        <v>11091</v>
      </c>
      <c r="C857" s="14" t="s">
        <v>1025</v>
      </c>
      <c r="D857" s="14" t="s">
        <v>119</v>
      </c>
      <c r="E857" s="15" t="str">
        <f>"471.71"</f>
        <v>471.71</v>
      </c>
      <c r="F857" s="15"/>
      <c r="G857" s="16" t="str">
        <f>"471.71"</f>
        <v>471.71</v>
      </c>
      <c r="H857" s="17">
        <f t="shared" si="13"/>
        <v>463.71</v>
      </c>
      <c r="I857" s="18" t="s">
        <v>43</v>
      </c>
      <c r="J857" s="15">
        <v>4</v>
      </c>
      <c r="K857" s="15">
        <v>2016</v>
      </c>
      <c r="L857" s="15"/>
      <c r="M857" s="15" t="str">
        <f>"443.71"</f>
        <v>443.71</v>
      </c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</row>
    <row r="858" spans="1:35">
      <c r="A858" s="14">
        <v>856</v>
      </c>
      <c r="B858" s="14">
        <v>10883</v>
      </c>
      <c r="C858" s="14" t="s">
        <v>1026</v>
      </c>
      <c r="D858" s="14" t="s">
        <v>51</v>
      </c>
      <c r="E858" s="15" t="str">
        <f>"473.05"</f>
        <v>473.05</v>
      </c>
      <c r="F858" s="15"/>
      <c r="G858" s="16" t="str">
        <f>"473.05"</f>
        <v>473.05</v>
      </c>
      <c r="H858" s="17">
        <f t="shared" si="13"/>
        <v>465.05</v>
      </c>
      <c r="I858" s="18" t="s">
        <v>43</v>
      </c>
      <c r="J858" s="15">
        <v>4</v>
      </c>
      <c r="K858" s="15">
        <v>2016</v>
      </c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 t="str">
        <f>"445.05"</f>
        <v>445.05</v>
      </c>
      <c r="AI858" s="15"/>
    </row>
    <row r="859" spans="1:35">
      <c r="A859" s="14">
        <v>857</v>
      </c>
      <c r="B859" s="14">
        <v>8627</v>
      </c>
      <c r="C859" s="14" t="s">
        <v>1027</v>
      </c>
      <c r="D859" s="14" t="s">
        <v>51</v>
      </c>
      <c r="E859" s="15" t="str">
        <f>"298.77"</f>
        <v>298.77</v>
      </c>
      <c r="F859" s="15"/>
      <c r="G859" s="16" t="str">
        <f>"475.23"</f>
        <v>475.23</v>
      </c>
      <c r="H859" s="17">
        <f t="shared" si="13"/>
        <v>467.23</v>
      </c>
      <c r="I859" s="18" t="s">
        <v>43</v>
      </c>
      <c r="J859" s="15">
        <v>2</v>
      </c>
      <c r="K859" s="15">
        <v>2016</v>
      </c>
      <c r="L859" s="15" t="str">
        <f>"298.77"</f>
        <v>298.77</v>
      </c>
      <c r="M859" s="15"/>
      <c r="N859" s="15"/>
      <c r="O859" s="15"/>
      <c r="P859" s="15"/>
      <c r="Q859" s="15"/>
      <c r="R859" s="15"/>
      <c r="S859" s="15" t="str">
        <f>"447.23"</f>
        <v>447.23</v>
      </c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</row>
    <row r="860" spans="1:35">
      <c r="A860" s="14">
        <v>858</v>
      </c>
      <c r="B860" s="14">
        <v>10567</v>
      </c>
      <c r="C860" s="14" t="s">
        <v>1028</v>
      </c>
      <c r="D860" s="14" t="s">
        <v>51</v>
      </c>
      <c r="E860" s="15" t="str">
        <f>"448.42"</f>
        <v>448.42</v>
      </c>
      <c r="F860" s="15"/>
      <c r="G860" s="16" t="str">
        <f>"476.42"</f>
        <v>476.42</v>
      </c>
      <c r="H860" s="17">
        <f t="shared" si="13"/>
        <v>468.42</v>
      </c>
      <c r="I860" s="18" t="s">
        <v>40</v>
      </c>
      <c r="J860" s="15">
        <v>1</v>
      </c>
      <c r="K860" s="15">
        <v>2016</v>
      </c>
      <c r="L860" s="15" t="str">
        <f>"448.42"</f>
        <v>448.42</v>
      </c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</row>
    <row r="861" spans="1:35">
      <c r="A861" s="14">
        <v>859</v>
      </c>
      <c r="B861" s="14">
        <v>2168</v>
      </c>
      <c r="C861" s="14" t="s">
        <v>1029</v>
      </c>
      <c r="D861" s="14" t="s">
        <v>51</v>
      </c>
      <c r="E861" s="15" t="str">
        <f>"477.50"</f>
        <v>477.50</v>
      </c>
      <c r="F861" s="15"/>
      <c r="G861" s="16" t="str">
        <f>"477.50"</f>
        <v>477.50</v>
      </c>
      <c r="H861" s="17">
        <f t="shared" si="13"/>
        <v>469.5</v>
      </c>
      <c r="I861" s="18"/>
      <c r="J861" s="15">
        <v>3</v>
      </c>
      <c r="K861" s="15">
        <v>2016</v>
      </c>
      <c r="L861" s="15" t="str">
        <f>"508.26"</f>
        <v>508.26</v>
      </c>
      <c r="M861" s="15"/>
      <c r="N861" s="15"/>
      <c r="O861" s="15"/>
      <c r="P861" s="15"/>
      <c r="Q861" s="15"/>
      <c r="R861" s="15"/>
      <c r="S861" s="15" t="str">
        <f>"539.08"</f>
        <v>539.08</v>
      </c>
      <c r="T861" s="15"/>
      <c r="U861" s="15"/>
      <c r="V861" s="15"/>
      <c r="W861" s="15"/>
      <c r="X861" s="15" t="str">
        <f>"486.85"</f>
        <v>486.85</v>
      </c>
      <c r="Y861" s="15"/>
      <c r="Z861" s="15"/>
      <c r="AA861" s="15"/>
      <c r="AB861" s="15"/>
      <c r="AC861" s="15"/>
      <c r="AD861" s="15"/>
      <c r="AE861" s="15" t="str">
        <f>"468.14"</f>
        <v>468.14</v>
      </c>
      <c r="AF861" s="15"/>
      <c r="AG861" s="15"/>
      <c r="AH861" s="15"/>
      <c r="AI861" s="15"/>
    </row>
    <row r="862" spans="1:35">
      <c r="A862" s="14">
        <v>860</v>
      </c>
      <c r="B862" s="14">
        <v>5410</v>
      </c>
      <c r="C862" s="14" t="s">
        <v>1030</v>
      </c>
      <c r="D862" s="14" t="s">
        <v>127</v>
      </c>
      <c r="E862" s="15" t="str">
        <f>"450.85"</f>
        <v>450.85</v>
      </c>
      <c r="F862" s="15"/>
      <c r="G862" s="16" t="str">
        <f>"478.85"</f>
        <v>478.85</v>
      </c>
      <c r="H862" s="17">
        <f t="shared" si="13"/>
        <v>470.85</v>
      </c>
      <c r="I862" s="18" t="s">
        <v>40</v>
      </c>
      <c r="J862" s="15">
        <v>1</v>
      </c>
      <c r="K862" s="15">
        <v>2016</v>
      </c>
      <c r="L862" s="15" t="str">
        <f>"450.85"</f>
        <v>450.85</v>
      </c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</row>
    <row r="863" spans="1:35">
      <c r="A863" s="14">
        <v>861</v>
      </c>
      <c r="B863" s="14">
        <v>10843</v>
      </c>
      <c r="C863" s="14" t="s">
        <v>1031</v>
      </c>
      <c r="D863" s="14" t="s">
        <v>51</v>
      </c>
      <c r="E863" s="15" t="str">
        <f>"479.30"</f>
        <v>479.30</v>
      </c>
      <c r="F863" s="15"/>
      <c r="G863" s="16" t="str">
        <f>"479.30"</f>
        <v>479.30</v>
      </c>
      <c r="H863" s="17">
        <f t="shared" si="13"/>
        <v>471.3</v>
      </c>
      <c r="I863" s="18"/>
      <c r="J863" s="15">
        <v>5</v>
      </c>
      <c r="K863" s="15">
        <v>2016</v>
      </c>
      <c r="L863" s="15"/>
      <c r="M863" s="15"/>
      <c r="N863" s="15"/>
      <c r="O863" s="15"/>
      <c r="P863" s="15"/>
      <c r="Q863" s="15"/>
      <c r="R863" s="15"/>
      <c r="S863" s="15" t="str">
        <f>"501.82"</f>
        <v>501.82</v>
      </c>
      <c r="T863" s="15"/>
      <c r="U863" s="15"/>
      <c r="V863" s="15"/>
      <c r="W863" s="15"/>
      <c r="X863" s="15" t="str">
        <f>"456.77"</f>
        <v>456.77</v>
      </c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</row>
    <row r="864" spans="1:35">
      <c r="A864" s="14">
        <v>862</v>
      </c>
      <c r="B864" s="14">
        <v>10204</v>
      </c>
      <c r="C864" s="14" t="s">
        <v>1032</v>
      </c>
      <c r="D864" s="14" t="s">
        <v>58</v>
      </c>
      <c r="E864" s="15" t="str">
        <f>"502.90"</f>
        <v>502.90</v>
      </c>
      <c r="F864" s="15"/>
      <c r="G864" s="16" t="str">
        <f>"480.54"</f>
        <v>480.54</v>
      </c>
      <c r="H864" s="17">
        <f t="shared" si="13"/>
        <v>472.54</v>
      </c>
      <c r="I864" s="18" t="s">
        <v>43</v>
      </c>
      <c r="J864" s="15">
        <v>2</v>
      </c>
      <c r="K864" s="15">
        <v>2016</v>
      </c>
      <c r="L864" s="15" t="str">
        <f>"553.25"</f>
        <v>553.25</v>
      </c>
      <c r="M864" s="15"/>
      <c r="N864" s="15"/>
      <c r="O864" s="15"/>
      <c r="P864" s="15"/>
      <c r="Q864" s="15"/>
      <c r="R864" s="15"/>
      <c r="S864" s="15"/>
      <c r="T864" s="15"/>
      <c r="U864" s="15" t="str">
        <f>"452.54"</f>
        <v>452.54</v>
      </c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</row>
    <row r="865" spans="1:35">
      <c r="A865" s="14">
        <v>863</v>
      </c>
      <c r="B865" s="14">
        <v>10229</v>
      </c>
      <c r="C865" s="14" t="s">
        <v>1033</v>
      </c>
      <c r="D865" s="14" t="s">
        <v>158</v>
      </c>
      <c r="E865" s="15" t="str">
        <f>"455.29"</f>
        <v>455.29</v>
      </c>
      <c r="F865" s="15"/>
      <c r="G865" s="16" t="str">
        <f>"483.29"</f>
        <v>483.29</v>
      </c>
      <c r="H865" s="17">
        <f t="shared" si="13"/>
        <v>475.29</v>
      </c>
      <c r="I865" s="18" t="s">
        <v>40</v>
      </c>
      <c r="J865" s="15">
        <v>1</v>
      </c>
      <c r="K865" s="15">
        <v>2016</v>
      </c>
      <c r="L865" s="15" t="str">
        <f>"455.29"</f>
        <v>455.29</v>
      </c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</row>
    <row r="866" spans="1:35">
      <c r="A866" s="14">
        <v>864</v>
      </c>
      <c r="B866" s="14">
        <v>10495</v>
      </c>
      <c r="C866" s="14" t="s">
        <v>1034</v>
      </c>
      <c r="D866" s="14" t="s">
        <v>58</v>
      </c>
      <c r="E866" s="15" t="str">
        <f>"484.96"</f>
        <v>484.96</v>
      </c>
      <c r="F866" s="15"/>
      <c r="G866" s="16" t="str">
        <f>"484.96"</f>
        <v>484.96</v>
      </c>
      <c r="H866" s="17">
        <f t="shared" si="13"/>
        <v>476.96</v>
      </c>
      <c r="I866" s="18" t="s">
        <v>43</v>
      </c>
      <c r="J866" s="15">
        <v>4</v>
      </c>
      <c r="K866" s="15">
        <v>2016</v>
      </c>
      <c r="L866" s="15"/>
      <c r="M866" s="15"/>
      <c r="N866" s="15"/>
      <c r="O866" s="15"/>
      <c r="P866" s="15"/>
      <c r="Q866" s="15"/>
      <c r="R866" s="15"/>
      <c r="S866" s="15"/>
      <c r="T866" s="15"/>
      <c r="U866" s="15" t="str">
        <f>"456.96"</f>
        <v>456.96</v>
      </c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</row>
    <row r="867" spans="1:35">
      <c r="A867" s="14">
        <v>865</v>
      </c>
      <c r="B867" s="14">
        <v>9975</v>
      </c>
      <c r="C867" s="14" t="s">
        <v>1035</v>
      </c>
      <c r="D867" s="14" t="s">
        <v>461</v>
      </c>
      <c r="E867" s="15" t="str">
        <f>"479.65"</f>
        <v>479.65</v>
      </c>
      <c r="F867" s="15"/>
      <c r="G867" s="16" t="str">
        <f>"486.07"</f>
        <v>486.07</v>
      </c>
      <c r="H867" s="17">
        <f t="shared" si="13"/>
        <v>478.07</v>
      </c>
      <c r="I867" s="18" t="s">
        <v>43</v>
      </c>
      <c r="J867" s="15">
        <v>2</v>
      </c>
      <c r="K867" s="15">
        <v>2016</v>
      </c>
      <c r="L867" s="15" t="str">
        <f>"501.22"</f>
        <v>501.22</v>
      </c>
      <c r="M867" s="15"/>
      <c r="N867" s="15"/>
      <c r="O867" s="15"/>
      <c r="P867" s="15"/>
      <c r="Q867" s="15"/>
      <c r="R867" s="15" t="str">
        <f>"458.07"</f>
        <v>458.07</v>
      </c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</row>
    <row r="868" spans="1:35">
      <c r="A868" s="14">
        <v>866</v>
      </c>
      <c r="B868" s="14">
        <v>6582</v>
      </c>
      <c r="C868" s="14" t="s">
        <v>1036</v>
      </c>
      <c r="D868" s="14" t="s">
        <v>428</v>
      </c>
      <c r="E868" s="15" t="str">
        <f>"458.33"</f>
        <v>458.33</v>
      </c>
      <c r="F868" s="15"/>
      <c r="G868" s="16" t="str">
        <f>"486.33"</f>
        <v>486.33</v>
      </c>
      <c r="H868" s="17">
        <f t="shared" si="13"/>
        <v>478.33</v>
      </c>
      <c r="I868" s="18" t="s">
        <v>40</v>
      </c>
      <c r="J868" s="15">
        <v>1</v>
      </c>
      <c r="K868" s="15">
        <v>2016</v>
      </c>
      <c r="L868" s="15" t="str">
        <f>"458.33"</f>
        <v>458.33</v>
      </c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</row>
    <row r="869" spans="1:35">
      <c r="A869" s="14">
        <v>867</v>
      </c>
      <c r="B869" s="14">
        <v>10360</v>
      </c>
      <c r="C869" s="14" t="s">
        <v>1037</v>
      </c>
      <c r="D869" s="14" t="s">
        <v>119</v>
      </c>
      <c r="E869" s="15" t="str">
        <f>"541.34"</f>
        <v>541.34</v>
      </c>
      <c r="F869" s="15"/>
      <c r="G869" s="16" t="str">
        <f>"488.43"</f>
        <v>488.43</v>
      </c>
      <c r="H869" s="17">
        <f t="shared" si="13"/>
        <v>480.43</v>
      </c>
      <c r="I869" s="18" t="s">
        <v>43</v>
      </c>
      <c r="J869" s="15">
        <v>2</v>
      </c>
      <c r="K869" s="15">
        <v>2016</v>
      </c>
      <c r="L869" s="15" t="str">
        <f>"622.24"</f>
        <v>622.24</v>
      </c>
      <c r="M869" s="15" t="str">
        <f>"460.43"</f>
        <v>460.43</v>
      </c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</row>
    <row r="870" spans="1:35">
      <c r="A870" s="14">
        <v>868</v>
      </c>
      <c r="B870" s="14">
        <v>10875</v>
      </c>
      <c r="C870" s="14" t="s">
        <v>1038</v>
      </c>
      <c r="D870" s="14" t="s">
        <v>51</v>
      </c>
      <c r="E870" s="15" t="str">
        <f>"488.49"</f>
        <v>488.49</v>
      </c>
      <c r="F870" s="15"/>
      <c r="G870" s="16" t="str">
        <f>"488.49"</f>
        <v>488.49</v>
      </c>
      <c r="H870" s="17">
        <f t="shared" si="13"/>
        <v>480.49</v>
      </c>
      <c r="I870" s="18"/>
      <c r="J870" s="15">
        <v>5</v>
      </c>
      <c r="K870" s="15">
        <v>2016</v>
      </c>
      <c r="L870" s="15"/>
      <c r="M870" s="15"/>
      <c r="N870" s="15"/>
      <c r="O870" s="15"/>
      <c r="P870" s="15"/>
      <c r="Q870" s="15"/>
      <c r="R870" s="15"/>
      <c r="S870" s="15" t="str">
        <f>"510.48"</f>
        <v>510.48</v>
      </c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 t="str">
        <f>"466.50"</f>
        <v>466.50</v>
      </c>
      <c r="AI870" s="15"/>
    </row>
    <row r="871" spans="1:35">
      <c r="A871" s="14">
        <v>869</v>
      </c>
      <c r="B871" s="14">
        <v>10522</v>
      </c>
      <c r="C871" s="14" t="s">
        <v>1039</v>
      </c>
      <c r="D871" s="14" t="s">
        <v>158</v>
      </c>
      <c r="E871" s="15" t="str">
        <f>"525.03"</f>
        <v>525.03</v>
      </c>
      <c r="F871" s="15"/>
      <c r="G871" s="16" t="str">
        <f>"491.85"</f>
        <v>491.85</v>
      </c>
      <c r="H871" s="17">
        <f t="shared" si="13"/>
        <v>483.85</v>
      </c>
      <c r="I871" s="18" t="s">
        <v>43</v>
      </c>
      <c r="J871" s="15">
        <v>2</v>
      </c>
      <c r="K871" s="15">
        <v>2016</v>
      </c>
      <c r="L871" s="15" t="str">
        <f>"586.20"</f>
        <v>586.20</v>
      </c>
      <c r="M871" s="15" t="str">
        <f>"463.85"</f>
        <v>463.85</v>
      </c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</row>
    <row r="872" spans="1:35">
      <c r="A872" s="14">
        <v>870</v>
      </c>
      <c r="B872" s="14">
        <v>10620</v>
      </c>
      <c r="C872" s="14" t="s">
        <v>1040</v>
      </c>
      <c r="D872" s="14" t="s">
        <v>51</v>
      </c>
      <c r="E872" s="15" t="str">
        <f>"495.47"</f>
        <v>495.47</v>
      </c>
      <c r="F872" s="15"/>
      <c r="G872" s="16" t="str">
        <f>"495.47"</f>
        <v>495.47</v>
      </c>
      <c r="H872" s="17">
        <f t="shared" si="13"/>
        <v>487.47</v>
      </c>
      <c r="I872" s="18"/>
      <c r="J872" s="15">
        <v>3</v>
      </c>
      <c r="K872" s="15">
        <v>2016</v>
      </c>
      <c r="L872" s="15" t="str">
        <f>"577.83"</f>
        <v>577.83</v>
      </c>
      <c r="M872" s="15"/>
      <c r="N872" s="15"/>
      <c r="O872" s="15"/>
      <c r="P872" s="15"/>
      <c r="Q872" s="15"/>
      <c r="R872" s="15"/>
      <c r="S872" s="15" t="str">
        <f>"529.17"</f>
        <v>529.17</v>
      </c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 t="str">
        <f>"461.77"</f>
        <v>461.77</v>
      </c>
      <c r="AI872" s="15"/>
    </row>
    <row r="873" spans="1:35">
      <c r="A873" s="14">
        <v>871</v>
      </c>
      <c r="B873" s="14">
        <v>4413</v>
      </c>
      <c r="C873" s="14" t="s">
        <v>1041</v>
      </c>
      <c r="D873" s="14" t="s">
        <v>45</v>
      </c>
      <c r="E873" s="15" t="str">
        <f>"495.48"</f>
        <v>495.48</v>
      </c>
      <c r="F873" s="15"/>
      <c r="G873" s="16" t="str">
        <f>"495.48"</f>
        <v>495.48</v>
      </c>
      <c r="H873" s="17">
        <f t="shared" si="13"/>
        <v>487.48</v>
      </c>
      <c r="I873" s="18"/>
      <c r="J873" s="15">
        <v>5</v>
      </c>
      <c r="K873" s="15">
        <v>2016</v>
      </c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 t="str">
        <f>"852.73"</f>
        <v>852.73</v>
      </c>
      <c r="W873" s="15"/>
      <c r="X873" s="15"/>
      <c r="Y873" s="15"/>
      <c r="Z873" s="15"/>
      <c r="AA873" s="15"/>
      <c r="AB873" s="15"/>
      <c r="AC873" s="15"/>
      <c r="AD873" s="15"/>
      <c r="AE873" s="15" t="str">
        <f>"138.23"</f>
        <v>138.23</v>
      </c>
      <c r="AF873" s="15"/>
      <c r="AG873" s="15"/>
      <c r="AH873" s="15"/>
      <c r="AI873" s="15"/>
    </row>
    <row r="874" spans="1:35">
      <c r="A874" s="14">
        <v>872</v>
      </c>
      <c r="B874" s="14">
        <v>10646</v>
      </c>
      <c r="C874" s="14" t="s">
        <v>1042</v>
      </c>
      <c r="D874" s="14" t="s">
        <v>51</v>
      </c>
      <c r="E874" s="15" t="str">
        <f>"495.92"</f>
        <v>495.92</v>
      </c>
      <c r="F874" s="15"/>
      <c r="G874" s="16" t="str">
        <f>"495.92"</f>
        <v>495.92</v>
      </c>
      <c r="H874" s="17">
        <f t="shared" si="13"/>
        <v>487.92</v>
      </c>
      <c r="I874" s="18"/>
      <c r="J874" s="15">
        <v>5</v>
      </c>
      <c r="K874" s="15">
        <v>2016</v>
      </c>
      <c r="L874" s="15"/>
      <c r="M874" s="15"/>
      <c r="N874" s="15"/>
      <c r="O874" s="15"/>
      <c r="P874" s="15"/>
      <c r="Q874" s="15"/>
      <c r="R874" s="15"/>
      <c r="S874" s="15" t="str">
        <f>"515.04"</f>
        <v>515.04</v>
      </c>
      <c r="T874" s="15"/>
      <c r="U874" s="15"/>
      <c r="V874" s="15"/>
      <c r="W874" s="15"/>
      <c r="X874" s="15" t="str">
        <f>"476.79"</f>
        <v>476.79</v>
      </c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</row>
    <row r="875" spans="1:35">
      <c r="A875" s="14">
        <v>873</v>
      </c>
      <c r="B875" s="14">
        <v>10193</v>
      </c>
      <c r="C875" s="14" t="s">
        <v>1043</v>
      </c>
      <c r="D875" s="14" t="s">
        <v>51</v>
      </c>
      <c r="E875" s="15" t="str">
        <f>"497.09"</f>
        <v>497.09</v>
      </c>
      <c r="F875" s="15"/>
      <c r="G875" s="16" t="str">
        <f>"497.09"</f>
        <v>497.09</v>
      </c>
      <c r="H875" s="17">
        <f t="shared" si="13"/>
        <v>489.09</v>
      </c>
      <c r="I875" s="18"/>
      <c r="J875" s="15">
        <v>3</v>
      </c>
      <c r="K875" s="15">
        <v>2016</v>
      </c>
      <c r="L875" s="15" t="str">
        <f>"733.92"</f>
        <v>733.92</v>
      </c>
      <c r="M875" s="15"/>
      <c r="N875" s="15"/>
      <c r="O875" s="15"/>
      <c r="P875" s="15"/>
      <c r="Q875" s="15"/>
      <c r="R875" s="15"/>
      <c r="S875" s="15" t="str">
        <f>"583.98"</f>
        <v>583.98</v>
      </c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 t="str">
        <f>"410.20"</f>
        <v>410.20</v>
      </c>
      <c r="AI875" s="15"/>
    </row>
    <row r="876" spans="1:35">
      <c r="A876" s="14">
        <v>874</v>
      </c>
      <c r="B876" s="14">
        <v>10095</v>
      </c>
      <c r="C876" s="14" t="s">
        <v>1044</v>
      </c>
      <c r="D876" s="14" t="s">
        <v>51</v>
      </c>
      <c r="E876" s="15" t="str">
        <f>"469.35"</f>
        <v>469.35</v>
      </c>
      <c r="F876" s="15"/>
      <c r="G876" s="16" t="str">
        <f>"497.35"</f>
        <v>497.35</v>
      </c>
      <c r="H876" s="17">
        <f t="shared" si="13"/>
        <v>489.35</v>
      </c>
      <c r="I876" s="18" t="s">
        <v>40</v>
      </c>
      <c r="J876" s="15">
        <v>1</v>
      </c>
      <c r="K876" s="15">
        <v>2016</v>
      </c>
      <c r="L876" s="15" t="str">
        <f>"469.35"</f>
        <v>469.35</v>
      </c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</row>
    <row r="877" spans="1:35">
      <c r="A877" s="14">
        <v>875</v>
      </c>
      <c r="B877" s="14">
        <v>10553</v>
      </c>
      <c r="C877" s="14" t="s">
        <v>1045</v>
      </c>
      <c r="D877" s="14" t="s">
        <v>51</v>
      </c>
      <c r="E877" s="15" t="str">
        <f>"470.54"</f>
        <v>470.54</v>
      </c>
      <c r="F877" s="15"/>
      <c r="G877" s="16" t="str">
        <f>"498.54"</f>
        <v>498.54</v>
      </c>
      <c r="H877" s="17">
        <f t="shared" si="13"/>
        <v>490.54</v>
      </c>
      <c r="I877" s="18" t="s">
        <v>40</v>
      </c>
      <c r="J877" s="15">
        <v>1</v>
      </c>
      <c r="K877" s="15">
        <v>2016</v>
      </c>
      <c r="L877" s="15" t="str">
        <f>"470.54"</f>
        <v>470.54</v>
      </c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</row>
    <row r="878" spans="1:35">
      <c r="A878" s="14">
        <v>876</v>
      </c>
      <c r="B878" s="14">
        <v>3975</v>
      </c>
      <c r="C878" s="14" t="s">
        <v>1046</v>
      </c>
      <c r="D878" s="14" t="s">
        <v>1047</v>
      </c>
      <c r="E878" s="15" t="str">
        <f>"470.84"</f>
        <v>470.84</v>
      </c>
      <c r="F878" s="15"/>
      <c r="G878" s="16" t="str">
        <f>"498.84"</f>
        <v>498.84</v>
      </c>
      <c r="H878" s="17">
        <f t="shared" si="13"/>
        <v>490.84</v>
      </c>
      <c r="I878" s="18" t="s">
        <v>40</v>
      </c>
      <c r="J878" s="15">
        <v>1</v>
      </c>
      <c r="K878" s="15">
        <v>2016</v>
      </c>
      <c r="L878" s="15" t="str">
        <f>"470.84"</f>
        <v>470.84</v>
      </c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</row>
    <row r="879" spans="1:35">
      <c r="A879" s="14">
        <v>877</v>
      </c>
      <c r="B879" s="14">
        <v>10906</v>
      </c>
      <c r="C879" s="14" t="s">
        <v>1048</v>
      </c>
      <c r="D879" s="14" t="s">
        <v>51</v>
      </c>
      <c r="E879" s="15" t="str">
        <f>"504.91"</f>
        <v>504.91</v>
      </c>
      <c r="F879" s="15"/>
      <c r="G879" s="16" t="str">
        <f>"504.91"</f>
        <v>504.91</v>
      </c>
      <c r="H879" s="17">
        <f t="shared" si="13"/>
        <v>496.91</v>
      </c>
      <c r="I879" s="18"/>
      <c r="J879" s="15">
        <v>5</v>
      </c>
      <c r="K879" s="15">
        <v>2016</v>
      </c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 t="str">
        <f>"483.85"</f>
        <v>483.85</v>
      </c>
      <c r="AF879" s="15"/>
      <c r="AG879" s="15"/>
      <c r="AH879" s="15" t="str">
        <f>"525.96"</f>
        <v>525.96</v>
      </c>
      <c r="AI879" s="15"/>
    </row>
    <row r="880" spans="1:35">
      <c r="A880" s="14">
        <v>878</v>
      </c>
      <c r="B880" s="14">
        <v>10625</v>
      </c>
      <c r="C880" s="14" t="s">
        <v>1049</v>
      </c>
      <c r="D880" s="14" t="s">
        <v>51</v>
      </c>
      <c r="E880" s="15" t="str">
        <f>"477.05"</f>
        <v>477.05</v>
      </c>
      <c r="F880" s="15"/>
      <c r="G880" s="16" t="str">
        <f>"505.05"</f>
        <v>505.05</v>
      </c>
      <c r="H880" s="17">
        <f t="shared" si="13"/>
        <v>497.05</v>
      </c>
      <c r="I880" s="18" t="s">
        <v>40</v>
      </c>
      <c r="J880" s="15">
        <v>1</v>
      </c>
      <c r="K880" s="15">
        <v>2016</v>
      </c>
      <c r="L880" s="15" t="str">
        <f>"477.05"</f>
        <v>477.05</v>
      </c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</row>
    <row r="881" spans="1:35">
      <c r="A881" s="14">
        <v>879</v>
      </c>
      <c r="B881" s="14">
        <v>10727</v>
      </c>
      <c r="C881" s="14" t="s">
        <v>1050</v>
      </c>
      <c r="D881" s="14" t="s">
        <v>58</v>
      </c>
      <c r="E881" s="15" t="str">
        <f>"508.21"</f>
        <v>508.21</v>
      </c>
      <c r="F881" s="15"/>
      <c r="G881" s="16" t="str">
        <f>"508.21"</f>
        <v>508.21</v>
      </c>
      <c r="H881" s="17">
        <f t="shared" si="13"/>
        <v>500.21</v>
      </c>
      <c r="I881" s="18"/>
      <c r="J881" s="15">
        <v>5</v>
      </c>
      <c r="K881" s="15">
        <v>2016</v>
      </c>
      <c r="L881" s="15"/>
      <c r="M881" s="15"/>
      <c r="N881" s="15"/>
      <c r="O881" s="15"/>
      <c r="P881" s="15"/>
      <c r="Q881" s="15"/>
      <c r="R881" s="15"/>
      <c r="S881" s="15"/>
      <c r="T881" s="15"/>
      <c r="U881" s="15" t="str">
        <f>"712.46"</f>
        <v>712.46</v>
      </c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 t="str">
        <f>"303.95"</f>
        <v>303.95</v>
      </c>
      <c r="AG881" s="15"/>
      <c r="AH881" s="15"/>
      <c r="AI881" s="15"/>
    </row>
    <row r="882" spans="1:35">
      <c r="A882" s="14">
        <v>880</v>
      </c>
      <c r="B882" s="14">
        <v>10077</v>
      </c>
      <c r="C882" s="14" t="s">
        <v>1051</v>
      </c>
      <c r="D882" s="14" t="s">
        <v>51</v>
      </c>
      <c r="E882" s="15" t="str">
        <f>"491.82"</f>
        <v>491.82</v>
      </c>
      <c r="F882" s="15"/>
      <c r="G882" s="16" t="str">
        <f>"508.96"</f>
        <v>508.96</v>
      </c>
      <c r="H882" s="17">
        <f t="shared" si="13"/>
        <v>500.96</v>
      </c>
      <c r="I882" s="18" t="s">
        <v>43</v>
      </c>
      <c r="J882" s="15">
        <v>2</v>
      </c>
      <c r="K882" s="15">
        <v>2016</v>
      </c>
      <c r="L882" s="15" t="str">
        <f>"502.67"</f>
        <v>502.67</v>
      </c>
      <c r="M882" s="15"/>
      <c r="N882" s="15"/>
      <c r="O882" s="15"/>
      <c r="P882" s="15"/>
      <c r="Q882" s="15"/>
      <c r="R882" s="15"/>
      <c r="S882" s="15" t="str">
        <f>"480.96"</f>
        <v>480.96</v>
      </c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</row>
    <row r="883" spans="1:35">
      <c r="A883" s="14">
        <v>881</v>
      </c>
      <c r="B883" s="14">
        <v>10701</v>
      </c>
      <c r="C883" s="14" t="s">
        <v>1052</v>
      </c>
      <c r="D883" s="14" t="s">
        <v>119</v>
      </c>
      <c r="E883" s="15" t="str">
        <f>"512.06"</f>
        <v>512.06</v>
      </c>
      <c r="F883" s="15"/>
      <c r="G883" s="16" t="str">
        <f>"512.06"</f>
        <v>512.06</v>
      </c>
      <c r="H883" s="17">
        <f t="shared" si="13"/>
        <v>504.05999999999995</v>
      </c>
      <c r="I883" s="18" t="s">
        <v>43</v>
      </c>
      <c r="J883" s="15">
        <v>4</v>
      </c>
      <c r="K883" s="15">
        <v>2016</v>
      </c>
      <c r="L883" s="15"/>
      <c r="M883" s="15" t="str">
        <f>"484.06"</f>
        <v>484.06</v>
      </c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</row>
    <row r="884" spans="1:35">
      <c r="A884" s="14">
        <v>882</v>
      </c>
      <c r="B884" s="14">
        <v>10853</v>
      </c>
      <c r="C884" s="14" t="s">
        <v>1053</v>
      </c>
      <c r="D884" s="14" t="s">
        <v>51</v>
      </c>
      <c r="E884" s="15" t="str">
        <f>"512.48"</f>
        <v>512.48</v>
      </c>
      <c r="F884" s="15"/>
      <c r="G884" s="16" t="str">
        <f>"512.48"</f>
        <v>512.48</v>
      </c>
      <c r="H884" s="17">
        <f t="shared" si="13"/>
        <v>504.48</v>
      </c>
      <c r="I884" s="18" t="s">
        <v>43</v>
      </c>
      <c r="J884" s="15">
        <v>4</v>
      </c>
      <c r="K884" s="15">
        <v>2016</v>
      </c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 t="str">
        <f>"484.48"</f>
        <v>484.48</v>
      </c>
      <c r="AI884" s="15"/>
    </row>
    <row r="885" spans="1:35">
      <c r="A885" s="14">
        <v>883</v>
      </c>
      <c r="B885" s="14">
        <v>10393</v>
      </c>
      <c r="C885" s="14" t="s">
        <v>1054</v>
      </c>
      <c r="D885" s="14" t="s">
        <v>58</v>
      </c>
      <c r="E885" s="15" t="str">
        <f>"512.97"</f>
        <v>512.97</v>
      </c>
      <c r="F885" s="15"/>
      <c r="G885" s="16" t="str">
        <f>"512.97"</f>
        <v>512.97</v>
      </c>
      <c r="H885" s="17">
        <f t="shared" si="13"/>
        <v>504.97</v>
      </c>
      <c r="I885" s="18" t="s">
        <v>43</v>
      </c>
      <c r="J885" s="15">
        <v>4</v>
      </c>
      <c r="K885" s="15">
        <v>2016</v>
      </c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 t="str">
        <f>"484.97"</f>
        <v>484.97</v>
      </c>
      <c r="AG885" s="15"/>
      <c r="AH885" s="15"/>
      <c r="AI885" s="15"/>
    </row>
    <row r="886" spans="1:35">
      <c r="A886" s="14">
        <v>884</v>
      </c>
      <c r="B886" s="14">
        <v>10876</v>
      </c>
      <c r="C886" s="14" t="s">
        <v>1055</v>
      </c>
      <c r="D886" s="14" t="s">
        <v>51</v>
      </c>
      <c r="E886" s="15" t="str">
        <f>"513.61"</f>
        <v>513.61</v>
      </c>
      <c r="F886" s="15"/>
      <c r="G886" s="16" t="str">
        <f>"513.61"</f>
        <v>513.61</v>
      </c>
      <c r="H886" s="17">
        <f t="shared" si="13"/>
        <v>505.61</v>
      </c>
      <c r="I886" s="18"/>
      <c r="J886" s="15">
        <v>5</v>
      </c>
      <c r="K886" s="15">
        <v>2016</v>
      </c>
      <c r="L886" s="15"/>
      <c r="M886" s="15"/>
      <c r="N886" s="15"/>
      <c r="O886" s="15"/>
      <c r="P886" s="15"/>
      <c r="Q886" s="15"/>
      <c r="R886" s="15"/>
      <c r="S886" s="15" t="str">
        <f>"542.73"</f>
        <v>542.73</v>
      </c>
      <c r="T886" s="15"/>
      <c r="U886" s="15"/>
      <c r="V886" s="15"/>
      <c r="W886" s="15"/>
      <c r="X886" s="15" t="str">
        <f>"570.95"</f>
        <v>570.95</v>
      </c>
      <c r="Y886" s="15"/>
      <c r="Z886" s="15"/>
      <c r="AA886" s="15"/>
      <c r="AB886" s="15"/>
      <c r="AC886" s="15"/>
      <c r="AD886" s="15"/>
      <c r="AE886" s="15"/>
      <c r="AF886" s="15"/>
      <c r="AG886" s="15"/>
      <c r="AH886" s="15" t="str">
        <f>"484.48"</f>
        <v>484.48</v>
      </c>
      <c r="AI886" s="15"/>
    </row>
    <row r="887" spans="1:35">
      <c r="A887" s="14">
        <v>885</v>
      </c>
      <c r="B887" s="14">
        <v>5387</v>
      </c>
      <c r="C887" s="14" t="s">
        <v>1056</v>
      </c>
      <c r="D887" s="14" t="s">
        <v>291</v>
      </c>
      <c r="E887" s="15" t="str">
        <f>"485.97"</f>
        <v>485.97</v>
      </c>
      <c r="F887" s="15"/>
      <c r="G887" s="16" t="str">
        <f>"513.97"</f>
        <v>513.97</v>
      </c>
      <c r="H887" s="17">
        <f t="shared" si="13"/>
        <v>505.97</v>
      </c>
      <c r="I887" s="18" t="s">
        <v>40</v>
      </c>
      <c r="J887" s="15">
        <v>1</v>
      </c>
      <c r="K887" s="15">
        <v>2016</v>
      </c>
      <c r="L887" s="15" t="str">
        <f>"485.97"</f>
        <v>485.97</v>
      </c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</row>
    <row r="888" spans="1:35">
      <c r="A888" s="14">
        <v>886</v>
      </c>
      <c r="B888" s="14">
        <v>10115</v>
      </c>
      <c r="C888" s="14" t="s">
        <v>1057</v>
      </c>
      <c r="D888" s="14" t="s">
        <v>58</v>
      </c>
      <c r="E888" s="15" t="str">
        <f>"221.13"</f>
        <v>221.13</v>
      </c>
      <c r="F888" s="15"/>
      <c r="G888" s="16" t="str">
        <f>"514.01"</f>
        <v>514.01</v>
      </c>
      <c r="H888" s="17">
        <f t="shared" si="13"/>
        <v>506.01</v>
      </c>
      <c r="I888" s="18"/>
      <c r="J888" s="15">
        <v>3</v>
      </c>
      <c r="K888" s="15">
        <v>2016</v>
      </c>
      <c r="L888" s="15" t="str">
        <f>"221.13"</f>
        <v>221.13</v>
      </c>
      <c r="M888" s="15"/>
      <c r="N888" s="15" t="str">
        <f>"488.45"</f>
        <v>488.45</v>
      </c>
      <c r="O888" s="15"/>
      <c r="P888" s="15"/>
      <c r="Q888" s="15"/>
      <c r="R888" s="15"/>
      <c r="S888" s="15"/>
      <c r="T888" s="15"/>
      <c r="U888" s="15" t="str">
        <f>"539.56"</f>
        <v>539.56</v>
      </c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</row>
    <row r="889" spans="1:35">
      <c r="A889" s="14">
        <v>887</v>
      </c>
      <c r="B889" s="14">
        <v>10888</v>
      </c>
      <c r="C889" s="14" t="s">
        <v>1058</v>
      </c>
      <c r="D889" s="14" t="s">
        <v>51</v>
      </c>
      <c r="E889" s="15" t="str">
        <f>"515.01"</f>
        <v>515.01</v>
      </c>
      <c r="F889" s="15"/>
      <c r="G889" s="16" t="str">
        <f>"515.01"</f>
        <v>515.01</v>
      </c>
      <c r="H889" s="17">
        <f t="shared" si="13"/>
        <v>507.01</v>
      </c>
      <c r="I889" s="18" t="s">
        <v>43</v>
      </c>
      <c r="J889" s="15">
        <v>4</v>
      </c>
      <c r="K889" s="15">
        <v>2016</v>
      </c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 t="str">
        <f>"487.01"</f>
        <v>487.01</v>
      </c>
      <c r="AI889" s="15"/>
    </row>
    <row r="890" spans="1:35">
      <c r="A890" s="14">
        <v>888</v>
      </c>
      <c r="B890" s="14">
        <v>11082</v>
      </c>
      <c r="C890" s="14" t="s">
        <v>1059</v>
      </c>
      <c r="D890" s="14" t="s">
        <v>51</v>
      </c>
      <c r="E890" s="15" t="str">
        <f>"515.32"</f>
        <v>515.32</v>
      </c>
      <c r="F890" s="15"/>
      <c r="G890" s="16" t="str">
        <f>"515.32"</f>
        <v>515.32</v>
      </c>
      <c r="H890" s="17">
        <f t="shared" si="13"/>
        <v>507.32000000000005</v>
      </c>
      <c r="I890" s="18" t="s">
        <v>43</v>
      </c>
      <c r="J890" s="15">
        <v>4</v>
      </c>
      <c r="K890" s="15">
        <v>2016</v>
      </c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 t="str">
        <f>"487.32"</f>
        <v>487.32</v>
      </c>
      <c r="AI890" s="15"/>
    </row>
    <row r="891" spans="1:35">
      <c r="A891" s="14">
        <v>889</v>
      </c>
      <c r="B891" s="14">
        <v>10375</v>
      </c>
      <c r="C891" s="14" t="s">
        <v>1060</v>
      </c>
      <c r="D891" s="14" t="s">
        <v>58</v>
      </c>
      <c r="E891" s="15" t="str">
        <f>"491.10"</f>
        <v>491.10</v>
      </c>
      <c r="F891" s="15"/>
      <c r="G891" s="16" t="str">
        <f>"519.10"</f>
        <v>519.10</v>
      </c>
      <c r="H891" s="17">
        <f t="shared" si="13"/>
        <v>511.1</v>
      </c>
      <c r="I891" s="18" t="s">
        <v>40</v>
      </c>
      <c r="J891" s="15">
        <v>1</v>
      </c>
      <c r="K891" s="15">
        <v>2016</v>
      </c>
      <c r="L891" s="15" t="str">
        <f>"491.10"</f>
        <v>491.10</v>
      </c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</row>
    <row r="892" spans="1:35">
      <c r="A892" s="14">
        <v>890</v>
      </c>
      <c r="B892" s="14">
        <v>10129</v>
      </c>
      <c r="C892" s="14" t="s">
        <v>1061</v>
      </c>
      <c r="D892" s="14" t="s">
        <v>58</v>
      </c>
      <c r="E892" s="15" t="str">
        <f>"324.62"</f>
        <v>324.62</v>
      </c>
      <c r="F892" s="15"/>
      <c r="G892" s="16" t="str">
        <f>"520.20"</f>
        <v>520.20</v>
      </c>
      <c r="H892" s="17">
        <f t="shared" si="13"/>
        <v>512.20000000000005</v>
      </c>
      <c r="I892" s="18" t="s">
        <v>43</v>
      </c>
      <c r="J892" s="15">
        <v>2</v>
      </c>
      <c r="K892" s="15">
        <v>2016</v>
      </c>
      <c r="L892" s="15" t="str">
        <f>"324.62"</f>
        <v>324.62</v>
      </c>
      <c r="M892" s="15"/>
      <c r="N892" s="15"/>
      <c r="O892" s="15"/>
      <c r="P892" s="15"/>
      <c r="Q892" s="15"/>
      <c r="R892" s="15"/>
      <c r="S892" s="15"/>
      <c r="T892" s="15"/>
      <c r="U892" s="15" t="str">
        <f>"492.20"</f>
        <v>492.20</v>
      </c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</row>
    <row r="893" spans="1:35">
      <c r="A893" s="14">
        <v>891</v>
      </c>
      <c r="B893" s="14">
        <v>10587</v>
      </c>
      <c r="C893" s="14" t="s">
        <v>1062</v>
      </c>
      <c r="D893" s="14" t="s">
        <v>51</v>
      </c>
      <c r="E893" s="15" t="str">
        <f>"552.87"</f>
        <v>552.87</v>
      </c>
      <c r="F893" s="15"/>
      <c r="G893" s="16" t="str">
        <f>"522.98"</f>
        <v>522.98</v>
      </c>
      <c r="H893" s="17">
        <f t="shared" si="13"/>
        <v>514.98</v>
      </c>
      <c r="I893" s="18" t="s">
        <v>43</v>
      </c>
      <c r="J893" s="15">
        <v>2</v>
      </c>
      <c r="K893" s="15">
        <v>2016</v>
      </c>
      <c r="L893" s="15" t="str">
        <f>"610.76"</f>
        <v>610.76</v>
      </c>
      <c r="M893" s="15"/>
      <c r="N893" s="15"/>
      <c r="O893" s="15"/>
      <c r="P893" s="15"/>
      <c r="Q893" s="15"/>
      <c r="R893" s="15"/>
      <c r="S893" s="15" t="str">
        <f>"494.98"</f>
        <v>494.98</v>
      </c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</row>
    <row r="894" spans="1:35">
      <c r="A894" s="14">
        <v>892</v>
      </c>
      <c r="B894" s="14">
        <v>10043</v>
      </c>
      <c r="C894" s="14" t="s">
        <v>1063</v>
      </c>
      <c r="D894" s="14" t="s">
        <v>51</v>
      </c>
      <c r="E894" s="15" t="str">
        <f>"373.11"</f>
        <v>373.11</v>
      </c>
      <c r="F894" s="15"/>
      <c r="G894" s="16" t="str">
        <f>"523.89"</f>
        <v>523.89</v>
      </c>
      <c r="H894" s="17">
        <f t="shared" si="13"/>
        <v>515.89</v>
      </c>
      <c r="I894" s="18" t="s">
        <v>43</v>
      </c>
      <c r="J894" s="15">
        <v>2</v>
      </c>
      <c r="K894" s="15">
        <v>2016</v>
      </c>
      <c r="L894" s="15" t="str">
        <f>"373.11"</f>
        <v>373.11</v>
      </c>
      <c r="M894" s="15"/>
      <c r="N894" s="15"/>
      <c r="O894" s="15"/>
      <c r="P894" s="15"/>
      <c r="Q894" s="15"/>
      <c r="R894" s="15"/>
      <c r="S894" s="15" t="str">
        <f>"495.89"</f>
        <v>495.89</v>
      </c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</row>
    <row r="895" spans="1:35">
      <c r="A895" s="14">
        <v>893</v>
      </c>
      <c r="B895" s="14">
        <v>10894</v>
      </c>
      <c r="C895" s="14" t="s">
        <v>1064</v>
      </c>
      <c r="D895" s="14" t="s">
        <v>51</v>
      </c>
      <c r="E895" s="15" t="str">
        <f>"524.76"</f>
        <v>524.76</v>
      </c>
      <c r="F895" s="15"/>
      <c r="G895" s="16" t="str">
        <f>"524.76"</f>
        <v>524.76</v>
      </c>
      <c r="H895" s="17">
        <f t="shared" si="13"/>
        <v>516.76</v>
      </c>
      <c r="I895" s="18"/>
      <c r="J895" s="15">
        <v>5</v>
      </c>
      <c r="K895" s="15">
        <v>2016</v>
      </c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 t="str">
        <f>"551.46"</f>
        <v>551.46</v>
      </c>
      <c r="Y895" s="15"/>
      <c r="Z895" s="15"/>
      <c r="AA895" s="15"/>
      <c r="AB895" s="15"/>
      <c r="AC895" s="15"/>
      <c r="AD895" s="15"/>
      <c r="AE895" s="15"/>
      <c r="AF895" s="15"/>
      <c r="AG895" s="15"/>
      <c r="AH895" s="15" t="str">
        <f>"498.05"</f>
        <v>498.05</v>
      </c>
      <c r="AI895" s="15"/>
    </row>
    <row r="896" spans="1:35">
      <c r="A896" s="14">
        <v>894</v>
      </c>
      <c r="B896" s="14">
        <v>10626</v>
      </c>
      <c r="C896" s="14" t="s">
        <v>1065</v>
      </c>
      <c r="D896" s="14" t="s">
        <v>51</v>
      </c>
      <c r="E896" s="15" t="str">
        <f>"525.29"</f>
        <v>525.29</v>
      </c>
      <c r="F896" s="15"/>
      <c r="G896" s="16" t="str">
        <f>"525.29"</f>
        <v>525.29</v>
      </c>
      <c r="H896" s="17">
        <f t="shared" si="13"/>
        <v>517.29</v>
      </c>
      <c r="I896" s="18"/>
      <c r="J896" s="15">
        <v>3</v>
      </c>
      <c r="K896" s="15">
        <v>2016</v>
      </c>
      <c r="L896" s="15" t="str">
        <f>"622.67"</f>
        <v>622.67</v>
      </c>
      <c r="M896" s="15"/>
      <c r="N896" s="15"/>
      <c r="O896" s="15"/>
      <c r="P896" s="15"/>
      <c r="Q896" s="15"/>
      <c r="R896" s="15"/>
      <c r="S896" s="15" t="str">
        <f>"571.45"</f>
        <v>571.45</v>
      </c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 t="str">
        <f>"479.12"</f>
        <v>479.12</v>
      </c>
      <c r="AI896" s="15"/>
    </row>
    <row r="897" spans="1:35">
      <c r="A897" s="14">
        <v>895</v>
      </c>
      <c r="B897" s="14">
        <v>10582</v>
      </c>
      <c r="C897" s="14" t="s">
        <v>1066</v>
      </c>
      <c r="D897" s="14" t="s">
        <v>51</v>
      </c>
      <c r="E897" s="15" t="str">
        <f>"493.94"</f>
        <v>493.94</v>
      </c>
      <c r="F897" s="15"/>
      <c r="G897" s="16" t="str">
        <f>"525.69"</f>
        <v>525.69</v>
      </c>
      <c r="H897" s="17">
        <f t="shared" si="13"/>
        <v>517.69000000000005</v>
      </c>
      <c r="I897" s="18"/>
      <c r="J897" s="15">
        <v>3</v>
      </c>
      <c r="K897" s="15">
        <v>2016</v>
      </c>
      <c r="L897" s="15" t="str">
        <f>"551.12"</f>
        <v>551.12</v>
      </c>
      <c r="M897" s="15"/>
      <c r="N897" s="15"/>
      <c r="O897" s="15"/>
      <c r="P897" s="15"/>
      <c r="Q897" s="15"/>
      <c r="R897" s="15"/>
      <c r="S897" s="15" t="str">
        <f>"436.75"</f>
        <v>436.75</v>
      </c>
      <c r="T897" s="15" t="str">
        <f>"614.63"</f>
        <v>614.63</v>
      </c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</row>
    <row r="898" spans="1:35">
      <c r="A898" s="14">
        <v>896</v>
      </c>
      <c r="B898" s="14">
        <v>10490</v>
      </c>
      <c r="C898" s="14" t="s">
        <v>1067</v>
      </c>
      <c r="D898" s="14" t="s">
        <v>58</v>
      </c>
      <c r="E898" s="15" t="str">
        <f>"528.99"</f>
        <v>528.99</v>
      </c>
      <c r="F898" s="15"/>
      <c r="G898" s="16" t="str">
        <f>"528.99"</f>
        <v>528.99</v>
      </c>
      <c r="H898" s="17">
        <f t="shared" si="13"/>
        <v>520.99</v>
      </c>
      <c r="I898" s="18"/>
      <c r="J898" s="15">
        <v>5</v>
      </c>
      <c r="K898" s="15">
        <v>2016</v>
      </c>
      <c r="L898" s="15"/>
      <c r="M898" s="15"/>
      <c r="N898" s="15"/>
      <c r="O898" s="15"/>
      <c r="P898" s="15"/>
      <c r="Q898" s="15"/>
      <c r="R898" s="15"/>
      <c r="S898" s="15"/>
      <c r="T898" s="15"/>
      <c r="U898" s="15" t="str">
        <f>"922.26"</f>
        <v>922.26</v>
      </c>
      <c r="V898" s="15"/>
      <c r="W898" s="15"/>
      <c r="X898" s="15"/>
      <c r="Y898" s="15"/>
      <c r="Z898" s="15"/>
      <c r="AA898" s="15" t="str">
        <f>"466.65"</f>
        <v>466.65</v>
      </c>
      <c r="AB898" s="15"/>
      <c r="AC898" s="15" t="str">
        <f>"591.32"</f>
        <v>591.32</v>
      </c>
      <c r="AD898" s="15"/>
      <c r="AE898" s="15"/>
      <c r="AF898" s="15"/>
      <c r="AG898" s="15"/>
      <c r="AH898" s="15"/>
      <c r="AI898" s="15"/>
    </row>
    <row r="899" spans="1:35">
      <c r="A899" s="14">
        <v>897</v>
      </c>
      <c r="B899" s="14">
        <v>10857</v>
      </c>
      <c r="C899" s="14" t="s">
        <v>1068</v>
      </c>
      <c r="D899" s="14" t="s">
        <v>51</v>
      </c>
      <c r="E899" s="15" t="str">
        <f>"529.93"</f>
        <v>529.93</v>
      </c>
      <c r="F899" s="15"/>
      <c r="G899" s="16" t="str">
        <f>"529.93"</f>
        <v>529.93</v>
      </c>
      <c r="H899" s="17">
        <f t="shared" ref="H899:H962" si="14">G899-8</f>
        <v>521.92999999999995</v>
      </c>
      <c r="I899" s="18" t="s">
        <v>43</v>
      </c>
      <c r="J899" s="15">
        <v>4</v>
      </c>
      <c r="K899" s="15">
        <v>2016</v>
      </c>
      <c r="L899" s="15"/>
      <c r="M899" s="15"/>
      <c r="N899" s="15"/>
      <c r="O899" s="15"/>
      <c r="P899" s="15"/>
      <c r="Q899" s="15"/>
      <c r="R899" s="15"/>
      <c r="S899" s="15" t="str">
        <f>"501.93"</f>
        <v>501.93</v>
      </c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</row>
    <row r="900" spans="1:35">
      <c r="A900" s="14">
        <v>898</v>
      </c>
      <c r="B900" s="14">
        <v>6274</v>
      </c>
      <c r="C900" s="14" t="s">
        <v>1069</v>
      </c>
      <c r="D900" s="14" t="s">
        <v>58</v>
      </c>
      <c r="E900" s="15" t="str">
        <f>"310.64"</f>
        <v>310.64</v>
      </c>
      <c r="F900" s="15"/>
      <c r="G900" s="16" t="str">
        <f>"531.20"</f>
        <v>531.20</v>
      </c>
      <c r="H900" s="17">
        <f t="shared" si="14"/>
        <v>523.20000000000005</v>
      </c>
      <c r="I900" s="18" t="s">
        <v>43</v>
      </c>
      <c r="J900" s="15">
        <v>2</v>
      </c>
      <c r="K900" s="15">
        <v>2016</v>
      </c>
      <c r="L900" s="15" t="str">
        <f>"310.64"</f>
        <v>310.64</v>
      </c>
      <c r="M900" s="15"/>
      <c r="N900" s="15"/>
      <c r="O900" s="15"/>
      <c r="P900" s="15"/>
      <c r="Q900" s="15"/>
      <c r="R900" s="15"/>
      <c r="S900" s="15"/>
      <c r="T900" s="15"/>
      <c r="U900" s="15" t="str">
        <f>"503.20"</f>
        <v>503.20</v>
      </c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</row>
    <row r="901" spans="1:35">
      <c r="A901" s="14">
        <v>899</v>
      </c>
      <c r="B901" s="14">
        <v>10885</v>
      </c>
      <c r="C901" s="14" t="s">
        <v>1070</v>
      </c>
      <c r="D901" s="14" t="s">
        <v>51</v>
      </c>
      <c r="E901" s="15" t="str">
        <f>"531.33"</f>
        <v>531.33</v>
      </c>
      <c r="F901" s="15"/>
      <c r="G901" s="16" t="str">
        <f>"531.33"</f>
        <v>531.33</v>
      </c>
      <c r="H901" s="17">
        <f t="shared" si="14"/>
        <v>523.33000000000004</v>
      </c>
      <c r="I901" s="18"/>
      <c r="J901" s="15">
        <v>5</v>
      </c>
      <c r="K901" s="15">
        <v>2016</v>
      </c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 t="str">
        <f>"626.44"</f>
        <v>626.44</v>
      </c>
      <c r="Y901" s="15"/>
      <c r="Z901" s="15"/>
      <c r="AA901" s="15"/>
      <c r="AB901" s="15"/>
      <c r="AC901" s="15"/>
      <c r="AD901" s="15"/>
      <c r="AE901" s="15"/>
      <c r="AF901" s="15"/>
      <c r="AG901" s="15"/>
      <c r="AH901" s="15" t="str">
        <f>"436.22"</f>
        <v>436.22</v>
      </c>
      <c r="AI901" s="15"/>
    </row>
    <row r="902" spans="1:35">
      <c r="A902" s="14">
        <v>900</v>
      </c>
      <c r="B902" s="14">
        <v>10856</v>
      </c>
      <c r="C902" s="14" t="s">
        <v>1071</v>
      </c>
      <c r="D902" s="14" t="s">
        <v>51</v>
      </c>
      <c r="E902" s="15" t="str">
        <f>"532.51"</f>
        <v>532.51</v>
      </c>
      <c r="F902" s="15"/>
      <c r="G902" s="16" t="str">
        <f>"532.51"</f>
        <v>532.51</v>
      </c>
      <c r="H902" s="17">
        <f t="shared" si="14"/>
        <v>524.51</v>
      </c>
      <c r="I902" s="18" t="s">
        <v>43</v>
      </c>
      <c r="J902" s="15">
        <v>4</v>
      </c>
      <c r="K902" s="15">
        <v>2016</v>
      </c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 t="str">
        <f>"504.51"</f>
        <v>504.51</v>
      </c>
      <c r="AI902" s="15"/>
    </row>
    <row r="903" spans="1:35">
      <c r="A903" s="14">
        <v>901</v>
      </c>
      <c r="B903" s="14">
        <v>6862</v>
      </c>
      <c r="C903" s="14" t="s">
        <v>1072</v>
      </c>
      <c r="D903" s="14" t="s">
        <v>58</v>
      </c>
      <c r="E903" s="15" t="str">
        <f>"290.68"</f>
        <v>290.68</v>
      </c>
      <c r="F903" s="15"/>
      <c r="G903" s="16" t="str">
        <f>"532.86"</f>
        <v>532.86</v>
      </c>
      <c r="H903" s="17">
        <f t="shared" si="14"/>
        <v>524.86</v>
      </c>
      <c r="I903" s="18" t="s">
        <v>43</v>
      </c>
      <c r="J903" s="15">
        <v>2</v>
      </c>
      <c r="K903" s="15">
        <v>2016</v>
      </c>
      <c r="L903" s="15" t="str">
        <f>"290.68"</f>
        <v>290.68</v>
      </c>
      <c r="M903" s="15"/>
      <c r="N903" s="15"/>
      <c r="O903" s="15"/>
      <c r="P903" s="15"/>
      <c r="Q903" s="15"/>
      <c r="R903" s="15"/>
      <c r="S903" s="15"/>
      <c r="T903" s="15"/>
      <c r="U903" s="15" t="str">
        <f>"504.86"</f>
        <v>504.86</v>
      </c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</row>
    <row r="904" spans="1:35">
      <c r="A904" s="14">
        <v>902</v>
      </c>
      <c r="B904" s="14">
        <v>10941</v>
      </c>
      <c r="C904" s="14" t="s">
        <v>1073</v>
      </c>
      <c r="D904" s="14" t="s">
        <v>51</v>
      </c>
      <c r="E904" s="15" t="str">
        <f>"533.60"</f>
        <v>533.60</v>
      </c>
      <c r="F904" s="15"/>
      <c r="G904" s="16" t="str">
        <f>"533.60"</f>
        <v>533.60</v>
      </c>
      <c r="H904" s="17">
        <f t="shared" si="14"/>
        <v>525.6</v>
      </c>
      <c r="I904" s="18"/>
      <c r="J904" s="15">
        <v>5</v>
      </c>
      <c r="K904" s="15">
        <v>2016</v>
      </c>
      <c r="L904" s="15"/>
      <c r="M904" s="15"/>
      <c r="N904" s="15"/>
      <c r="O904" s="15"/>
      <c r="P904" s="15"/>
      <c r="Q904" s="15"/>
      <c r="R904" s="15"/>
      <c r="S904" s="15" t="str">
        <f>"573.73"</f>
        <v>573.73</v>
      </c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 t="str">
        <f>"493.47"</f>
        <v>493.47</v>
      </c>
      <c r="AI904" s="15"/>
    </row>
    <row r="905" spans="1:35">
      <c r="A905" s="14">
        <v>903</v>
      </c>
      <c r="B905" s="14">
        <v>10141</v>
      </c>
      <c r="C905" s="14" t="s">
        <v>1074</v>
      </c>
      <c r="D905" s="14" t="s">
        <v>58</v>
      </c>
      <c r="E905" s="15" t="str">
        <f>"407.79"</f>
        <v>407.79</v>
      </c>
      <c r="F905" s="15"/>
      <c r="G905" s="16" t="str">
        <f>"535.88"</f>
        <v>535.88</v>
      </c>
      <c r="H905" s="17">
        <f t="shared" si="14"/>
        <v>527.88</v>
      </c>
      <c r="I905" s="18"/>
      <c r="J905" s="15">
        <v>3</v>
      </c>
      <c r="K905" s="15">
        <v>2016</v>
      </c>
      <c r="L905" s="15" t="str">
        <f>"472.26"</f>
        <v>472.26</v>
      </c>
      <c r="M905" s="15"/>
      <c r="N905" s="15"/>
      <c r="O905" s="15"/>
      <c r="P905" s="15"/>
      <c r="Q905" s="15"/>
      <c r="R905" s="15"/>
      <c r="S905" s="15"/>
      <c r="T905" s="15"/>
      <c r="U905" s="15" t="str">
        <f>"728.44"</f>
        <v>728.44</v>
      </c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 t="str">
        <f>"343.32"</f>
        <v>343.32</v>
      </c>
      <c r="AI905" s="15"/>
    </row>
    <row r="906" spans="1:35">
      <c r="A906" s="14">
        <v>904</v>
      </c>
      <c r="B906" s="14">
        <v>10884</v>
      </c>
      <c r="C906" s="14" t="s">
        <v>1075</v>
      </c>
      <c r="D906" s="14" t="s">
        <v>51</v>
      </c>
      <c r="E906" s="15" t="str">
        <f>"536.30"</f>
        <v>536.30</v>
      </c>
      <c r="F906" s="15"/>
      <c r="G906" s="16" t="str">
        <f>"536.30"</f>
        <v>536.30</v>
      </c>
      <c r="H906" s="17">
        <f t="shared" si="14"/>
        <v>528.29999999999995</v>
      </c>
      <c r="I906" s="18" t="s">
        <v>43</v>
      </c>
      <c r="J906" s="15">
        <v>4</v>
      </c>
      <c r="K906" s="15">
        <v>2016</v>
      </c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 t="str">
        <f>"508.30"</f>
        <v>508.30</v>
      </c>
      <c r="AI906" s="15"/>
    </row>
    <row r="907" spans="1:35">
      <c r="A907" s="14">
        <v>905</v>
      </c>
      <c r="B907" s="14">
        <v>10452</v>
      </c>
      <c r="C907" s="14" t="s">
        <v>1076</v>
      </c>
      <c r="D907" s="14" t="s">
        <v>58</v>
      </c>
      <c r="E907" s="15" t="str">
        <f>"471.91"</f>
        <v>471.91</v>
      </c>
      <c r="F907" s="15"/>
      <c r="G907" s="16" t="str">
        <f>"539.15"</f>
        <v>539.15</v>
      </c>
      <c r="H907" s="17">
        <f t="shared" si="14"/>
        <v>531.15</v>
      </c>
      <c r="I907" s="18"/>
      <c r="J907" s="15">
        <v>3</v>
      </c>
      <c r="K907" s="15">
        <v>2016</v>
      </c>
      <c r="L907" s="15" t="str">
        <f>"553.21"</f>
        <v>553.21</v>
      </c>
      <c r="M907" s="15"/>
      <c r="N907" s="15"/>
      <c r="O907" s="15"/>
      <c r="P907" s="15" t="str">
        <f>"390.61"</f>
        <v>390.61</v>
      </c>
      <c r="Q907" s="15"/>
      <c r="R907" s="15"/>
      <c r="S907" s="15"/>
      <c r="T907" s="15"/>
      <c r="U907" s="15" t="str">
        <f>"687.68"</f>
        <v>687.68</v>
      </c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</row>
    <row r="908" spans="1:35">
      <c r="A908" s="14">
        <v>906</v>
      </c>
      <c r="B908" s="14">
        <v>10435</v>
      </c>
      <c r="C908" s="14" t="s">
        <v>1077</v>
      </c>
      <c r="D908" s="14" t="s">
        <v>58</v>
      </c>
      <c r="E908" s="15" t="str">
        <f>"540.15"</f>
        <v>540.15</v>
      </c>
      <c r="F908" s="15"/>
      <c r="G908" s="16" t="str">
        <f>"540.15"</f>
        <v>540.15</v>
      </c>
      <c r="H908" s="17">
        <f t="shared" si="14"/>
        <v>532.15</v>
      </c>
      <c r="I908" s="18"/>
      <c r="J908" s="15">
        <v>5</v>
      </c>
      <c r="K908" s="15">
        <v>2016</v>
      </c>
      <c r="L908" s="15"/>
      <c r="M908" s="15"/>
      <c r="N908" s="15"/>
      <c r="O908" s="15"/>
      <c r="P908" s="15"/>
      <c r="Q908" s="15"/>
      <c r="R908" s="15"/>
      <c r="S908" s="15"/>
      <c r="T908" s="15"/>
      <c r="U908" s="15" t="str">
        <f>"759.26"</f>
        <v>759.26</v>
      </c>
      <c r="V908" s="15"/>
      <c r="W908" s="15"/>
      <c r="X908" s="15"/>
      <c r="Y908" s="15"/>
      <c r="Z908" s="15"/>
      <c r="AA908" s="15"/>
      <c r="AB908" s="15"/>
      <c r="AC908" s="15" t="str">
        <f>"321.03"</f>
        <v>321.03</v>
      </c>
      <c r="AD908" s="15"/>
      <c r="AE908" s="15"/>
      <c r="AF908" s="15"/>
      <c r="AG908" s="15"/>
      <c r="AH908" s="15"/>
      <c r="AI908" s="15"/>
    </row>
    <row r="909" spans="1:35">
      <c r="A909" s="14">
        <v>907</v>
      </c>
      <c r="B909" s="14">
        <v>10148</v>
      </c>
      <c r="C909" s="14" t="s">
        <v>1078</v>
      </c>
      <c r="D909" s="14" t="s">
        <v>58</v>
      </c>
      <c r="E909" s="15" t="str">
        <f>"541.25"</f>
        <v>541.25</v>
      </c>
      <c r="F909" s="15"/>
      <c r="G909" s="16" t="str">
        <f>"543.57"</f>
        <v>543.57</v>
      </c>
      <c r="H909" s="17">
        <f t="shared" si="14"/>
        <v>535.57000000000005</v>
      </c>
      <c r="I909" s="18"/>
      <c r="J909" s="15">
        <v>3</v>
      </c>
      <c r="K909" s="15">
        <v>2016</v>
      </c>
      <c r="L909" s="15" t="str">
        <f>"660.46"</f>
        <v>660.46</v>
      </c>
      <c r="M909" s="15"/>
      <c r="N909" s="15"/>
      <c r="O909" s="15"/>
      <c r="P909" s="15"/>
      <c r="Q909" s="15"/>
      <c r="R909" s="15"/>
      <c r="S909" s="15"/>
      <c r="T909" s="15"/>
      <c r="U909" s="15" t="str">
        <f>"665.10"</f>
        <v>665.10</v>
      </c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 t="str">
        <f>"422.03"</f>
        <v>422.03</v>
      </c>
      <c r="AI909" s="15"/>
    </row>
    <row r="910" spans="1:35">
      <c r="A910" s="14">
        <v>908</v>
      </c>
      <c r="B910" s="14">
        <v>7055</v>
      </c>
      <c r="C910" s="14" t="s">
        <v>1079</v>
      </c>
      <c r="D910" s="14" t="s">
        <v>343</v>
      </c>
      <c r="E910" s="15" t="str">
        <f>"517.15"</f>
        <v>517.15</v>
      </c>
      <c r="F910" s="15"/>
      <c r="G910" s="16" t="str">
        <f>"545.15"</f>
        <v>545.15</v>
      </c>
      <c r="H910" s="17">
        <f t="shared" si="14"/>
        <v>537.15</v>
      </c>
      <c r="I910" s="18" t="s">
        <v>40</v>
      </c>
      <c r="J910" s="15">
        <v>1</v>
      </c>
      <c r="K910" s="15">
        <v>2016</v>
      </c>
      <c r="L910" s="15" t="str">
        <f>"517.15"</f>
        <v>517.15</v>
      </c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</row>
    <row r="911" spans="1:35">
      <c r="A911" s="14">
        <v>909</v>
      </c>
      <c r="B911" s="14">
        <v>2316</v>
      </c>
      <c r="C911" s="14" t="s">
        <v>1080</v>
      </c>
      <c r="D911" s="14" t="s">
        <v>51</v>
      </c>
      <c r="E911" s="15" t="str">
        <f>"518.01"</f>
        <v>518.01</v>
      </c>
      <c r="F911" s="15"/>
      <c r="G911" s="16" t="str">
        <f>"546.01"</f>
        <v>546.01</v>
      </c>
      <c r="H911" s="17">
        <f t="shared" si="14"/>
        <v>538.01</v>
      </c>
      <c r="I911" s="18" t="s">
        <v>40</v>
      </c>
      <c r="J911" s="15">
        <v>1</v>
      </c>
      <c r="K911" s="15">
        <v>2016</v>
      </c>
      <c r="L911" s="15" t="str">
        <f>"518.01"</f>
        <v>518.01</v>
      </c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</row>
    <row r="912" spans="1:35">
      <c r="A912" s="14">
        <v>910</v>
      </c>
      <c r="B912" s="14">
        <v>10502</v>
      </c>
      <c r="C912" s="14" t="s">
        <v>1081</v>
      </c>
      <c r="D912" s="14" t="s">
        <v>58</v>
      </c>
      <c r="E912" s="15" t="str">
        <f>"547.72"</f>
        <v>547.72</v>
      </c>
      <c r="F912" s="15"/>
      <c r="G912" s="16" t="str">
        <f>"547.72"</f>
        <v>547.72</v>
      </c>
      <c r="H912" s="17">
        <f t="shared" si="14"/>
        <v>539.72</v>
      </c>
      <c r="I912" s="18" t="s">
        <v>43</v>
      </c>
      <c r="J912" s="15">
        <v>4</v>
      </c>
      <c r="K912" s="15">
        <v>2016</v>
      </c>
      <c r="L912" s="15"/>
      <c r="M912" s="15"/>
      <c r="N912" s="15"/>
      <c r="O912" s="15"/>
      <c r="P912" s="15"/>
      <c r="Q912" s="15"/>
      <c r="R912" s="15"/>
      <c r="S912" s="15"/>
      <c r="T912" s="15"/>
      <c r="U912" s="15" t="str">
        <f>"519.72"</f>
        <v>519.72</v>
      </c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</row>
    <row r="913" spans="1:35">
      <c r="A913" s="14">
        <v>911</v>
      </c>
      <c r="B913" s="14">
        <v>10076</v>
      </c>
      <c r="C913" s="14" t="s">
        <v>1082</v>
      </c>
      <c r="D913" s="14" t="s">
        <v>51</v>
      </c>
      <c r="E913" s="15" t="str">
        <f>"456.56"</f>
        <v>456.56</v>
      </c>
      <c r="F913" s="15"/>
      <c r="G913" s="16" t="str">
        <f>"548.52"</f>
        <v>548.52</v>
      </c>
      <c r="H913" s="17">
        <f t="shared" si="14"/>
        <v>540.52</v>
      </c>
      <c r="I913" s="18"/>
      <c r="J913" s="15">
        <v>3</v>
      </c>
      <c r="K913" s="15">
        <v>2016</v>
      </c>
      <c r="L913" s="15" t="str">
        <f>"466.62"</f>
        <v>466.62</v>
      </c>
      <c r="M913" s="15"/>
      <c r="N913" s="15"/>
      <c r="O913" s="15"/>
      <c r="P913" s="15"/>
      <c r="Q913" s="15"/>
      <c r="R913" s="15"/>
      <c r="S913" s="15" t="str">
        <f>"650.54"</f>
        <v>650.54</v>
      </c>
      <c r="T913" s="15"/>
      <c r="U913" s="15"/>
      <c r="V913" s="15"/>
      <c r="W913" s="15"/>
      <c r="X913" s="15" t="str">
        <f>"446.50"</f>
        <v>446.50</v>
      </c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</row>
    <row r="914" spans="1:35">
      <c r="A914" s="14">
        <v>912</v>
      </c>
      <c r="B914" s="14">
        <v>10598</v>
      </c>
      <c r="C914" s="14" t="s">
        <v>1083</v>
      </c>
      <c r="D914" s="14" t="s">
        <v>51</v>
      </c>
      <c r="E914" s="15" t="str">
        <f>"519.22"</f>
        <v>519.22</v>
      </c>
      <c r="F914" s="15"/>
      <c r="G914" s="16" t="str">
        <f>"550.14"</f>
        <v>550.14</v>
      </c>
      <c r="H914" s="17">
        <f t="shared" si="14"/>
        <v>542.14</v>
      </c>
      <c r="I914" s="18"/>
      <c r="J914" s="15">
        <v>3</v>
      </c>
      <c r="K914" s="15">
        <v>2016</v>
      </c>
      <c r="L914" s="15" t="str">
        <f>"570.01"</f>
        <v>570.01</v>
      </c>
      <c r="M914" s="15"/>
      <c r="N914" s="15"/>
      <c r="O914" s="15"/>
      <c r="P914" s="15"/>
      <c r="Q914" s="15"/>
      <c r="R914" s="15"/>
      <c r="S914" s="15" t="str">
        <f>"468.43"</f>
        <v>468.43</v>
      </c>
      <c r="T914" s="15"/>
      <c r="U914" s="15"/>
      <c r="V914" s="15"/>
      <c r="W914" s="15"/>
      <c r="X914" s="15" t="str">
        <f>"631.85"</f>
        <v>631.85</v>
      </c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</row>
    <row r="915" spans="1:35">
      <c r="A915" s="14">
        <v>913</v>
      </c>
      <c r="B915" s="14">
        <v>11018</v>
      </c>
      <c r="C915" s="14" t="s">
        <v>1084</v>
      </c>
      <c r="D915" s="14" t="s">
        <v>45</v>
      </c>
      <c r="E915" s="15" t="str">
        <f>"550.23"</f>
        <v>550.23</v>
      </c>
      <c r="F915" s="15"/>
      <c r="G915" s="16" t="str">
        <f>"550.23"</f>
        <v>550.23</v>
      </c>
      <c r="H915" s="17">
        <f t="shared" si="14"/>
        <v>542.23</v>
      </c>
      <c r="I915" s="18" t="s">
        <v>43</v>
      </c>
      <c r="J915" s="15">
        <v>4</v>
      </c>
      <c r="K915" s="15">
        <v>2016</v>
      </c>
      <c r="L915" s="15"/>
      <c r="M915" s="15" t="str">
        <f>"522.23"</f>
        <v>522.23</v>
      </c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</row>
    <row r="916" spans="1:35">
      <c r="A916" s="14">
        <v>914</v>
      </c>
      <c r="B916" s="14">
        <v>10724</v>
      </c>
      <c r="C916" s="14" t="s">
        <v>1085</v>
      </c>
      <c r="D916" s="14" t="s">
        <v>58</v>
      </c>
      <c r="E916" s="15" t="str">
        <f>"550.45"</f>
        <v>550.45</v>
      </c>
      <c r="F916" s="15"/>
      <c r="G916" s="16" t="str">
        <f>"550.45"</f>
        <v>550.45</v>
      </c>
      <c r="H916" s="17">
        <f t="shared" si="14"/>
        <v>542.45000000000005</v>
      </c>
      <c r="I916" s="18"/>
      <c r="J916" s="15">
        <v>5</v>
      </c>
      <c r="K916" s="15">
        <v>2016</v>
      </c>
      <c r="L916" s="15"/>
      <c r="M916" s="15"/>
      <c r="N916" s="15"/>
      <c r="O916" s="15"/>
      <c r="P916" s="15" t="str">
        <f>"428.07"</f>
        <v>428.07</v>
      </c>
      <c r="Q916" s="15"/>
      <c r="R916" s="15"/>
      <c r="S916" s="15"/>
      <c r="T916" s="15"/>
      <c r="U916" s="15" t="str">
        <f>"672.82"</f>
        <v>672.82</v>
      </c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</row>
    <row r="917" spans="1:35">
      <c r="A917" s="14">
        <v>915</v>
      </c>
      <c r="B917" s="14">
        <v>11062</v>
      </c>
      <c r="C917" s="14" t="s">
        <v>1086</v>
      </c>
      <c r="D917" s="14" t="s">
        <v>158</v>
      </c>
      <c r="E917" s="15" t="str">
        <f>"550.96"</f>
        <v>550.96</v>
      </c>
      <c r="F917" s="15"/>
      <c r="G917" s="16" t="str">
        <f>"550.96"</f>
        <v>550.96</v>
      </c>
      <c r="H917" s="17">
        <f t="shared" si="14"/>
        <v>542.96</v>
      </c>
      <c r="I917" s="18" t="s">
        <v>43</v>
      </c>
      <c r="J917" s="15">
        <v>4</v>
      </c>
      <c r="K917" s="15">
        <v>2016</v>
      </c>
      <c r="L917" s="15"/>
      <c r="M917" s="15" t="str">
        <f>"522.96"</f>
        <v>522.96</v>
      </c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</row>
    <row r="918" spans="1:35">
      <c r="A918" s="14">
        <v>916</v>
      </c>
      <c r="B918" s="14">
        <v>10896</v>
      </c>
      <c r="C918" s="14" t="s">
        <v>1087</v>
      </c>
      <c r="D918" s="14" t="s">
        <v>51</v>
      </c>
      <c r="E918" s="15" t="str">
        <f>"554.12"</f>
        <v>554.12</v>
      </c>
      <c r="F918" s="15"/>
      <c r="G918" s="16" t="str">
        <f>"554.12"</f>
        <v>554.12</v>
      </c>
      <c r="H918" s="17">
        <f t="shared" si="14"/>
        <v>546.12</v>
      </c>
      <c r="I918" s="18" t="s">
        <v>43</v>
      </c>
      <c r="J918" s="15">
        <v>4</v>
      </c>
      <c r="K918" s="15">
        <v>2016</v>
      </c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 t="str">
        <f>"526.12"</f>
        <v>526.12</v>
      </c>
      <c r="AI918" s="15"/>
    </row>
    <row r="919" spans="1:35">
      <c r="A919" s="14">
        <v>917</v>
      </c>
      <c r="B919" s="14">
        <v>10524</v>
      </c>
      <c r="C919" s="14" t="s">
        <v>1088</v>
      </c>
      <c r="D919" s="14" t="s">
        <v>158</v>
      </c>
      <c r="E919" s="15" t="str">
        <f>"594.85"</f>
        <v>594.85</v>
      </c>
      <c r="F919" s="15"/>
      <c r="G919" s="16" t="str">
        <f>"554.59"</f>
        <v>554.59</v>
      </c>
      <c r="H919" s="17">
        <f t="shared" si="14"/>
        <v>546.59</v>
      </c>
      <c r="I919" s="18" t="s">
        <v>43</v>
      </c>
      <c r="J919" s="15">
        <v>2</v>
      </c>
      <c r="K919" s="15">
        <v>2016</v>
      </c>
      <c r="L919" s="15" t="str">
        <f>"663.10"</f>
        <v>663.10</v>
      </c>
      <c r="M919" s="15" t="str">
        <f>"526.59"</f>
        <v>526.59</v>
      </c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</row>
    <row r="920" spans="1:35">
      <c r="A920" s="14">
        <v>918</v>
      </c>
      <c r="B920" s="14">
        <v>10180</v>
      </c>
      <c r="C920" s="14" t="s">
        <v>1089</v>
      </c>
      <c r="D920" s="14" t="s">
        <v>58</v>
      </c>
      <c r="E920" s="15" t="str">
        <f>"555.28"</f>
        <v>555.28</v>
      </c>
      <c r="F920" s="15"/>
      <c r="G920" s="16" t="str">
        <f>"555.28"</f>
        <v>555.28</v>
      </c>
      <c r="H920" s="17">
        <f t="shared" si="14"/>
        <v>547.28</v>
      </c>
      <c r="I920" s="18"/>
      <c r="J920" s="15">
        <v>3</v>
      </c>
      <c r="K920" s="15">
        <v>2016</v>
      </c>
      <c r="L920" s="15" t="str">
        <f>"1357.53"</f>
        <v>1357.53</v>
      </c>
      <c r="M920" s="15"/>
      <c r="N920" s="15"/>
      <c r="O920" s="15"/>
      <c r="P920" s="15"/>
      <c r="Q920" s="15"/>
      <c r="R920" s="15"/>
      <c r="S920" s="15"/>
      <c r="T920" s="15"/>
      <c r="U920" s="15" t="str">
        <f>"745.50"</f>
        <v>745.50</v>
      </c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 t="str">
        <f>"736.79"</f>
        <v>736.79</v>
      </c>
      <c r="AH920" s="15" t="str">
        <f>"373.76"</f>
        <v>373.76</v>
      </c>
      <c r="AI920" s="15"/>
    </row>
    <row r="921" spans="1:35">
      <c r="A921" s="14">
        <v>919</v>
      </c>
      <c r="B921" s="14">
        <v>2157</v>
      </c>
      <c r="C921" s="14" t="s">
        <v>1090</v>
      </c>
      <c r="D921" s="14" t="s">
        <v>721</v>
      </c>
      <c r="E921" s="15" t="str">
        <f>"383.54"</f>
        <v>383.54</v>
      </c>
      <c r="F921" s="15"/>
      <c r="G921" s="16" t="str">
        <f>"556.03"</f>
        <v>556.03</v>
      </c>
      <c r="H921" s="17">
        <f t="shared" si="14"/>
        <v>548.03</v>
      </c>
      <c r="I921" s="18" t="s">
        <v>43</v>
      </c>
      <c r="J921" s="15">
        <v>2</v>
      </c>
      <c r="K921" s="15">
        <v>2016</v>
      </c>
      <c r="L921" s="15" t="str">
        <f>"383.54"</f>
        <v>383.54</v>
      </c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 t="str">
        <f>"528.03"</f>
        <v>528.03</v>
      </c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</row>
    <row r="922" spans="1:35">
      <c r="A922" s="14">
        <v>920</v>
      </c>
      <c r="B922" s="14">
        <v>10160</v>
      </c>
      <c r="C922" s="14" t="s">
        <v>1091</v>
      </c>
      <c r="D922" s="14" t="s">
        <v>58</v>
      </c>
      <c r="E922" s="15" t="str">
        <f>"528.96"</f>
        <v>528.96</v>
      </c>
      <c r="F922" s="15"/>
      <c r="G922" s="16" t="str">
        <f>"556.96"</f>
        <v>556.96</v>
      </c>
      <c r="H922" s="17">
        <f t="shared" si="14"/>
        <v>548.96</v>
      </c>
      <c r="I922" s="18" t="s">
        <v>40</v>
      </c>
      <c r="J922" s="15">
        <v>1</v>
      </c>
      <c r="K922" s="15">
        <v>2016</v>
      </c>
      <c r="L922" s="15" t="str">
        <f>"528.96"</f>
        <v>528.96</v>
      </c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</row>
    <row r="923" spans="1:35">
      <c r="A923" s="14">
        <v>921</v>
      </c>
      <c r="B923" s="14">
        <v>10084</v>
      </c>
      <c r="C923" s="14" t="s">
        <v>1092</v>
      </c>
      <c r="D923" s="14" t="s">
        <v>51</v>
      </c>
      <c r="E923" s="15" t="str">
        <f>"528.99"</f>
        <v>528.99</v>
      </c>
      <c r="F923" s="15"/>
      <c r="G923" s="16" t="str">
        <f>"556.99"</f>
        <v>556.99</v>
      </c>
      <c r="H923" s="17">
        <f t="shared" si="14"/>
        <v>548.99</v>
      </c>
      <c r="I923" s="18" t="s">
        <v>40</v>
      </c>
      <c r="J923" s="15">
        <v>1</v>
      </c>
      <c r="K923" s="15">
        <v>2016</v>
      </c>
      <c r="L923" s="15" t="str">
        <f>"528.99"</f>
        <v>528.99</v>
      </c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</row>
    <row r="924" spans="1:35">
      <c r="A924" s="14">
        <v>922</v>
      </c>
      <c r="B924" s="14">
        <v>8475</v>
      </c>
      <c r="C924" s="14" t="s">
        <v>1093</v>
      </c>
      <c r="D924" s="14" t="s">
        <v>51</v>
      </c>
      <c r="E924" s="15" t="str">
        <f>"530.36"</f>
        <v>530.36</v>
      </c>
      <c r="F924" s="15"/>
      <c r="G924" s="16" t="str">
        <f>"558.36"</f>
        <v>558.36</v>
      </c>
      <c r="H924" s="17">
        <f t="shared" si="14"/>
        <v>550.36</v>
      </c>
      <c r="I924" s="18" t="s">
        <v>40</v>
      </c>
      <c r="J924" s="15">
        <v>1</v>
      </c>
      <c r="K924" s="15">
        <v>2016</v>
      </c>
      <c r="L924" s="15" t="str">
        <f>"530.36"</f>
        <v>530.36</v>
      </c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</row>
    <row r="925" spans="1:35">
      <c r="A925" s="14">
        <v>923</v>
      </c>
      <c r="B925" s="14">
        <v>10849</v>
      </c>
      <c r="C925" s="14" t="s">
        <v>1094</v>
      </c>
      <c r="D925" s="14" t="s">
        <v>51</v>
      </c>
      <c r="E925" s="15" t="str">
        <f>"564.16"</f>
        <v>564.16</v>
      </c>
      <c r="F925" s="15"/>
      <c r="G925" s="16" t="str">
        <f>"564.16"</f>
        <v>564.16</v>
      </c>
      <c r="H925" s="17">
        <f t="shared" si="14"/>
        <v>556.16</v>
      </c>
      <c r="I925" s="18"/>
      <c r="J925" s="15">
        <v>5</v>
      </c>
      <c r="K925" s="15">
        <v>2016</v>
      </c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 t="str">
        <f>"667.96"</f>
        <v>667.96</v>
      </c>
      <c r="Y925" s="15"/>
      <c r="Z925" s="15"/>
      <c r="AA925" s="15"/>
      <c r="AB925" s="15"/>
      <c r="AC925" s="15"/>
      <c r="AD925" s="15"/>
      <c r="AE925" s="15"/>
      <c r="AF925" s="15"/>
      <c r="AG925" s="15"/>
      <c r="AH925" s="15" t="str">
        <f>"460.35"</f>
        <v>460.35</v>
      </c>
      <c r="AI925" s="15"/>
    </row>
    <row r="926" spans="1:35">
      <c r="A926" s="14">
        <v>924</v>
      </c>
      <c r="B926" s="14">
        <v>11061</v>
      </c>
      <c r="C926" s="14" t="s">
        <v>1095</v>
      </c>
      <c r="D926" s="14" t="s">
        <v>158</v>
      </c>
      <c r="E926" s="15" t="str">
        <f>"565.71"</f>
        <v>565.71</v>
      </c>
      <c r="F926" s="15"/>
      <c r="G926" s="16" t="str">
        <f>"565.71"</f>
        <v>565.71</v>
      </c>
      <c r="H926" s="17">
        <f t="shared" si="14"/>
        <v>557.71</v>
      </c>
      <c r="I926" s="18" t="s">
        <v>43</v>
      </c>
      <c r="J926" s="15">
        <v>4</v>
      </c>
      <c r="K926" s="15">
        <v>2016</v>
      </c>
      <c r="L926" s="15"/>
      <c r="M926" s="15" t="str">
        <f>"537.71"</f>
        <v>537.71</v>
      </c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</row>
    <row r="927" spans="1:35">
      <c r="A927" s="14">
        <v>925</v>
      </c>
      <c r="B927" s="14">
        <v>10075</v>
      </c>
      <c r="C927" s="14" t="s">
        <v>1096</v>
      </c>
      <c r="D927" s="14" t="s">
        <v>51</v>
      </c>
      <c r="E927" s="15" t="str">
        <f>"520.36"</f>
        <v>520.36</v>
      </c>
      <c r="F927" s="15"/>
      <c r="G927" s="16" t="str">
        <f>"567.65"</f>
        <v>567.65</v>
      </c>
      <c r="H927" s="17">
        <f t="shared" si="14"/>
        <v>559.65</v>
      </c>
      <c r="I927" s="18" t="s">
        <v>43</v>
      </c>
      <c r="J927" s="15">
        <v>2</v>
      </c>
      <c r="K927" s="15">
        <v>2016</v>
      </c>
      <c r="L927" s="15" t="str">
        <f>"520.36"</f>
        <v>520.36</v>
      </c>
      <c r="M927" s="15"/>
      <c r="N927" s="15"/>
      <c r="O927" s="15"/>
      <c r="P927" s="15"/>
      <c r="Q927" s="15"/>
      <c r="R927" s="15"/>
      <c r="S927" s="15" t="str">
        <f>"539.65"</f>
        <v>539.65</v>
      </c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</row>
    <row r="928" spans="1:35">
      <c r="A928" s="14">
        <v>926</v>
      </c>
      <c r="B928" s="14">
        <v>10764</v>
      </c>
      <c r="C928" s="14" t="s">
        <v>1097</v>
      </c>
      <c r="D928" s="14" t="s">
        <v>58</v>
      </c>
      <c r="E928" s="15" t="str">
        <f>"568.10"</f>
        <v>568.10</v>
      </c>
      <c r="F928" s="15"/>
      <c r="G928" s="16" t="str">
        <f>"568.10"</f>
        <v>568.10</v>
      </c>
      <c r="H928" s="17">
        <f t="shared" si="14"/>
        <v>560.1</v>
      </c>
      <c r="I928" s="18" t="s">
        <v>43</v>
      </c>
      <c r="J928" s="15">
        <v>4</v>
      </c>
      <c r="K928" s="15">
        <v>2016</v>
      </c>
      <c r="L928" s="15"/>
      <c r="M928" s="15"/>
      <c r="N928" s="15"/>
      <c r="O928" s="15"/>
      <c r="P928" s="15"/>
      <c r="Q928" s="15"/>
      <c r="R928" s="15"/>
      <c r="S928" s="15"/>
      <c r="T928" s="15"/>
      <c r="U928" s="15" t="str">
        <f>"540.10"</f>
        <v>540.10</v>
      </c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</row>
    <row r="929" spans="1:35">
      <c r="A929" s="14">
        <v>927</v>
      </c>
      <c r="B929" s="14">
        <v>10871</v>
      </c>
      <c r="C929" s="14" t="s">
        <v>1098</v>
      </c>
      <c r="D929" s="14" t="s">
        <v>51</v>
      </c>
      <c r="E929" s="15" t="str">
        <f>"570.28"</f>
        <v>570.28</v>
      </c>
      <c r="F929" s="15"/>
      <c r="G929" s="16" t="str">
        <f>"570.28"</f>
        <v>570.28</v>
      </c>
      <c r="H929" s="17">
        <f t="shared" si="14"/>
        <v>562.28</v>
      </c>
      <c r="I929" s="18" t="s">
        <v>43</v>
      </c>
      <c r="J929" s="15">
        <v>4</v>
      </c>
      <c r="K929" s="15">
        <v>2016</v>
      </c>
      <c r="L929" s="15"/>
      <c r="M929" s="15"/>
      <c r="N929" s="15"/>
      <c r="O929" s="15"/>
      <c r="P929" s="15"/>
      <c r="Q929" s="15"/>
      <c r="R929" s="15"/>
      <c r="S929" s="15" t="str">
        <f>"542.28"</f>
        <v>542.28</v>
      </c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</row>
    <row r="930" spans="1:35">
      <c r="A930" s="14">
        <v>928</v>
      </c>
      <c r="B930" s="14">
        <v>10425</v>
      </c>
      <c r="C930" s="14" t="s">
        <v>1099</v>
      </c>
      <c r="D930" s="14" t="s">
        <v>58</v>
      </c>
      <c r="E930" s="15" t="str">
        <f>"505.44"</f>
        <v>505.44</v>
      </c>
      <c r="F930" s="15"/>
      <c r="G930" s="16" t="str">
        <f>"570.69"</f>
        <v>570.69</v>
      </c>
      <c r="H930" s="17">
        <f t="shared" si="14"/>
        <v>562.69000000000005</v>
      </c>
      <c r="I930" s="18"/>
      <c r="J930" s="15">
        <v>3</v>
      </c>
      <c r="K930" s="15">
        <v>2016</v>
      </c>
      <c r="L930" s="15" t="str">
        <f>"553.89"</f>
        <v>553.89</v>
      </c>
      <c r="M930" s="15"/>
      <c r="N930" s="15"/>
      <c r="O930" s="15"/>
      <c r="P930" s="15"/>
      <c r="Q930" s="15"/>
      <c r="R930" s="15"/>
      <c r="S930" s="15"/>
      <c r="T930" s="15"/>
      <c r="U930" s="15" t="str">
        <f>"684.38"</f>
        <v>684.38</v>
      </c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 t="str">
        <f>"456.99"</f>
        <v>456.99</v>
      </c>
      <c r="AG930" s="15"/>
      <c r="AH930" s="15"/>
      <c r="AI930" s="15"/>
    </row>
    <row r="931" spans="1:35">
      <c r="A931" s="14">
        <v>929</v>
      </c>
      <c r="B931" s="14">
        <v>10159</v>
      </c>
      <c r="C931" s="14" t="s">
        <v>1100</v>
      </c>
      <c r="D931" s="14" t="s">
        <v>58</v>
      </c>
      <c r="E931" s="15" t="str">
        <f>"542.70"</f>
        <v>542.70</v>
      </c>
      <c r="F931" s="15"/>
      <c r="G931" s="16" t="str">
        <f>"570.70"</f>
        <v>570.70</v>
      </c>
      <c r="H931" s="17">
        <f t="shared" si="14"/>
        <v>562.70000000000005</v>
      </c>
      <c r="I931" s="18" t="s">
        <v>40</v>
      </c>
      <c r="J931" s="15">
        <v>1</v>
      </c>
      <c r="K931" s="15">
        <v>2016</v>
      </c>
      <c r="L931" s="15" t="str">
        <f>"542.70"</f>
        <v>542.70</v>
      </c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</row>
    <row r="932" spans="1:35">
      <c r="A932" s="14">
        <v>930</v>
      </c>
      <c r="B932" s="14">
        <v>10424</v>
      </c>
      <c r="C932" s="14" t="s">
        <v>1101</v>
      </c>
      <c r="D932" s="14" t="s">
        <v>58</v>
      </c>
      <c r="E932" s="15" t="str">
        <f>"547.35"</f>
        <v>547.35</v>
      </c>
      <c r="F932" s="15"/>
      <c r="G932" s="16" t="str">
        <f>"570.76"</f>
        <v>570.76</v>
      </c>
      <c r="H932" s="17">
        <f t="shared" si="14"/>
        <v>562.76</v>
      </c>
      <c r="I932" s="18"/>
      <c r="J932" s="15">
        <v>3</v>
      </c>
      <c r="K932" s="15">
        <v>2016</v>
      </c>
      <c r="L932" s="15" t="str">
        <f>"622.69"</f>
        <v>622.69</v>
      </c>
      <c r="M932" s="15"/>
      <c r="N932" s="15"/>
      <c r="O932" s="15"/>
      <c r="P932" s="15"/>
      <c r="Q932" s="15"/>
      <c r="R932" s="15"/>
      <c r="S932" s="15"/>
      <c r="T932" s="15"/>
      <c r="U932" s="15" t="str">
        <f>"669.50"</f>
        <v>669.50</v>
      </c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 t="str">
        <f>"472.01"</f>
        <v>472.01</v>
      </c>
      <c r="AG932" s="15"/>
      <c r="AH932" s="15"/>
      <c r="AI932" s="15"/>
    </row>
    <row r="933" spans="1:35">
      <c r="A933" s="14">
        <v>931</v>
      </c>
      <c r="B933" s="14">
        <v>10125</v>
      </c>
      <c r="C933" s="14" t="s">
        <v>1102</v>
      </c>
      <c r="D933" s="14" t="s">
        <v>58</v>
      </c>
      <c r="E933" s="15" t="str">
        <f>"473.47"</f>
        <v>473.47</v>
      </c>
      <c r="F933" s="15"/>
      <c r="G933" s="16" t="str">
        <f>"576.00"</f>
        <v>576.00</v>
      </c>
      <c r="H933" s="17">
        <f t="shared" si="14"/>
        <v>568</v>
      </c>
      <c r="I933" s="18"/>
      <c r="J933" s="15">
        <v>3</v>
      </c>
      <c r="K933" s="15">
        <v>2016</v>
      </c>
      <c r="L933" s="15" t="str">
        <f>"620.84"</f>
        <v>620.84</v>
      </c>
      <c r="M933" s="15"/>
      <c r="N933" s="15"/>
      <c r="O933" s="15"/>
      <c r="P933" s="15"/>
      <c r="Q933" s="15"/>
      <c r="R933" s="15"/>
      <c r="S933" s="15"/>
      <c r="T933" s="15"/>
      <c r="U933" s="15" t="str">
        <f>"825.90"</f>
        <v>825.90</v>
      </c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 t="str">
        <f>"326.09"</f>
        <v>326.09</v>
      </c>
      <c r="AG933" s="15"/>
      <c r="AH933" s="15"/>
      <c r="AI933" s="15"/>
    </row>
    <row r="934" spans="1:35">
      <c r="A934" s="14">
        <v>932</v>
      </c>
      <c r="B934" s="14">
        <v>10168</v>
      </c>
      <c r="C934" s="14" t="s">
        <v>1103</v>
      </c>
      <c r="D934" s="14" t="s">
        <v>58</v>
      </c>
      <c r="E934" s="15" t="str">
        <f>"522.09"</f>
        <v>522.09</v>
      </c>
      <c r="F934" s="15"/>
      <c r="G934" s="16" t="str">
        <f>"576.60"</f>
        <v>576.60</v>
      </c>
      <c r="H934" s="17">
        <f t="shared" si="14"/>
        <v>568.6</v>
      </c>
      <c r="I934" s="18"/>
      <c r="J934" s="15">
        <v>3</v>
      </c>
      <c r="K934" s="15">
        <v>2016</v>
      </c>
      <c r="L934" s="15" t="str">
        <f>"624.35"</f>
        <v>624.35</v>
      </c>
      <c r="M934" s="15"/>
      <c r="N934" s="15"/>
      <c r="O934" s="15"/>
      <c r="P934" s="15"/>
      <c r="Q934" s="15"/>
      <c r="R934" s="15"/>
      <c r="S934" s="15"/>
      <c r="T934" s="15"/>
      <c r="U934" s="15" t="str">
        <f>"733.38"</f>
        <v>733.38</v>
      </c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 t="str">
        <f>"419.82"</f>
        <v>419.82</v>
      </c>
      <c r="AI934" s="15"/>
    </row>
    <row r="935" spans="1:35">
      <c r="A935" s="14">
        <v>933</v>
      </c>
      <c r="B935" s="14">
        <v>10811</v>
      </c>
      <c r="C935" s="14" t="s">
        <v>1104</v>
      </c>
      <c r="D935" s="14" t="s">
        <v>58</v>
      </c>
      <c r="E935" s="15" t="str">
        <f>"581.32"</f>
        <v>581.32</v>
      </c>
      <c r="F935" s="15"/>
      <c r="G935" s="16" t="str">
        <f>"581.32"</f>
        <v>581.32</v>
      </c>
      <c r="H935" s="17">
        <f t="shared" si="14"/>
        <v>573.32000000000005</v>
      </c>
      <c r="I935" s="18" t="s">
        <v>43</v>
      </c>
      <c r="J935" s="15">
        <v>4</v>
      </c>
      <c r="K935" s="15">
        <v>2016</v>
      </c>
      <c r="L935" s="15"/>
      <c r="M935" s="15"/>
      <c r="N935" s="15"/>
      <c r="O935" s="15"/>
      <c r="P935" s="15"/>
      <c r="Q935" s="15"/>
      <c r="R935" s="15"/>
      <c r="S935" s="15"/>
      <c r="T935" s="15"/>
      <c r="U935" s="15" t="str">
        <f>"553.32"</f>
        <v>553.32</v>
      </c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</row>
    <row r="936" spans="1:35">
      <c r="A936" s="14">
        <v>934</v>
      </c>
      <c r="B936" s="14">
        <v>10123</v>
      </c>
      <c r="C936" s="14" t="s">
        <v>1105</v>
      </c>
      <c r="D936" s="14" t="s">
        <v>58</v>
      </c>
      <c r="E936" s="15" t="str">
        <f>"415.67"</f>
        <v>415.67</v>
      </c>
      <c r="F936" s="15"/>
      <c r="G936" s="16" t="str">
        <f>"581.66"</f>
        <v>581.66</v>
      </c>
      <c r="H936" s="17">
        <f t="shared" si="14"/>
        <v>573.66</v>
      </c>
      <c r="I936" s="18"/>
      <c r="J936" s="15">
        <v>3</v>
      </c>
      <c r="K936" s="15">
        <v>2016</v>
      </c>
      <c r="L936" s="15" t="str">
        <f>"504.39"</f>
        <v>504.39</v>
      </c>
      <c r="M936" s="15"/>
      <c r="N936" s="15"/>
      <c r="O936" s="15"/>
      <c r="P936" s="15"/>
      <c r="Q936" s="15"/>
      <c r="R936" s="15"/>
      <c r="S936" s="15"/>
      <c r="T936" s="15"/>
      <c r="U936" s="15" t="str">
        <f>"836.36"</f>
        <v>836.36</v>
      </c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 t="str">
        <f>"326.95"</f>
        <v>326.95</v>
      </c>
      <c r="AG936" s="15"/>
      <c r="AH936" s="15"/>
      <c r="AI936" s="15"/>
    </row>
    <row r="937" spans="1:35">
      <c r="A937" s="14">
        <v>935</v>
      </c>
      <c r="B937" s="14">
        <v>10446</v>
      </c>
      <c r="C937" s="14" t="s">
        <v>1106</v>
      </c>
      <c r="D937" s="14" t="s">
        <v>58</v>
      </c>
      <c r="E937" s="15" t="str">
        <f>"583.76"</f>
        <v>583.76</v>
      </c>
      <c r="F937" s="15"/>
      <c r="G937" s="16" t="str">
        <f>"583.76"</f>
        <v>583.76</v>
      </c>
      <c r="H937" s="17">
        <f t="shared" si="14"/>
        <v>575.76</v>
      </c>
      <c r="I937" s="18"/>
      <c r="J937" s="15">
        <v>5</v>
      </c>
      <c r="K937" s="15">
        <v>2016</v>
      </c>
      <c r="L937" s="15"/>
      <c r="M937" s="15"/>
      <c r="N937" s="15"/>
      <c r="O937" s="15"/>
      <c r="P937" s="15" t="str">
        <f>"445.14"</f>
        <v>445.14</v>
      </c>
      <c r="Q937" s="15"/>
      <c r="R937" s="15"/>
      <c r="S937" s="15"/>
      <c r="T937" s="15"/>
      <c r="U937" s="15" t="str">
        <f>"722.38"</f>
        <v>722.38</v>
      </c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</row>
    <row r="938" spans="1:35">
      <c r="A938" s="14">
        <v>936</v>
      </c>
      <c r="B938" s="14">
        <v>10565</v>
      </c>
      <c r="C938" s="14" t="s">
        <v>1107</v>
      </c>
      <c r="D938" s="14" t="s">
        <v>51</v>
      </c>
      <c r="E938" s="15" t="str">
        <f>"586.18"</f>
        <v>586.18</v>
      </c>
      <c r="F938" s="15"/>
      <c r="G938" s="16" t="str">
        <f>"586.18"</f>
        <v>586.18</v>
      </c>
      <c r="H938" s="17">
        <f t="shared" si="14"/>
        <v>578.17999999999995</v>
      </c>
      <c r="I938" s="18"/>
      <c r="J938" s="15">
        <v>3</v>
      </c>
      <c r="K938" s="15">
        <v>2016</v>
      </c>
      <c r="L938" s="15" t="str">
        <f>"601.67"</f>
        <v>601.67</v>
      </c>
      <c r="M938" s="15"/>
      <c r="N938" s="15"/>
      <c r="O938" s="15"/>
      <c r="P938" s="15"/>
      <c r="Q938" s="15"/>
      <c r="R938" s="15"/>
      <c r="S938" s="15" t="str">
        <f>"577.26"</f>
        <v>577.26</v>
      </c>
      <c r="T938" s="15"/>
      <c r="U938" s="15"/>
      <c r="V938" s="15"/>
      <c r="W938" s="15"/>
      <c r="X938" s="15" t="str">
        <f>"595.09"</f>
        <v>595.09</v>
      </c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</row>
    <row r="939" spans="1:35">
      <c r="A939" s="14">
        <v>937</v>
      </c>
      <c r="B939" s="14">
        <v>10882</v>
      </c>
      <c r="C939" s="14" t="s">
        <v>1108</v>
      </c>
      <c r="D939" s="14" t="s">
        <v>51</v>
      </c>
      <c r="E939" s="15" t="str">
        <f>"588.87"</f>
        <v>588.87</v>
      </c>
      <c r="F939" s="15"/>
      <c r="G939" s="16" t="str">
        <f>"588.87"</f>
        <v>588.87</v>
      </c>
      <c r="H939" s="17">
        <f t="shared" si="14"/>
        <v>580.87</v>
      </c>
      <c r="I939" s="18"/>
      <c r="J939" s="15">
        <v>5</v>
      </c>
      <c r="K939" s="15">
        <v>2016</v>
      </c>
      <c r="L939" s="15"/>
      <c r="M939" s="15"/>
      <c r="N939" s="15"/>
      <c r="O939" s="15"/>
      <c r="P939" s="15"/>
      <c r="Q939" s="15"/>
      <c r="R939" s="15"/>
      <c r="S939" s="15" t="str">
        <f>"660.91"</f>
        <v>660.91</v>
      </c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 t="str">
        <f>"516.82"</f>
        <v>516.82</v>
      </c>
      <c r="AI939" s="15"/>
    </row>
    <row r="940" spans="1:35">
      <c r="A940" s="14">
        <v>938</v>
      </c>
      <c r="B940" s="14">
        <v>10451</v>
      </c>
      <c r="C940" s="14" t="s">
        <v>1109</v>
      </c>
      <c r="D940" s="14" t="s">
        <v>58</v>
      </c>
      <c r="E940" s="15" t="str">
        <f>"598.45"</f>
        <v>598.45</v>
      </c>
      <c r="F940" s="15"/>
      <c r="G940" s="16" t="str">
        <f>"590.12"</f>
        <v>590.12</v>
      </c>
      <c r="H940" s="17">
        <f t="shared" si="14"/>
        <v>582.12</v>
      </c>
      <c r="I940" s="18" t="s">
        <v>43</v>
      </c>
      <c r="J940" s="15">
        <v>2</v>
      </c>
      <c r="K940" s="15">
        <v>2016</v>
      </c>
      <c r="L940" s="15" t="str">
        <f>"634.77"</f>
        <v>634.77</v>
      </c>
      <c r="M940" s="15"/>
      <c r="N940" s="15"/>
      <c r="O940" s="15"/>
      <c r="P940" s="15"/>
      <c r="Q940" s="15"/>
      <c r="R940" s="15"/>
      <c r="S940" s="15"/>
      <c r="T940" s="15"/>
      <c r="U940" s="15" t="str">
        <f>"562.12"</f>
        <v>562.12</v>
      </c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</row>
    <row r="941" spans="1:35">
      <c r="A941" s="14">
        <v>939</v>
      </c>
      <c r="B941" s="14">
        <v>10566</v>
      </c>
      <c r="C941" s="14" t="s">
        <v>1110</v>
      </c>
      <c r="D941" s="14" t="s">
        <v>51</v>
      </c>
      <c r="E941" s="15" t="str">
        <f>"562.19"</f>
        <v>562.19</v>
      </c>
      <c r="F941" s="15"/>
      <c r="G941" s="16" t="str">
        <f>"590.19"</f>
        <v>590.19</v>
      </c>
      <c r="H941" s="17">
        <f t="shared" si="14"/>
        <v>582.19000000000005</v>
      </c>
      <c r="I941" s="18" t="s">
        <v>40</v>
      </c>
      <c r="J941" s="15">
        <v>1</v>
      </c>
      <c r="K941" s="15">
        <v>2016</v>
      </c>
      <c r="L941" s="15" t="str">
        <f>"562.19"</f>
        <v>562.19</v>
      </c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</row>
    <row r="942" spans="1:35">
      <c r="A942" s="14">
        <v>940</v>
      </c>
      <c r="B942" s="14">
        <v>10267</v>
      </c>
      <c r="C942" s="14" t="s">
        <v>1111</v>
      </c>
      <c r="D942" s="14" t="s">
        <v>58</v>
      </c>
      <c r="E942" s="15" t="str">
        <f>"439.44"</f>
        <v>439.44</v>
      </c>
      <c r="F942" s="15"/>
      <c r="G942" s="16" t="str">
        <f>"590.34"</f>
        <v>590.34</v>
      </c>
      <c r="H942" s="17">
        <f t="shared" si="14"/>
        <v>582.34</v>
      </c>
      <c r="I942" s="18"/>
      <c r="J942" s="15">
        <v>3</v>
      </c>
      <c r="K942" s="15">
        <v>2016</v>
      </c>
      <c r="L942" s="15" t="str">
        <f>"445.90"</f>
        <v>445.90</v>
      </c>
      <c r="M942" s="15"/>
      <c r="N942" s="15"/>
      <c r="O942" s="15"/>
      <c r="P942" s="15" t="str">
        <f>"432.97"</f>
        <v>432.97</v>
      </c>
      <c r="Q942" s="15"/>
      <c r="R942" s="15"/>
      <c r="S942" s="15"/>
      <c r="T942" s="15"/>
      <c r="U942" s="15" t="str">
        <f>"747.70"</f>
        <v>747.70</v>
      </c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</row>
    <row r="943" spans="1:35">
      <c r="A943" s="14">
        <v>941</v>
      </c>
      <c r="B943" s="14">
        <v>10889</v>
      </c>
      <c r="C943" s="14" t="s">
        <v>1112</v>
      </c>
      <c r="D943" s="14" t="s">
        <v>51</v>
      </c>
      <c r="E943" s="15" t="str">
        <f>"591.03"</f>
        <v>591.03</v>
      </c>
      <c r="F943" s="15"/>
      <c r="G943" s="16" t="str">
        <f>"591.03"</f>
        <v>591.03</v>
      </c>
      <c r="H943" s="17">
        <f t="shared" si="14"/>
        <v>583.03</v>
      </c>
      <c r="I943" s="18" t="s">
        <v>43</v>
      </c>
      <c r="J943" s="15">
        <v>4</v>
      </c>
      <c r="K943" s="15">
        <v>2016</v>
      </c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 t="str">
        <f>"563.03"</f>
        <v>563.03</v>
      </c>
      <c r="AI943" s="15"/>
    </row>
    <row r="944" spans="1:35">
      <c r="A944" s="14">
        <v>942</v>
      </c>
      <c r="B944" s="14">
        <v>10426</v>
      </c>
      <c r="C944" s="14" t="s">
        <v>1113</v>
      </c>
      <c r="D944" s="14" t="s">
        <v>58</v>
      </c>
      <c r="E944" s="15" t="str">
        <f>"432.51"</f>
        <v>432.51</v>
      </c>
      <c r="F944" s="15"/>
      <c r="G944" s="16" t="str">
        <f>"591.09"</f>
        <v>591.09</v>
      </c>
      <c r="H944" s="17">
        <f t="shared" si="14"/>
        <v>583.09</v>
      </c>
      <c r="I944" s="18"/>
      <c r="J944" s="15">
        <v>3</v>
      </c>
      <c r="K944" s="15">
        <v>2016</v>
      </c>
      <c r="L944" s="15" t="str">
        <f>"525.83"</f>
        <v>525.83</v>
      </c>
      <c r="M944" s="15"/>
      <c r="N944" s="15"/>
      <c r="O944" s="15"/>
      <c r="P944" s="15"/>
      <c r="Q944" s="15"/>
      <c r="R944" s="15"/>
      <c r="S944" s="15"/>
      <c r="T944" s="15"/>
      <c r="U944" s="15" t="str">
        <f>"842.98"</f>
        <v>842.98</v>
      </c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 t="str">
        <f>"339.19"</f>
        <v>339.19</v>
      </c>
      <c r="AG944" s="15"/>
      <c r="AH944" s="15"/>
      <c r="AI944" s="15"/>
    </row>
    <row r="945" spans="1:35">
      <c r="A945" s="14">
        <v>943</v>
      </c>
      <c r="B945" s="14">
        <v>2173</v>
      </c>
      <c r="C945" s="14" t="s">
        <v>1114</v>
      </c>
      <c r="D945" s="14" t="s">
        <v>51</v>
      </c>
      <c r="E945" s="15" t="str">
        <f>"386.06"</f>
        <v>386.06</v>
      </c>
      <c r="F945" s="15"/>
      <c r="G945" s="16" t="str">
        <f>"592.03"</f>
        <v>592.03</v>
      </c>
      <c r="H945" s="17">
        <f t="shared" si="14"/>
        <v>584.03</v>
      </c>
      <c r="I945" s="18"/>
      <c r="J945" s="15">
        <v>3</v>
      </c>
      <c r="K945" s="15">
        <v>2016</v>
      </c>
      <c r="L945" s="15" t="str">
        <f>"464.25"</f>
        <v>464.25</v>
      </c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 t="str">
        <f>"876.19"</f>
        <v>876.19</v>
      </c>
      <c r="Y945" s="15"/>
      <c r="Z945" s="15"/>
      <c r="AA945" s="15"/>
      <c r="AB945" s="15"/>
      <c r="AC945" s="15"/>
      <c r="AD945" s="15"/>
      <c r="AE945" s="15" t="str">
        <f>"307.86"</f>
        <v>307.86</v>
      </c>
      <c r="AF945" s="15"/>
      <c r="AG945" s="15"/>
      <c r="AH945" s="15"/>
      <c r="AI945" s="15"/>
    </row>
    <row r="946" spans="1:35">
      <c r="A946" s="14">
        <v>944</v>
      </c>
      <c r="B946" s="14">
        <v>10787</v>
      </c>
      <c r="C946" s="14" t="s">
        <v>1115</v>
      </c>
      <c r="D946" s="14" t="s">
        <v>58</v>
      </c>
      <c r="E946" s="15" t="str">
        <f>"592.92"</f>
        <v>592.92</v>
      </c>
      <c r="F946" s="15"/>
      <c r="G946" s="16" t="str">
        <f>"592.92"</f>
        <v>592.92</v>
      </c>
      <c r="H946" s="17">
        <f t="shared" si="14"/>
        <v>584.91999999999996</v>
      </c>
      <c r="I946" s="18"/>
      <c r="J946" s="15">
        <v>5</v>
      </c>
      <c r="K946" s="15">
        <v>2016</v>
      </c>
      <c r="L946" s="15"/>
      <c r="M946" s="15"/>
      <c r="N946" s="15"/>
      <c r="O946" s="15"/>
      <c r="P946" s="15" t="str">
        <f>"476.14"</f>
        <v>476.14</v>
      </c>
      <c r="Q946" s="15"/>
      <c r="R946" s="15"/>
      <c r="S946" s="15"/>
      <c r="T946" s="15"/>
      <c r="U946" s="15" t="str">
        <f>"709.70"</f>
        <v>709.70</v>
      </c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</row>
    <row r="947" spans="1:35">
      <c r="A947" s="14">
        <v>945</v>
      </c>
      <c r="B947" s="14">
        <v>10865</v>
      </c>
      <c r="C947" s="14" t="s">
        <v>1116</v>
      </c>
      <c r="D947" s="14" t="s">
        <v>51</v>
      </c>
      <c r="E947" s="15" t="str">
        <f>"594.09"</f>
        <v>594.09</v>
      </c>
      <c r="F947" s="15"/>
      <c r="G947" s="16" t="str">
        <f>"594.09"</f>
        <v>594.09</v>
      </c>
      <c r="H947" s="17">
        <f t="shared" si="14"/>
        <v>586.09</v>
      </c>
      <c r="I947" s="18" t="s">
        <v>43</v>
      </c>
      <c r="J947" s="15">
        <v>4</v>
      </c>
      <c r="K947" s="15">
        <v>2016</v>
      </c>
      <c r="L947" s="15"/>
      <c r="M947" s="15"/>
      <c r="N947" s="15"/>
      <c r="O947" s="15"/>
      <c r="P947" s="15"/>
      <c r="Q947" s="15"/>
      <c r="R947" s="15"/>
      <c r="S947" s="15" t="str">
        <f>"566.09"</f>
        <v>566.09</v>
      </c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</row>
    <row r="948" spans="1:35">
      <c r="A948" s="14">
        <v>946</v>
      </c>
      <c r="B948" s="14">
        <v>10961</v>
      </c>
      <c r="C948" s="14" t="s">
        <v>1117</v>
      </c>
      <c r="D948" s="14" t="s">
        <v>184</v>
      </c>
      <c r="E948" s="15" t="str">
        <f>"596.08"</f>
        <v>596.08</v>
      </c>
      <c r="F948" s="15"/>
      <c r="G948" s="16" t="str">
        <f>"596.08"</f>
        <v>596.08</v>
      </c>
      <c r="H948" s="17">
        <f t="shared" si="14"/>
        <v>588.08000000000004</v>
      </c>
      <c r="I948" s="18" t="s">
        <v>43</v>
      </c>
      <c r="J948" s="15">
        <v>4</v>
      </c>
      <c r="K948" s="15">
        <v>2016</v>
      </c>
      <c r="L948" s="15"/>
      <c r="M948" s="15"/>
      <c r="N948" s="15"/>
      <c r="O948" s="15"/>
      <c r="P948" s="15"/>
      <c r="Q948" s="15" t="str">
        <f>"568.08"</f>
        <v>568.08</v>
      </c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</row>
    <row r="949" spans="1:35">
      <c r="A949" s="14">
        <v>947</v>
      </c>
      <c r="B949" s="14">
        <v>10722</v>
      </c>
      <c r="C949" s="14" t="s">
        <v>1118</v>
      </c>
      <c r="D949" s="14" t="s">
        <v>58</v>
      </c>
      <c r="E949" s="15" t="str">
        <f>"597.62"</f>
        <v>597.62</v>
      </c>
      <c r="F949" s="15"/>
      <c r="G949" s="16" t="str">
        <f>"597.62"</f>
        <v>597.62</v>
      </c>
      <c r="H949" s="17">
        <f t="shared" si="14"/>
        <v>589.62</v>
      </c>
      <c r="I949" s="18"/>
      <c r="J949" s="15">
        <v>5</v>
      </c>
      <c r="K949" s="15">
        <v>2016</v>
      </c>
      <c r="L949" s="15"/>
      <c r="M949" s="15"/>
      <c r="N949" s="15"/>
      <c r="O949" s="15"/>
      <c r="P949" s="15"/>
      <c r="Q949" s="15"/>
      <c r="R949" s="15"/>
      <c r="S949" s="15"/>
      <c r="T949" s="15"/>
      <c r="U949" s="15" t="str">
        <f>"892.54"</f>
        <v>892.54</v>
      </c>
      <c r="V949" s="15"/>
      <c r="W949" s="15"/>
      <c r="X949" s="15"/>
      <c r="Y949" s="15"/>
      <c r="Z949" s="15" t="str">
        <f>"302.69"</f>
        <v>302.69</v>
      </c>
      <c r="AA949" s="15"/>
      <c r="AB949" s="15"/>
      <c r="AC949" s="15"/>
      <c r="AD949" s="15"/>
      <c r="AE949" s="15"/>
      <c r="AF949" s="15"/>
      <c r="AG949" s="15"/>
      <c r="AH949" s="15"/>
      <c r="AI949" s="15"/>
    </row>
    <row r="950" spans="1:35">
      <c r="A950" s="14">
        <v>948</v>
      </c>
      <c r="B950" s="14">
        <v>10908</v>
      </c>
      <c r="C950" s="14" t="s">
        <v>1119</v>
      </c>
      <c r="D950" s="14" t="s">
        <v>51</v>
      </c>
      <c r="E950" s="15" t="str">
        <f>"598.91"</f>
        <v>598.91</v>
      </c>
      <c r="F950" s="15"/>
      <c r="G950" s="16" t="str">
        <f>"598.91"</f>
        <v>598.91</v>
      </c>
      <c r="H950" s="17">
        <f t="shared" si="14"/>
        <v>590.91</v>
      </c>
      <c r="I950" s="18" t="s">
        <v>43</v>
      </c>
      <c r="J950" s="15">
        <v>4</v>
      </c>
      <c r="K950" s="15">
        <v>2016</v>
      </c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 t="str">
        <f>"570.91"</f>
        <v>570.91</v>
      </c>
      <c r="AI950" s="15"/>
    </row>
    <row r="951" spans="1:35">
      <c r="A951" s="14">
        <v>949</v>
      </c>
      <c r="B951" s="14">
        <v>10428</v>
      </c>
      <c r="C951" s="14" t="s">
        <v>1120</v>
      </c>
      <c r="D951" s="14" t="s">
        <v>58</v>
      </c>
      <c r="E951" s="15" t="str">
        <f>"571.53"</f>
        <v>571.53</v>
      </c>
      <c r="F951" s="15"/>
      <c r="G951" s="16" t="str">
        <f>"599.53"</f>
        <v>599.53</v>
      </c>
      <c r="H951" s="17">
        <f t="shared" si="14"/>
        <v>591.53</v>
      </c>
      <c r="I951" s="18" t="s">
        <v>40</v>
      </c>
      <c r="J951" s="15">
        <v>1</v>
      </c>
      <c r="K951" s="15">
        <v>2016</v>
      </c>
      <c r="L951" s="15" t="str">
        <f>"571.53"</f>
        <v>571.53</v>
      </c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</row>
    <row r="952" spans="1:35">
      <c r="A952" s="14">
        <v>950</v>
      </c>
      <c r="B952" s="14">
        <v>10390</v>
      </c>
      <c r="C952" s="14" t="s">
        <v>1121</v>
      </c>
      <c r="D952" s="14" t="s">
        <v>58</v>
      </c>
      <c r="E952" s="15" t="str">
        <f>"412.43"</f>
        <v>412.43</v>
      </c>
      <c r="F952" s="15"/>
      <c r="G952" s="16" t="str">
        <f>"602.35"</f>
        <v>602.35</v>
      </c>
      <c r="H952" s="17">
        <f t="shared" si="14"/>
        <v>594.35</v>
      </c>
      <c r="I952" s="18"/>
      <c r="J952" s="15">
        <v>3</v>
      </c>
      <c r="K952" s="15">
        <v>2016</v>
      </c>
      <c r="L952" s="15" t="str">
        <f>"512.14"</f>
        <v>512.14</v>
      </c>
      <c r="M952" s="15"/>
      <c r="N952" s="15"/>
      <c r="O952" s="15"/>
      <c r="P952" s="15"/>
      <c r="Q952" s="15"/>
      <c r="R952" s="15"/>
      <c r="S952" s="15"/>
      <c r="T952" s="15"/>
      <c r="U952" s="15" t="str">
        <f>"891.98"</f>
        <v>891.98</v>
      </c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 t="str">
        <f>"312.71"</f>
        <v>312.71</v>
      </c>
      <c r="AG952" s="15"/>
      <c r="AH952" s="15"/>
      <c r="AI952" s="15"/>
    </row>
    <row r="953" spans="1:35">
      <c r="A953" s="14">
        <v>951</v>
      </c>
      <c r="B953" s="14">
        <v>10803</v>
      </c>
      <c r="C953" s="14" t="s">
        <v>1122</v>
      </c>
      <c r="D953" s="14" t="s">
        <v>58</v>
      </c>
      <c r="E953" s="15" t="str">
        <f>"609.40"</f>
        <v>609.40</v>
      </c>
      <c r="F953" s="15"/>
      <c r="G953" s="16" t="str">
        <f>"609.40"</f>
        <v>609.40</v>
      </c>
      <c r="H953" s="17">
        <f t="shared" si="14"/>
        <v>601.4</v>
      </c>
      <c r="I953" s="18" t="s">
        <v>43</v>
      </c>
      <c r="J953" s="15">
        <v>4</v>
      </c>
      <c r="K953" s="15">
        <v>2016</v>
      </c>
      <c r="L953" s="15"/>
      <c r="M953" s="15"/>
      <c r="N953" s="15"/>
      <c r="O953" s="15"/>
      <c r="P953" s="15"/>
      <c r="Q953" s="15"/>
      <c r="R953" s="15"/>
      <c r="S953" s="15"/>
      <c r="T953" s="15"/>
      <c r="U953" s="15" t="str">
        <f>"581.40"</f>
        <v>581.40</v>
      </c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</row>
    <row r="954" spans="1:35">
      <c r="A954" s="14">
        <v>952</v>
      </c>
      <c r="B954" s="14">
        <v>10648</v>
      </c>
      <c r="C954" s="14" t="s">
        <v>1123</v>
      </c>
      <c r="D954" s="14" t="s">
        <v>51</v>
      </c>
      <c r="E954" s="15" t="str">
        <f>"583.26"</f>
        <v>583.26</v>
      </c>
      <c r="F954" s="15"/>
      <c r="G954" s="16" t="str">
        <f>"611.26"</f>
        <v>611.26</v>
      </c>
      <c r="H954" s="17">
        <f t="shared" si="14"/>
        <v>603.26</v>
      </c>
      <c r="I954" s="18" t="s">
        <v>40</v>
      </c>
      <c r="J954" s="15">
        <v>1</v>
      </c>
      <c r="K954" s="15">
        <v>2016</v>
      </c>
      <c r="L954" s="15" t="str">
        <f>"583.26"</f>
        <v>583.26</v>
      </c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</row>
    <row r="955" spans="1:35">
      <c r="A955" s="14">
        <v>953</v>
      </c>
      <c r="B955" s="14">
        <v>10886</v>
      </c>
      <c r="C955" s="14" t="s">
        <v>1124</v>
      </c>
      <c r="D955" s="14" t="s">
        <v>51</v>
      </c>
      <c r="E955" s="15" t="str">
        <f>"612.95"</f>
        <v>612.95</v>
      </c>
      <c r="F955" s="15"/>
      <c r="G955" s="16" t="str">
        <f>"612.95"</f>
        <v>612.95</v>
      </c>
      <c r="H955" s="17">
        <f t="shared" si="14"/>
        <v>604.95000000000005</v>
      </c>
      <c r="I955" s="18" t="s">
        <v>43</v>
      </c>
      <c r="J955" s="15">
        <v>4</v>
      </c>
      <c r="K955" s="15">
        <v>2016</v>
      </c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 t="str">
        <f>"584.95"</f>
        <v>584.95</v>
      </c>
      <c r="AI955" s="15"/>
    </row>
    <row r="956" spans="1:35">
      <c r="A956" s="14">
        <v>954</v>
      </c>
      <c r="B956" s="14">
        <v>10859</v>
      </c>
      <c r="C956" s="14" t="s">
        <v>1125</v>
      </c>
      <c r="D956" s="14" t="s">
        <v>51</v>
      </c>
      <c r="E956" s="15" t="str">
        <f>"620.52"</f>
        <v>620.52</v>
      </c>
      <c r="F956" s="15"/>
      <c r="G956" s="16" t="str">
        <f>"620.52"</f>
        <v>620.52</v>
      </c>
      <c r="H956" s="17">
        <f t="shared" si="14"/>
        <v>612.52</v>
      </c>
      <c r="I956" s="18" t="s">
        <v>43</v>
      </c>
      <c r="J956" s="15">
        <v>4</v>
      </c>
      <c r="K956" s="15">
        <v>2016</v>
      </c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 t="str">
        <f>"592.52"</f>
        <v>592.52</v>
      </c>
      <c r="AI956" s="15"/>
    </row>
    <row r="957" spans="1:35">
      <c r="A957" s="14">
        <v>955</v>
      </c>
      <c r="B957" s="14">
        <v>10907</v>
      </c>
      <c r="C957" s="14" t="s">
        <v>1126</v>
      </c>
      <c r="D957" s="14" t="s">
        <v>51</v>
      </c>
      <c r="E957" s="15" t="str">
        <f>"622.24"</f>
        <v>622.24</v>
      </c>
      <c r="F957" s="15"/>
      <c r="G957" s="16" t="str">
        <f>"622.24"</f>
        <v>622.24</v>
      </c>
      <c r="H957" s="17">
        <f t="shared" si="14"/>
        <v>614.24</v>
      </c>
      <c r="I957" s="18" t="s">
        <v>43</v>
      </c>
      <c r="J957" s="15">
        <v>4</v>
      </c>
      <c r="K957" s="15">
        <v>2016</v>
      </c>
      <c r="L957" s="15"/>
      <c r="M957" s="15"/>
      <c r="N957" s="15"/>
      <c r="O957" s="15"/>
      <c r="P957" s="15"/>
      <c r="Q957" s="15"/>
      <c r="R957" s="15"/>
      <c r="S957" s="15" t="str">
        <f>"594.24"</f>
        <v>594.24</v>
      </c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</row>
    <row r="958" spans="1:35">
      <c r="A958" s="14">
        <v>956</v>
      </c>
      <c r="B958" s="14">
        <v>10192</v>
      </c>
      <c r="C958" s="14" t="s">
        <v>1127</v>
      </c>
      <c r="D958" s="14" t="s">
        <v>51</v>
      </c>
      <c r="E958" s="15" t="str">
        <f>"596.07"</f>
        <v>596.07</v>
      </c>
      <c r="F958" s="15"/>
      <c r="G958" s="16" t="str">
        <f>"624.07"</f>
        <v>624.07</v>
      </c>
      <c r="H958" s="17">
        <f t="shared" si="14"/>
        <v>616.07000000000005</v>
      </c>
      <c r="I958" s="18" t="s">
        <v>40</v>
      </c>
      <c r="J958" s="15">
        <v>1</v>
      </c>
      <c r="K958" s="15">
        <v>2016</v>
      </c>
      <c r="L958" s="15" t="str">
        <f>"596.07"</f>
        <v>596.07</v>
      </c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</row>
    <row r="959" spans="1:35">
      <c r="A959" s="14">
        <v>957</v>
      </c>
      <c r="B959" s="14">
        <v>10826</v>
      </c>
      <c r="C959" s="14" t="s">
        <v>1128</v>
      </c>
      <c r="D959" s="14" t="s">
        <v>58</v>
      </c>
      <c r="E959" s="15" t="str">
        <f>"625.92"</f>
        <v>625.92</v>
      </c>
      <c r="F959" s="15"/>
      <c r="G959" s="16" t="str">
        <f>"625.92"</f>
        <v>625.92</v>
      </c>
      <c r="H959" s="17">
        <f t="shared" si="14"/>
        <v>617.91999999999996</v>
      </c>
      <c r="I959" s="18" t="s">
        <v>43</v>
      </c>
      <c r="J959" s="15">
        <v>4</v>
      </c>
      <c r="K959" s="15">
        <v>2016</v>
      </c>
      <c r="L959" s="15"/>
      <c r="M959" s="15"/>
      <c r="N959" s="15"/>
      <c r="O959" s="15"/>
      <c r="P959" s="15"/>
      <c r="Q959" s="15"/>
      <c r="R959" s="15"/>
      <c r="S959" s="15"/>
      <c r="T959" s="15"/>
      <c r="U959" s="15" t="str">
        <f>"597.92"</f>
        <v>597.92</v>
      </c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</row>
    <row r="960" spans="1:35">
      <c r="A960" s="14">
        <v>958</v>
      </c>
      <c r="B960" s="14">
        <v>10635</v>
      </c>
      <c r="C960" s="14" t="s">
        <v>1129</v>
      </c>
      <c r="D960" s="14" t="s">
        <v>51</v>
      </c>
      <c r="E960" s="15" t="str">
        <f>"598.39"</f>
        <v>598.39</v>
      </c>
      <c r="F960" s="15"/>
      <c r="G960" s="16" t="str">
        <f>"626.39"</f>
        <v>626.39</v>
      </c>
      <c r="H960" s="17">
        <f t="shared" si="14"/>
        <v>618.39</v>
      </c>
      <c r="I960" s="18" t="s">
        <v>40</v>
      </c>
      <c r="J960" s="15">
        <v>1</v>
      </c>
      <c r="K960" s="15">
        <v>2016</v>
      </c>
      <c r="L960" s="15" t="str">
        <f>"598.39"</f>
        <v>598.39</v>
      </c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</row>
    <row r="961" spans="1:35">
      <c r="A961" s="14">
        <v>959</v>
      </c>
      <c r="B961" s="14">
        <v>10189</v>
      </c>
      <c r="C961" s="14" t="s">
        <v>1130</v>
      </c>
      <c r="D961" s="14" t="s">
        <v>58</v>
      </c>
      <c r="E961" s="15" t="str">
        <f>"600.99"</f>
        <v>600.99</v>
      </c>
      <c r="F961" s="15"/>
      <c r="G961" s="16" t="str">
        <f>"628.99"</f>
        <v>628.99</v>
      </c>
      <c r="H961" s="17">
        <f t="shared" si="14"/>
        <v>620.99</v>
      </c>
      <c r="I961" s="18" t="s">
        <v>40</v>
      </c>
      <c r="J961" s="15">
        <v>1</v>
      </c>
      <c r="K961" s="15">
        <v>2016</v>
      </c>
      <c r="L961" s="15" t="str">
        <f>"600.99"</f>
        <v>600.99</v>
      </c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</row>
    <row r="962" spans="1:35">
      <c r="A962" s="14">
        <v>960</v>
      </c>
      <c r="B962" s="14">
        <v>10402</v>
      </c>
      <c r="C962" s="14" t="s">
        <v>1131</v>
      </c>
      <c r="D962" s="14" t="s">
        <v>58</v>
      </c>
      <c r="E962" s="15" t="str">
        <f>"421.72"</f>
        <v>421.72</v>
      </c>
      <c r="F962" s="15"/>
      <c r="G962" s="16" t="str">
        <f>"630.95"</f>
        <v>630.95</v>
      </c>
      <c r="H962" s="17">
        <f t="shared" si="14"/>
        <v>622.95000000000005</v>
      </c>
      <c r="I962" s="18"/>
      <c r="J962" s="15">
        <v>3</v>
      </c>
      <c r="K962" s="15">
        <v>2016</v>
      </c>
      <c r="L962" s="15" t="str">
        <f>"480.68"</f>
        <v>480.68</v>
      </c>
      <c r="M962" s="15"/>
      <c r="N962" s="15"/>
      <c r="O962" s="15"/>
      <c r="P962" s="15"/>
      <c r="Q962" s="15"/>
      <c r="R962" s="15"/>
      <c r="S962" s="15"/>
      <c r="T962" s="15"/>
      <c r="U962" s="15" t="str">
        <f>"899.14"</f>
        <v>899.14</v>
      </c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 t="str">
        <f>"362.75"</f>
        <v>362.75</v>
      </c>
      <c r="AG962" s="15"/>
      <c r="AH962" s="15"/>
      <c r="AI962" s="15"/>
    </row>
    <row r="963" spans="1:35">
      <c r="A963" s="14">
        <v>961</v>
      </c>
      <c r="B963" s="14">
        <v>10155</v>
      </c>
      <c r="C963" s="14" t="s">
        <v>1132</v>
      </c>
      <c r="D963" s="14" t="s">
        <v>58</v>
      </c>
      <c r="E963" s="15" t="str">
        <f>"610.27"</f>
        <v>610.27</v>
      </c>
      <c r="F963" s="15"/>
      <c r="G963" s="16" t="str">
        <f>"638.27"</f>
        <v>638.27</v>
      </c>
      <c r="H963" s="17">
        <f t="shared" ref="H963:H1026" si="15">G963-8</f>
        <v>630.27</v>
      </c>
      <c r="I963" s="18" t="s">
        <v>40</v>
      </c>
      <c r="J963" s="15">
        <v>1</v>
      </c>
      <c r="K963" s="15">
        <v>2016</v>
      </c>
      <c r="L963" s="15" t="str">
        <f>"610.27"</f>
        <v>610.27</v>
      </c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</row>
    <row r="964" spans="1:35">
      <c r="A964" s="14">
        <v>962</v>
      </c>
      <c r="B964" s="14">
        <v>10958</v>
      </c>
      <c r="C964" s="14" t="s">
        <v>1133</v>
      </c>
      <c r="D964" s="14" t="s">
        <v>750</v>
      </c>
      <c r="E964" s="15" t="str">
        <f>"638.93"</f>
        <v>638.93</v>
      </c>
      <c r="F964" s="15"/>
      <c r="G964" s="16" t="str">
        <f>"638.93"</f>
        <v>638.93</v>
      </c>
      <c r="H964" s="17">
        <f t="shared" si="15"/>
        <v>630.92999999999995</v>
      </c>
      <c r="I964" s="18" t="s">
        <v>43</v>
      </c>
      <c r="J964" s="15">
        <v>4</v>
      </c>
      <c r="K964" s="15">
        <v>2016</v>
      </c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 t="str">
        <f>"610.93"</f>
        <v>610.93</v>
      </c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</row>
    <row r="965" spans="1:35">
      <c r="A965" s="14">
        <v>963</v>
      </c>
      <c r="B965" s="14">
        <v>10771</v>
      </c>
      <c r="C965" s="14" t="s">
        <v>1134</v>
      </c>
      <c r="D965" s="14" t="s">
        <v>58</v>
      </c>
      <c r="E965" s="15" t="str">
        <f>"640.31"</f>
        <v>640.31</v>
      </c>
      <c r="F965" s="15"/>
      <c r="G965" s="16" t="str">
        <f>"640.31"</f>
        <v>640.31</v>
      </c>
      <c r="H965" s="17">
        <f t="shared" si="15"/>
        <v>632.30999999999995</v>
      </c>
      <c r="I965" s="18"/>
      <c r="J965" s="15">
        <v>5</v>
      </c>
      <c r="K965" s="15">
        <v>2016</v>
      </c>
      <c r="L965" s="15"/>
      <c r="M965" s="15"/>
      <c r="N965" s="15"/>
      <c r="O965" s="15"/>
      <c r="P965" s="15"/>
      <c r="Q965" s="15"/>
      <c r="R965" s="15"/>
      <c r="S965" s="15"/>
      <c r="T965" s="15"/>
      <c r="U965" s="15" t="str">
        <f>"859.50"</f>
        <v>859.50</v>
      </c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 t="str">
        <f>"421.12"</f>
        <v>421.12</v>
      </c>
      <c r="AG965" s="15"/>
      <c r="AH965" s="15"/>
      <c r="AI965" s="15"/>
    </row>
    <row r="966" spans="1:35">
      <c r="A966" s="14">
        <v>964</v>
      </c>
      <c r="B966" s="14">
        <v>10439</v>
      </c>
      <c r="C966" s="14" t="s">
        <v>1135</v>
      </c>
      <c r="D966" s="14" t="s">
        <v>58</v>
      </c>
      <c r="E966" s="15" t="str">
        <f>"647.75"</f>
        <v>647.75</v>
      </c>
      <c r="F966" s="15"/>
      <c r="G966" s="16" t="str">
        <f>"647.75"</f>
        <v>647.75</v>
      </c>
      <c r="H966" s="17">
        <f t="shared" si="15"/>
        <v>639.75</v>
      </c>
      <c r="I966" s="18"/>
      <c r="J966" s="15">
        <v>5</v>
      </c>
      <c r="K966" s="15">
        <v>2016</v>
      </c>
      <c r="L966" s="15"/>
      <c r="M966" s="15"/>
      <c r="N966" s="15"/>
      <c r="O966" s="15"/>
      <c r="P966" s="15"/>
      <c r="Q966" s="15"/>
      <c r="R966" s="15"/>
      <c r="S966" s="15"/>
      <c r="T966" s="15"/>
      <c r="U966" s="15" t="str">
        <f>"906.84"</f>
        <v>906.84</v>
      </c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 t="str">
        <f>"388.66"</f>
        <v>388.66</v>
      </c>
      <c r="AG966" s="15"/>
      <c r="AH966" s="15"/>
      <c r="AI966" s="15"/>
    </row>
    <row r="967" spans="1:35">
      <c r="A967" s="14">
        <v>965</v>
      </c>
      <c r="B967" s="14">
        <v>10956</v>
      </c>
      <c r="C967" s="14" t="s">
        <v>1136</v>
      </c>
      <c r="D967" s="14" t="s">
        <v>58</v>
      </c>
      <c r="E967" s="15" t="str">
        <f>"650.24"</f>
        <v>650.24</v>
      </c>
      <c r="F967" s="15"/>
      <c r="G967" s="16" t="str">
        <f>"650.24"</f>
        <v>650.24</v>
      </c>
      <c r="H967" s="17">
        <f t="shared" si="15"/>
        <v>642.24</v>
      </c>
      <c r="I967" s="18"/>
      <c r="J967" s="15">
        <v>5</v>
      </c>
      <c r="K967" s="15">
        <v>2016</v>
      </c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 t="str">
        <f>"1255.57"</f>
        <v>1255.57</v>
      </c>
      <c r="AB967" s="15"/>
      <c r="AC967" s="15" t="str">
        <f>"785.46"</f>
        <v>785.46</v>
      </c>
      <c r="AD967" s="15"/>
      <c r="AE967" s="15"/>
      <c r="AF967" s="15" t="str">
        <f>"515.01"</f>
        <v>515.01</v>
      </c>
      <c r="AG967" s="15"/>
      <c r="AH967" s="15"/>
      <c r="AI967" s="15"/>
    </row>
    <row r="968" spans="1:35">
      <c r="A968" s="14">
        <v>966</v>
      </c>
      <c r="B968" s="14">
        <v>2289</v>
      </c>
      <c r="C968" s="14" t="s">
        <v>1137</v>
      </c>
      <c r="D968" s="14" t="s">
        <v>51</v>
      </c>
      <c r="E968" s="15" t="str">
        <f>"627.98"</f>
        <v>627.98</v>
      </c>
      <c r="F968" s="15"/>
      <c r="G968" s="16" t="str">
        <f>"655.98"</f>
        <v>655.98</v>
      </c>
      <c r="H968" s="17">
        <f t="shared" si="15"/>
        <v>647.98</v>
      </c>
      <c r="I968" s="18" t="s">
        <v>40</v>
      </c>
      <c r="J968" s="15">
        <v>1</v>
      </c>
      <c r="K968" s="15">
        <v>2016</v>
      </c>
      <c r="L968" s="15" t="str">
        <f>"627.98"</f>
        <v>627.98</v>
      </c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</row>
    <row r="969" spans="1:35">
      <c r="A969" s="14">
        <v>967</v>
      </c>
      <c r="B969" s="14">
        <v>10689</v>
      </c>
      <c r="C969" s="14" t="s">
        <v>1138</v>
      </c>
      <c r="D969" s="14" t="s">
        <v>45</v>
      </c>
      <c r="E969" s="15" t="str">
        <f>"635.65"</f>
        <v>635.65</v>
      </c>
      <c r="F969" s="15"/>
      <c r="G969" s="16" t="str">
        <f>"663.65"</f>
        <v>663.65</v>
      </c>
      <c r="H969" s="17">
        <f t="shared" si="15"/>
        <v>655.65</v>
      </c>
      <c r="I969" s="18" t="s">
        <v>40</v>
      </c>
      <c r="J969" s="15">
        <v>1</v>
      </c>
      <c r="K969" s="15">
        <v>2016</v>
      </c>
      <c r="L969" s="15" t="str">
        <f>"635.65"</f>
        <v>635.65</v>
      </c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</row>
    <row r="970" spans="1:35">
      <c r="A970" s="14">
        <v>968</v>
      </c>
      <c r="B970" s="14">
        <v>10790</v>
      </c>
      <c r="C970" s="14" t="s">
        <v>1139</v>
      </c>
      <c r="D970" s="14" t="s">
        <v>58</v>
      </c>
      <c r="E970" s="15" t="str">
        <f>"665.12"</f>
        <v>665.12</v>
      </c>
      <c r="F970" s="15"/>
      <c r="G970" s="16" t="str">
        <f>"665.12"</f>
        <v>665.12</v>
      </c>
      <c r="H970" s="17">
        <f t="shared" si="15"/>
        <v>657.12</v>
      </c>
      <c r="I970" s="18"/>
      <c r="J970" s="15">
        <v>5</v>
      </c>
      <c r="K970" s="15">
        <v>2016</v>
      </c>
      <c r="L970" s="15"/>
      <c r="M970" s="15"/>
      <c r="N970" s="15"/>
      <c r="O970" s="15"/>
      <c r="P970" s="15"/>
      <c r="Q970" s="15"/>
      <c r="R970" s="15"/>
      <c r="S970" s="15"/>
      <c r="T970" s="15"/>
      <c r="U970" s="15" t="str">
        <f>"993.30"</f>
        <v>993.30</v>
      </c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 t="str">
        <f>"336.94"</f>
        <v>336.94</v>
      </c>
      <c r="AH970" s="15"/>
      <c r="AI970" s="15"/>
    </row>
    <row r="971" spans="1:35">
      <c r="A971" s="14">
        <v>969</v>
      </c>
      <c r="B971" s="14">
        <v>10122</v>
      </c>
      <c r="C971" s="14" t="s">
        <v>1140</v>
      </c>
      <c r="D971" s="14" t="s">
        <v>58</v>
      </c>
      <c r="E971" s="15" t="str">
        <f>"552.16"</f>
        <v>552.16</v>
      </c>
      <c r="F971" s="15"/>
      <c r="G971" s="16" t="str">
        <f>"665.15"</f>
        <v>665.15</v>
      </c>
      <c r="H971" s="17">
        <f t="shared" si="15"/>
        <v>657.15</v>
      </c>
      <c r="I971" s="18"/>
      <c r="J971" s="15">
        <v>3</v>
      </c>
      <c r="K971" s="15">
        <v>2016</v>
      </c>
      <c r="L971" s="15" t="str">
        <f>"735.38"</f>
        <v>735.38</v>
      </c>
      <c r="M971" s="15"/>
      <c r="N971" s="15"/>
      <c r="O971" s="15"/>
      <c r="P971" s="15"/>
      <c r="Q971" s="15"/>
      <c r="R971" s="15"/>
      <c r="S971" s="15"/>
      <c r="T971" s="15"/>
      <c r="U971" s="15" t="str">
        <f>"961.36"</f>
        <v>961.36</v>
      </c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 t="str">
        <f>"368.94"</f>
        <v>368.94</v>
      </c>
      <c r="AG971" s="15"/>
      <c r="AH971" s="15"/>
      <c r="AI971" s="15"/>
    </row>
    <row r="972" spans="1:35">
      <c r="A972" s="14">
        <v>970</v>
      </c>
      <c r="B972" s="14">
        <v>10443</v>
      </c>
      <c r="C972" s="14" t="s">
        <v>1141</v>
      </c>
      <c r="D972" s="14" t="s">
        <v>58</v>
      </c>
      <c r="E972" s="15" t="str">
        <f>"576.44"</f>
        <v>576.44</v>
      </c>
      <c r="F972" s="15"/>
      <c r="G972" s="16" t="str">
        <f>"666.12"</f>
        <v>666.12</v>
      </c>
      <c r="H972" s="17">
        <f t="shared" si="15"/>
        <v>658.12</v>
      </c>
      <c r="I972" s="18"/>
      <c r="J972" s="15">
        <v>3</v>
      </c>
      <c r="K972" s="15">
        <v>2016</v>
      </c>
      <c r="L972" s="15" t="str">
        <f>"650.94"</f>
        <v>650.94</v>
      </c>
      <c r="M972" s="15"/>
      <c r="N972" s="15"/>
      <c r="O972" s="15"/>
      <c r="P972" s="15" t="str">
        <f>"501.93"</f>
        <v>501.93</v>
      </c>
      <c r="Q972" s="15"/>
      <c r="R972" s="15"/>
      <c r="S972" s="15"/>
      <c r="T972" s="15"/>
      <c r="U972" s="15" t="str">
        <f>"830.30"</f>
        <v>830.30</v>
      </c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</row>
    <row r="973" spans="1:35">
      <c r="A973" s="14">
        <v>971</v>
      </c>
      <c r="B973" s="14">
        <v>10453</v>
      </c>
      <c r="C973" s="14" t="s">
        <v>1142</v>
      </c>
      <c r="D973" s="14" t="s">
        <v>58</v>
      </c>
      <c r="E973" s="15" t="str">
        <f>"591.74"</f>
        <v>591.74</v>
      </c>
      <c r="F973" s="15"/>
      <c r="G973" s="16" t="str">
        <f>"666.68"</f>
        <v>666.68</v>
      </c>
      <c r="H973" s="17">
        <f t="shared" si="15"/>
        <v>658.68</v>
      </c>
      <c r="I973" s="18" t="s">
        <v>43</v>
      </c>
      <c r="J973" s="15">
        <v>2</v>
      </c>
      <c r="K973" s="15">
        <v>2016</v>
      </c>
      <c r="L973" s="15" t="str">
        <f>"591.74"</f>
        <v>591.74</v>
      </c>
      <c r="M973" s="15"/>
      <c r="N973" s="15"/>
      <c r="O973" s="15"/>
      <c r="P973" s="15"/>
      <c r="Q973" s="15"/>
      <c r="R973" s="15"/>
      <c r="S973" s="15"/>
      <c r="T973" s="15"/>
      <c r="U973" s="15" t="str">
        <f>"638.68"</f>
        <v>638.68</v>
      </c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</row>
    <row r="974" spans="1:35">
      <c r="A974" s="14">
        <v>972</v>
      </c>
      <c r="B974" s="14">
        <v>9986</v>
      </c>
      <c r="C974" s="14" t="s">
        <v>1143</v>
      </c>
      <c r="D974" s="14" t="s">
        <v>119</v>
      </c>
      <c r="E974" s="15" t="str">
        <f>"639.46"</f>
        <v>639.46</v>
      </c>
      <c r="F974" s="15"/>
      <c r="G974" s="16" t="str">
        <f>"667.46"</f>
        <v>667.46</v>
      </c>
      <c r="H974" s="17">
        <f t="shared" si="15"/>
        <v>659.46</v>
      </c>
      <c r="I974" s="18" t="s">
        <v>40</v>
      </c>
      <c r="J974" s="15">
        <v>1</v>
      </c>
      <c r="K974" s="15">
        <v>2016</v>
      </c>
      <c r="L974" s="15" t="str">
        <f>"639.46"</f>
        <v>639.46</v>
      </c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</row>
    <row r="975" spans="1:35">
      <c r="A975" s="14">
        <v>973</v>
      </c>
      <c r="B975" s="14">
        <v>10898</v>
      </c>
      <c r="C975" s="14" t="s">
        <v>1144</v>
      </c>
      <c r="D975" s="14" t="s">
        <v>51</v>
      </c>
      <c r="E975" s="15" t="str">
        <f>"667.84"</f>
        <v>667.84</v>
      </c>
      <c r="F975" s="15"/>
      <c r="G975" s="16" t="str">
        <f>"667.84"</f>
        <v>667.84</v>
      </c>
      <c r="H975" s="17">
        <f t="shared" si="15"/>
        <v>659.84</v>
      </c>
      <c r="I975" s="18"/>
      <c r="J975" s="15">
        <v>5</v>
      </c>
      <c r="K975" s="15">
        <v>2016</v>
      </c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 t="str">
        <f>"669.34"</f>
        <v>669.34</v>
      </c>
      <c r="Y975" s="15"/>
      <c r="Z975" s="15"/>
      <c r="AA975" s="15"/>
      <c r="AB975" s="15"/>
      <c r="AC975" s="15"/>
      <c r="AD975" s="15"/>
      <c r="AE975" s="15"/>
      <c r="AF975" s="15"/>
      <c r="AG975" s="15"/>
      <c r="AH975" s="15" t="str">
        <f>"666.34"</f>
        <v>666.34</v>
      </c>
      <c r="AI975" s="15"/>
    </row>
    <row r="976" spans="1:35">
      <c r="A976" s="14">
        <v>974</v>
      </c>
      <c r="B976" s="14">
        <v>10710</v>
      </c>
      <c r="C976" s="14" t="s">
        <v>1145</v>
      </c>
      <c r="D976" s="14" t="s">
        <v>51</v>
      </c>
      <c r="E976" s="15" t="str">
        <f>"656.71"</f>
        <v>656.71</v>
      </c>
      <c r="F976" s="15"/>
      <c r="G976" s="16" t="str">
        <f>"670.52"</f>
        <v>670.52</v>
      </c>
      <c r="H976" s="17">
        <f t="shared" si="15"/>
        <v>662.52</v>
      </c>
      <c r="I976" s="18" t="s">
        <v>43</v>
      </c>
      <c r="J976" s="15">
        <v>2</v>
      </c>
      <c r="K976" s="15">
        <v>2016</v>
      </c>
      <c r="L976" s="15" t="str">
        <f>"670.89"</f>
        <v>670.89</v>
      </c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 t="str">
        <f>"642.52"</f>
        <v>642.52</v>
      </c>
      <c r="AI976" s="15"/>
    </row>
    <row r="977" spans="1:35">
      <c r="A977" s="14">
        <v>975</v>
      </c>
      <c r="B977" s="14">
        <v>10118</v>
      </c>
      <c r="C977" s="14" t="s">
        <v>1146</v>
      </c>
      <c r="D977" s="14" t="s">
        <v>58</v>
      </c>
      <c r="E977" s="15" t="str">
        <f>"553.56"</f>
        <v>553.56</v>
      </c>
      <c r="F977" s="15"/>
      <c r="G977" s="16" t="str">
        <f>"671.37"</f>
        <v>671.37</v>
      </c>
      <c r="H977" s="17">
        <f t="shared" si="15"/>
        <v>663.37</v>
      </c>
      <c r="I977" s="18"/>
      <c r="J977" s="15">
        <v>3</v>
      </c>
      <c r="K977" s="15">
        <v>2016</v>
      </c>
      <c r="L977" s="15" t="str">
        <f>"732.90"</f>
        <v>732.90</v>
      </c>
      <c r="M977" s="15"/>
      <c r="N977" s="15"/>
      <c r="O977" s="15"/>
      <c r="P977" s="15"/>
      <c r="Q977" s="15"/>
      <c r="R977" s="15"/>
      <c r="S977" s="15"/>
      <c r="T977" s="15"/>
      <c r="U977" s="15" t="str">
        <f>"968.52"</f>
        <v>968.52</v>
      </c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 t="str">
        <f>"374.21"</f>
        <v>374.21</v>
      </c>
      <c r="AG977" s="15"/>
      <c r="AH977" s="15"/>
      <c r="AI977" s="15"/>
    </row>
    <row r="978" spans="1:35">
      <c r="A978" s="14">
        <v>976</v>
      </c>
      <c r="B978" s="14">
        <v>10373</v>
      </c>
      <c r="C978" s="14" t="s">
        <v>1147</v>
      </c>
      <c r="D978" s="14" t="s">
        <v>397</v>
      </c>
      <c r="E978" s="15" t="str">
        <f>"645.66"</f>
        <v>645.66</v>
      </c>
      <c r="F978" s="15"/>
      <c r="G978" s="16" t="str">
        <f>"673.66"</f>
        <v>673.66</v>
      </c>
      <c r="H978" s="17">
        <f t="shared" si="15"/>
        <v>665.66</v>
      </c>
      <c r="I978" s="18" t="s">
        <v>40</v>
      </c>
      <c r="J978" s="15">
        <v>1</v>
      </c>
      <c r="K978" s="15">
        <v>2016</v>
      </c>
      <c r="L978" s="15" t="str">
        <f>"645.66"</f>
        <v>645.66</v>
      </c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</row>
    <row r="979" spans="1:35">
      <c r="A979" s="14">
        <v>977</v>
      </c>
      <c r="B979" s="14">
        <v>10400</v>
      </c>
      <c r="C979" s="14" t="s">
        <v>1148</v>
      </c>
      <c r="D979" s="14" t="s">
        <v>58</v>
      </c>
      <c r="E979" s="15" t="str">
        <f>"674.03"</f>
        <v>674.03</v>
      </c>
      <c r="F979" s="15"/>
      <c r="G979" s="16" t="str">
        <f>"674.03"</f>
        <v>674.03</v>
      </c>
      <c r="H979" s="17">
        <f t="shared" si="15"/>
        <v>666.03</v>
      </c>
      <c r="I979" s="18"/>
      <c r="J979" s="15">
        <v>5</v>
      </c>
      <c r="K979" s="15">
        <v>2016</v>
      </c>
      <c r="L979" s="15"/>
      <c r="M979" s="15"/>
      <c r="N979" s="15"/>
      <c r="O979" s="15"/>
      <c r="P979" s="15"/>
      <c r="Q979" s="15"/>
      <c r="R979" s="15"/>
      <c r="S979" s="15"/>
      <c r="T979" s="15"/>
      <c r="U979" s="15" t="str">
        <f>"1023.04"</f>
        <v>1023.04</v>
      </c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 t="str">
        <f>"325.02"</f>
        <v>325.02</v>
      </c>
      <c r="AG979" s="15"/>
      <c r="AH979" s="15"/>
      <c r="AI979" s="15"/>
    </row>
    <row r="980" spans="1:35">
      <c r="A980" s="14">
        <v>978</v>
      </c>
      <c r="B980" s="14">
        <v>10916</v>
      </c>
      <c r="C980" s="14" t="s">
        <v>1149</v>
      </c>
      <c r="D980" s="14" t="s">
        <v>51</v>
      </c>
      <c r="E980" s="15" t="str">
        <f>"674.62"</f>
        <v>674.62</v>
      </c>
      <c r="F980" s="15"/>
      <c r="G980" s="16" t="str">
        <f>"674.62"</f>
        <v>674.62</v>
      </c>
      <c r="H980" s="17">
        <f t="shared" si="15"/>
        <v>666.62</v>
      </c>
      <c r="I980" s="18" t="s">
        <v>43</v>
      </c>
      <c r="J980" s="15">
        <v>4</v>
      </c>
      <c r="K980" s="15">
        <v>2016</v>
      </c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 t="str">
        <f>"646.62"</f>
        <v>646.62</v>
      </c>
      <c r="AI980" s="15"/>
    </row>
    <row r="981" spans="1:35">
      <c r="A981" s="14">
        <v>979</v>
      </c>
      <c r="B981" s="14">
        <v>10482</v>
      </c>
      <c r="C981" s="14" t="s">
        <v>1150</v>
      </c>
      <c r="D981" s="14" t="s">
        <v>58</v>
      </c>
      <c r="E981" s="15" t="str">
        <f>"530.82"</f>
        <v>530.82</v>
      </c>
      <c r="F981" s="15"/>
      <c r="G981" s="16" t="str">
        <f>"676.04"</f>
        <v>676.04</v>
      </c>
      <c r="H981" s="17">
        <f t="shared" si="15"/>
        <v>668.04</v>
      </c>
      <c r="I981" s="18" t="s">
        <v>43</v>
      </c>
      <c r="J981" s="15">
        <v>2</v>
      </c>
      <c r="K981" s="15">
        <v>2016</v>
      </c>
      <c r="L981" s="15" t="str">
        <f>"530.82"</f>
        <v>530.82</v>
      </c>
      <c r="M981" s="15"/>
      <c r="N981" s="15"/>
      <c r="O981" s="15"/>
      <c r="P981" s="15"/>
      <c r="Q981" s="15"/>
      <c r="R981" s="15"/>
      <c r="S981" s="15"/>
      <c r="T981" s="15"/>
      <c r="U981" s="15" t="str">
        <f>"648.04"</f>
        <v>648.04</v>
      </c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</row>
    <row r="982" spans="1:35">
      <c r="A982" s="14">
        <v>980</v>
      </c>
      <c r="B982" s="14">
        <v>10403</v>
      </c>
      <c r="C982" s="14" t="s">
        <v>1151</v>
      </c>
      <c r="D982" s="14" t="s">
        <v>58</v>
      </c>
      <c r="E982" s="15" t="str">
        <f>"581.10"</f>
        <v>581.10</v>
      </c>
      <c r="F982" s="15"/>
      <c r="G982" s="16" t="str">
        <f>"678.24"</f>
        <v>678.24</v>
      </c>
      <c r="H982" s="17">
        <f t="shared" si="15"/>
        <v>670.24</v>
      </c>
      <c r="I982" s="18" t="s">
        <v>43</v>
      </c>
      <c r="J982" s="15">
        <v>2</v>
      </c>
      <c r="K982" s="15">
        <v>2016</v>
      </c>
      <c r="L982" s="15" t="str">
        <f>"581.10"</f>
        <v>581.10</v>
      </c>
      <c r="M982" s="15"/>
      <c r="N982" s="15"/>
      <c r="O982" s="15"/>
      <c r="P982" s="15"/>
      <c r="Q982" s="15"/>
      <c r="R982" s="15"/>
      <c r="S982" s="15"/>
      <c r="T982" s="15"/>
      <c r="U982" s="15" t="str">
        <f>"650.24"</f>
        <v>650.24</v>
      </c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</row>
    <row r="983" spans="1:35">
      <c r="A983" s="14">
        <v>981</v>
      </c>
      <c r="B983" s="14">
        <v>10840</v>
      </c>
      <c r="C983" s="14" t="s">
        <v>1152</v>
      </c>
      <c r="D983" s="14" t="s">
        <v>51</v>
      </c>
      <c r="E983" s="15" t="str">
        <f>"681.30"</f>
        <v>681.30</v>
      </c>
      <c r="F983" s="15"/>
      <c r="G983" s="16" t="str">
        <f>"681.30"</f>
        <v>681.30</v>
      </c>
      <c r="H983" s="17">
        <f t="shared" si="15"/>
        <v>673.3</v>
      </c>
      <c r="I983" s="18"/>
      <c r="J983" s="15">
        <v>5</v>
      </c>
      <c r="K983" s="15">
        <v>2016</v>
      </c>
      <c r="L983" s="15"/>
      <c r="M983" s="15"/>
      <c r="N983" s="15"/>
      <c r="O983" s="15"/>
      <c r="P983" s="15"/>
      <c r="Q983" s="15"/>
      <c r="R983" s="15"/>
      <c r="S983" s="15" t="str">
        <f>"733.96"</f>
        <v>733.96</v>
      </c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 t="str">
        <f>"628.64"</f>
        <v>628.64</v>
      </c>
      <c r="AI983" s="15"/>
    </row>
    <row r="984" spans="1:35">
      <c r="A984" s="14">
        <v>982</v>
      </c>
      <c r="B984" s="14">
        <v>10628</v>
      </c>
      <c r="C984" s="14" t="s">
        <v>1153</v>
      </c>
      <c r="D984" s="14" t="s">
        <v>51</v>
      </c>
      <c r="E984" s="15" t="str">
        <f>"657.81"</f>
        <v>657.81</v>
      </c>
      <c r="F984" s="15"/>
      <c r="G984" s="16" t="str">
        <f>"685.81"</f>
        <v>685.81</v>
      </c>
      <c r="H984" s="17">
        <f t="shared" si="15"/>
        <v>677.81</v>
      </c>
      <c r="I984" s="18" t="s">
        <v>40</v>
      </c>
      <c r="J984" s="15">
        <v>1</v>
      </c>
      <c r="K984" s="15">
        <v>2016</v>
      </c>
      <c r="L984" s="15" t="str">
        <f>"657.81"</f>
        <v>657.81</v>
      </c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</row>
    <row r="985" spans="1:35">
      <c r="A985" s="14">
        <v>983</v>
      </c>
      <c r="B985" s="14">
        <v>10132</v>
      </c>
      <c r="C985" s="14" t="s">
        <v>1154</v>
      </c>
      <c r="D985" s="14" t="s">
        <v>51</v>
      </c>
      <c r="E985" s="15" t="str">
        <f>"601.30"</f>
        <v>601.30</v>
      </c>
      <c r="F985" s="15"/>
      <c r="G985" s="16" t="str">
        <f>"690.62"</f>
        <v>690.62</v>
      </c>
      <c r="H985" s="17">
        <f t="shared" si="15"/>
        <v>682.62</v>
      </c>
      <c r="I985" s="18" t="s">
        <v>43</v>
      </c>
      <c r="J985" s="15">
        <v>2</v>
      </c>
      <c r="K985" s="15">
        <v>2016</v>
      </c>
      <c r="L985" s="15" t="str">
        <f>"601.30"</f>
        <v>601.30</v>
      </c>
      <c r="M985" s="15"/>
      <c r="N985" s="15"/>
      <c r="O985" s="15"/>
      <c r="P985" s="15"/>
      <c r="Q985" s="15"/>
      <c r="R985" s="15"/>
      <c r="S985" s="15" t="str">
        <f>"662.62"</f>
        <v>662.62</v>
      </c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</row>
    <row r="986" spans="1:35">
      <c r="A986" s="14">
        <v>984</v>
      </c>
      <c r="B986" s="14">
        <v>10194</v>
      </c>
      <c r="C986" s="14" t="s">
        <v>1155</v>
      </c>
      <c r="D986" s="14" t="s">
        <v>58</v>
      </c>
      <c r="E986" s="15" t="str">
        <f>"372.49"</f>
        <v>372.49</v>
      </c>
      <c r="F986" s="15"/>
      <c r="G986" s="16" t="str">
        <f>"690.90"</f>
        <v>690.90</v>
      </c>
      <c r="H986" s="17">
        <f t="shared" si="15"/>
        <v>682.9</v>
      </c>
      <c r="I986" s="18" t="s">
        <v>43</v>
      </c>
      <c r="J986" s="15">
        <v>2</v>
      </c>
      <c r="K986" s="15">
        <v>2016</v>
      </c>
      <c r="L986" s="15" t="str">
        <f>"372.49"</f>
        <v>372.49</v>
      </c>
      <c r="M986" s="15"/>
      <c r="N986" s="15"/>
      <c r="O986" s="15"/>
      <c r="P986" s="15"/>
      <c r="Q986" s="15"/>
      <c r="R986" s="15"/>
      <c r="S986" s="15"/>
      <c r="T986" s="15"/>
      <c r="U986" s="15" t="str">
        <f>"662.90"</f>
        <v>662.90</v>
      </c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</row>
    <row r="987" spans="1:35">
      <c r="A987" s="14">
        <v>985</v>
      </c>
      <c r="B987" s="14">
        <v>10647</v>
      </c>
      <c r="C987" s="14" t="s">
        <v>1156</v>
      </c>
      <c r="D987" s="14" t="s">
        <v>51</v>
      </c>
      <c r="E987" s="15" t="str">
        <f>"664.87"</f>
        <v>664.87</v>
      </c>
      <c r="F987" s="15"/>
      <c r="G987" s="16" t="str">
        <f>"692.87"</f>
        <v>692.87</v>
      </c>
      <c r="H987" s="17">
        <f t="shared" si="15"/>
        <v>684.87</v>
      </c>
      <c r="I987" s="18" t="s">
        <v>40</v>
      </c>
      <c r="J987" s="15">
        <v>1</v>
      </c>
      <c r="K987" s="15">
        <v>2016</v>
      </c>
      <c r="L987" s="15" t="str">
        <f>"664.87"</f>
        <v>664.87</v>
      </c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</row>
    <row r="988" spans="1:35">
      <c r="A988" s="14">
        <v>986</v>
      </c>
      <c r="B988" s="14">
        <v>10459</v>
      </c>
      <c r="C988" s="14" t="s">
        <v>1157</v>
      </c>
      <c r="D988" s="14" t="s">
        <v>58</v>
      </c>
      <c r="E988" s="15" t="str">
        <f>"594.94"</f>
        <v>594.94</v>
      </c>
      <c r="F988" s="15"/>
      <c r="G988" s="16" t="str">
        <f>"693.66"</f>
        <v>693.66</v>
      </c>
      <c r="H988" s="17">
        <f t="shared" si="15"/>
        <v>685.66</v>
      </c>
      <c r="I988" s="18" t="s">
        <v>43</v>
      </c>
      <c r="J988" s="15">
        <v>2</v>
      </c>
      <c r="K988" s="15">
        <v>2016</v>
      </c>
      <c r="L988" s="15" t="str">
        <f>"594.94"</f>
        <v>594.94</v>
      </c>
      <c r="M988" s="15"/>
      <c r="N988" s="15"/>
      <c r="O988" s="15"/>
      <c r="P988" s="15"/>
      <c r="Q988" s="15"/>
      <c r="R988" s="15"/>
      <c r="S988" s="15"/>
      <c r="T988" s="15"/>
      <c r="U988" s="15" t="str">
        <f>"665.66"</f>
        <v>665.66</v>
      </c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</row>
    <row r="989" spans="1:35">
      <c r="A989" s="14">
        <v>987</v>
      </c>
      <c r="B989" s="14">
        <v>10942</v>
      </c>
      <c r="C989" s="14" t="s">
        <v>1158</v>
      </c>
      <c r="D989" s="14" t="s">
        <v>51</v>
      </c>
      <c r="E989" s="15" t="str">
        <f>"695.91"</f>
        <v>695.91</v>
      </c>
      <c r="F989" s="15"/>
      <c r="G989" s="16" t="str">
        <f>"695.91"</f>
        <v>695.91</v>
      </c>
      <c r="H989" s="17">
        <f t="shared" si="15"/>
        <v>687.91</v>
      </c>
      <c r="I989" s="18" t="s">
        <v>43</v>
      </c>
      <c r="J989" s="15">
        <v>4</v>
      </c>
      <c r="K989" s="15">
        <v>2016</v>
      </c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 t="str">
        <f>"667.91"</f>
        <v>667.91</v>
      </c>
      <c r="AI989" s="15"/>
    </row>
    <row r="990" spans="1:35">
      <c r="A990" s="14">
        <v>988</v>
      </c>
      <c r="B990" s="14">
        <v>10613</v>
      </c>
      <c r="C990" s="14" t="s">
        <v>1159</v>
      </c>
      <c r="D990" s="14" t="s">
        <v>51</v>
      </c>
      <c r="E990" s="15" t="str">
        <f>"696.32"</f>
        <v>696.32</v>
      </c>
      <c r="F990" s="15"/>
      <c r="G990" s="16" t="str">
        <f>"696.32"</f>
        <v>696.32</v>
      </c>
      <c r="H990" s="17">
        <f t="shared" si="15"/>
        <v>688.32</v>
      </c>
      <c r="I990" s="18" t="s">
        <v>43</v>
      </c>
      <c r="J990" s="15">
        <v>4</v>
      </c>
      <c r="K990" s="15">
        <v>2016</v>
      </c>
      <c r="L990" s="15"/>
      <c r="M990" s="15"/>
      <c r="N990" s="15"/>
      <c r="O990" s="15"/>
      <c r="P990" s="15"/>
      <c r="Q990" s="15"/>
      <c r="R990" s="15"/>
      <c r="S990" s="15" t="str">
        <f>"668.32"</f>
        <v>668.32</v>
      </c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</row>
    <row r="991" spans="1:35">
      <c r="A991" s="14">
        <v>989</v>
      </c>
      <c r="B991" s="14">
        <v>10855</v>
      </c>
      <c r="C991" s="14" t="s">
        <v>1160</v>
      </c>
      <c r="D991" s="14" t="s">
        <v>51</v>
      </c>
      <c r="E991" s="15" t="str">
        <f>"700.17"</f>
        <v>700.17</v>
      </c>
      <c r="F991" s="15"/>
      <c r="G991" s="16" t="str">
        <f>"700.17"</f>
        <v>700.17</v>
      </c>
      <c r="H991" s="17">
        <f t="shared" si="15"/>
        <v>692.17</v>
      </c>
      <c r="I991" s="18" t="s">
        <v>43</v>
      </c>
      <c r="J991" s="15">
        <v>4</v>
      </c>
      <c r="K991" s="15">
        <v>2016</v>
      </c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 t="str">
        <f>"672.17"</f>
        <v>672.17</v>
      </c>
      <c r="AI991" s="15"/>
    </row>
    <row r="992" spans="1:35">
      <c r="A992" s="14">
        <v>990</v>
      </c>
      <c r="B992" s="14">
        <v>10717</v>
      </c>
      <c r="C992" s="14" t="s">
        <v>1161</v>
      </c>
      <c r="D992" s="14" t="s">
        <v>58</v>
      </c>
      <c r="E992" s="15" t="str">
        <f>"709.32"</f>
        <v>709.32</v>
      </c>
      <c r="F992" s="15"/>
      <c r="G992" s="16" t="str">
        <f>"709.32"</f>
        <v>709.32</v>
      </c>
      <c r="H992" s="17">
        <f t="shared" si="15"/>
        <v>701.32</v>
      </c>
      <c r="I992" s="18"/>
      <c r="J992" s="15">
        <v>5</v>
      </c>
      <c r="K992" s="15">
        <v>2016</v>
      </c>
      <c r="L992" s="15"/>
      <c r="M992" s="15"/>
      <c r="N992" s="15"/>
      <c r="O992" s="15"/>
      <c r="P992" s="15"/>
      <c r="Q992" s="15"/>
      <c r="R992" s="15"/>
      <c r="S992" s="15"/>
      <c r="T992" s="15"/>
      <c r="U992" s="15" t="str">
        <f>"1024.14"</f>
        <v>1024.14</v>
      </c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 t="str">
        <f>"394.50"</f>
        <v>394.50</v>
      </c>
      <c r="AG992" s="15"/>
      <c r="AH992" s="15"/>
      <c r="AI992" s="15"/>
    </row>
    <row r="993" spans="1:35">
      <c r="A993" s="14">
        <v>991</v>
      </c>
      <c r="B993" s="14">
        <v>10842</v>
      </c>
      <c r="C993" s="14" t="s">
        <v>1162</v>
      </c>
      <c r="D993" s="14" t="s">
        <v>51</v>
      </c>
      <c r="E993" s="15" t="str">
        <f>"710.74"</f>
        <v>710.74</v>
      </c>
      <c r="F993" s="15"/>
      <c r="G993" s="16" t="str">
        <f>"710.74"</f>
        <v>710.74</v>
      </c>
      <c r="H993" s="17">
        <f t="shared" si="15"/>
        <v>702.74</v>
      </c>
      <c r="I993" s="18" t="s">
        <v>43</v>
      </c>
      <c r="J993" s="15">
        <v>4</v>
      </c>
      <c r="K993" s="15">
        <v>2016</v>
      </c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 t="str">
        <f>"682.74"</f>
        <v>682.74</v>
      </c>
      <c r="AI993" s="15"/>
    </row>
    <row r="994" spans="1:35">
      <c r="A994" s="14">
        <v>992</v>
      </c>
      <c r="B994" s="14">
        <v>10404</v>
      </c>
      <c r="C994" s="14" t="s">
        <v>1163</v>
      </c>
      <c r="D994" s="14" t="s">
        <v>58</v>
      </c>
      <c r="E994" s="15" t="str">
        <f>"417.99"</f>
        <v>417.99</v>
      </c>
      <c r="F994" s="15"/>
      <c r="G994" s="16" t="str">
        <f>"711.82"</f>
        <v>711.82</v>
      </c>
      <c r="H994" s="17">
        <f t="shared" si="15"/>
        <v>703.82</v>
      </c>
      <c r="I994" s="18" t="s">
        <v>43</v>
      </c>
      <c r="J994" s="15">
        <v>2</v>
      </c>
      <c r="K994" s="15">
        <v>2016</v>
      </c>
      <c r="L994" s="15" t="str">
        <f>"417.99"</f>
        <v>417.99</v>
      </c>
      <c r="M994" s="15"/>
      <c r="N994" s="15"/>
      <c r="O994" s="15"/>
      <c r="P994" s="15"/>
      <c r="Q994" s="15"/>
      <c r="R994" s="15"/>
      <c r="S994" s="15"/>
      <c r="T994" s="15"/>
      <c r="U994" s="15" t="str">
        <f>"683.82"</f>
        <v>683.82</v>
      </c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</row>
    <row r="995" spans="1:35">
      <c r="A995" s="14">
        <v>993</v>
      </c>
      <c r="B995" s="14">
        <v>8454</v>
      </c>
      <c r="C995" s="14" t="s">
        <v>1164</v>
      </c>
      <c r="D995" s="14" t="s">
        <v>51</v>
      </c>
      <c r="E995" s="15" t="str">
        <f>"685.15"</f>
        <v>685.15</v>
      </c>
      <c r="F995" s="15"/>
      <c r="G995" s="16" t="str">
        <f>"713.15"</f>
        <v>713.15</v>
      </c>
      <c r="H995" s="17">
        <f t="shared" si="15"/>
        <v>705.15</v>
      </c>
      <c r="I995" s="18" t="s">
        <v>40</v>
      </c>
      <c r="J995" s="15">
        <v>1</v>
      </c>
      <c r="K995" s="15">
        <v>2016</v>
      </c>
      <c r="L995" s="15" t="str">
        <f>"685.15"</f>
        <v>685.15</v>
      </c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</row>
    <row r="996" spans="1:35">
      <c r="A996" s="14">
        <v>994</v>
      </c>
      <c r="B996" s="14">
        <v>10392</v>
      </c>
      <c r="C996" s="14" t="s">
        <v>1165</v>
      </c>
      <c r="D996" s="14" t="s">
        <v>58</v>
      </c>
      <c r="E996" s="15" t="str">
        <f>"631.08"</f>
        <v>631.08</v>
      </c>
      <c r="F996" s="15"/>
      <c r="G996" s="16" t="str">
        <f>"717.79"</f>
        <v>717.79</v>
      </c>
      <c r="H996" s="17">
        <f t="shared" si="15"/>
        <v>709.79</v>
      </c>
      <c r="I996" s="18"/>
      <c r="J996" s="15">
        <v>3</v>
      </c>
      <c r="K996" s="15">
        <v>2016</v>
      </c>
      <c r="L996" s="15" t="str">
        <f>"867.24"</f>
        <v>867.24</v>
      </c>
      <c r="M996" s="15"/>
      <c r="N996" s="15"/>
      <c r="O996" s="15"/>
      <c r="P996" s="15"/>
      <c r="Q996" s="15"/>
      <c r="R996" s="15"/>
      <c r="S996" s="15"/>
      <c r="T996" s="15"/>
      <c r="U996" s="15" t="str">
        <f>"1040.66"</f>
        <v>1040.66</v>
      </c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 t="str">
        <f>"394.92"</f>
        <v>394.92</v>
      </c>
      <c r="AG996" s="15"/>
      <c r="AH996" s="15"/>
      <c r="AI996" s="15"/>
    </row>
    <row r="997" spans="1:35">
      <c r="A997" s="14">
        <v>995</v>
      </c>
      <c r="B997" s="14">
        <v>10135</v>
      </c>
      <c r="C997" s="14" t="s">
        <v>1166</v>
      </c>
      <c r="D997" s="14" t="s">
        <v>58</v>
      </c>
      <c r="E997" s="15" t="str">
        <f>"306.01"</f>
        <v>306.01</v>
      </c>
      <c r="F997" s="15"/>
      <c r="G997" s="16" t="str">
        <f>"724.90"</f>
        <v>724.90</v>
      </c>
      <c r="H997" s="17">
        <f t="shared" si="15"/>
        <v>716.9</v>
      </c>
      <c r="I997" s="18"/>
      <c r="J997" s="15">
        <v>3</v>
      </c>
      <c r="K997" s="15">
        <v>2016</v>
      </c>
      <c r="L997" s="15" t="str">
        <f>"342.19"</f>
        <v>342.19</v>
      </c>
      <c r="M997" s="15"/>
      <c r="N997" s="15"/>
      <c r="O997" s="15"/>
      <c r="P997" s="15"/>
      <c r="Q997" s="15"/>
      <c r="R997" s="15"/>
      <c r="S997" s="15"/>
      <c r="T997" s="15"/>
      <c r="U997" s="15" t="str">
        <f>"1179.98"</f>
        <v>1179.98</v>
      </c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 t="str">
        <f>"269.82"</f>
        <v>269.82</v>
      </c>
      <c r="AI997" s="15"/>
    </row>
    <row r="998" spans="1:35">
      <c r="A998" s="14">
        <v>996</v>
      </c>
      <c r="B998" s="14">
        <v>10399</v>
      </c>
      <c r="C998" s="14" t="s">
        <v>1167</v>
      </c>
      <c r="D998" s="14" t="s">
        <v>58</v>
      </c>
      <c r="E998" s="15" t="str">
        <f>"480.53"</f>
        <v>480.53</v>
      </c>
      <c r="F998" s="15"/>
      <c r="G998" s="16" t="str">
        <f>"735.44"</f>
        <v>735.44</v>
      </c>
      <c r="H998" s="17">
        <f t="shared" si="15"/>
        <v>727.44</v>
      </c>
      <c r="I998" s="18"/>
      <c r="J998" s="15">
        <v>3</v>
      </c>
      <c r="K998" s="15">
        <v>2016</v>
      </c>
      <c r="L998" s="15" t="str">
        <f>"531.40"</f>
        <v>531.40</v>
      </c>
      <c r="M998" s="15"/>
      <c r="N998" s="15"/>
      <c r="O998" s="15"/>
      <c r="P998" s="15"/>
      <c r="Q998" s="15"/>
      <c r="R998" s="15"/>
      <c r="S998" s="15"/>
      <c r="T998" s="15"/>
      <c r="U998" s="15" t="str">
        <f>"1041.22"</f>
        <v>1041.22</v>
      </c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 t="str">
        <f>"429.66"</f>
        <v>429.66</v>
      </c>
      <c r="AG998" s="15"/>
      <c r="AH998" s="15"/>
      <c r="AI998" s="15"/>
    </row>
    <row r="999" spans="1:35">
      <c r="A999" s="14">
        <v>997</v>
      </c>
      <c r="B999" s="14">
        <v>10770</v>
      </c>
      <c r="C999" s="14" t="s">
        <v>1168</v>
      </c>
      <c r="D999" s="14" t="s">
        <v>58</v>
      </c>
      <c r="E999" s="15" t="str">
        <f>"746.08"</f>
        <v>746.08</v>
      </c>
      <c r="F999" s="15"/>
      <c r="G999" s="16" t="str">
        <f>"746.08"</f>
        <v>746.08</v>
      </c>
      <c r="H999" s="17">
        <f t="shared" si="15"/>
        <v>738.08</v>
      </c>
      <c r="I999" s="18"/>
      <c r="J999" s="15">
        <v>5</v>
      </c>
      <c r="K999" s="15">
        <v>2016</v>
      </c>
      <c r="L999" s="15"/>
      <c r="M999" s="15"/>
      <c r="N999" s="15"/>
      <c r="O999" s="15"/>
      <c r="P999" s="15"/>
      <c r="Q999" s="15"/>
      <c r="R999" s="15"/>
      <c r="S999" s="15"/>
      <c r="T999" s="15"/>
      <c r="U999" s="15" t="str">
        <f>"1143.08"</f>
        <v>1143.08</v>
      </c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 t="str">
        <f>"349.08"</f>
        <v>349.08</v>
      </c>
      <c r="AG999" s="15"/>
      <c r="AH999" s="15"/>
      <c r="AI999" s="15"/>
    </row>
    <row r="1000" spans="1:35">
      <c r="A1000" s="14">
        <v>998</v>
      </c>
      <c r="B1000" s="14">
        <v>10615</v>
      </c>
      <c r="C1000" s="14" t="s">
        <v>1169</v>
      </c>
      <c r="D1000" s="14" t="s">
        <v>51</v>
      </c>
      <c r="E1000" s="15" t="str">
        <f>"747.96"</f>
        <v>747.96</v>
      </c>
      <c r="F1000" s="15"/>
      <c r="G1000" s="16" t="str">
        <f>"747.96"</f>
        <v>747.96</v>
      </c>
      <c r="H1000" s="17">
        <f t="shared" si="15"/>
        <v>739.96</v>
      </c>
      <c r="I1000" s="18" t="s">
        <v>43</v>
      </c>
      <c r="J1000" s="15">
        <v>4</v>
      </c>
      <c r="K1000" s="15">
        <v>2016</v>
      </c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 t="str">
        <f>"719.96"</f>
        <v>719.96</v>
      </c>
      <c r="AI1000" s="15"/>
    </row>
    <row r="1001" spans="1:35">
      <c r="A1001" s="14">
        <v>999</v>
      </c>
      <c r="B1001" s="14">
        <v>10185</v>
      </c>
      <c r="C1001" s="14" t="s">
        <v>1170</v>
      </c>
      <c r="D1001" s="14" t="s">
        <v>58</v>
      </c>
      <c r="E1001" s="15" t="str">
        <f>"748.14"</f>
        <v>748.14</v>
      </c>
      <c r="F1001" s="15"/>
      <c r="G1001" s="16" t="str">
        <f>"748.14"</f>
        <v>748.14</v>
      </c>
      <c r="H1001" s="17">
        <f t="shared" si="15"/>
        <v>740.14</v>
      </c>
      <c r="I1001" s="18"/>
      <c r="J1001" s="15">
        <v>3</v>
      </c>
      <c r="K1001" s="15">
        <v>2016</v>
      </c>
      <c r="L1001" s="15" t="str">
        <f>"1049.75"</f>
        <v>1049.75</v>
      </c>
      <c r="M1001" s="15"/>
      <c r="N1001" s="15"/>
      <c r="O1001" s="15"/>
      <c r="P1001" s="15"/>
      <c r="Q1001" s="15"/>
      <c r="R1001" s="15"/>
      <c r="S1001" s="15"/>
      <c r="T1001" s="15"/>
      <c r="U1001" s="15" t="str">
        <f>"980.08"</f>
        <v>980.08</v>
      </c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F1001" s="15"/>
      <c r="AG1001" s="15"/>
      <c r="AH1001" s="15" t="str">
        <f>"516.19"</f>
        <v>516.19</v>
      </c>
      <c r="AI1001" s="15"/>
    </row>
    <row r="1002" spans="1:35">
      <c r="A1002" s="14">
        <v>1000</v>
      </c>
      <c r="B1002" s="14">
        <v>10455</v>
      </c>
      <c r="C1002" s="14" t="s">
        <v>1171</v>
      </c>
      <c r="D1002" s="14" t="s">
        <v>58</v>
      </c>
      <c r="E1002" s="15" t="str">
        <f>"551.86"</f>
        <v>551.86</v>
      </c>
      <c r="F1002" s="15"/>
      <c r="G1002" s="16" t="str">
        <f>"754.22"</f>
        <v>754.22</v>
      </c>
      <c r="H1002" s="17">
        <f t="shared" si="15"/>
        <v>746.22</v>
      </c>
      <c r="I1002" s="18" t="s">
        <v>43</v>
      </c>
      <c r="J1002" s="15">
        <v>2</v>
      </c>
      <c r="K1002" s="15">
        <v>2016</v>
      </c>
      <c r="L1002" s="15" t="str">
        <f>"551.86"</f>
        <v>551.86</v>
      </c>
      <c r="M1002" s="15"/>
      <c r="N1002" s="15"/>
      <c r="O1002" s="15"/>
      <c r="P1002" s="15"/>
      <c r="Q1002" s="15"/>
      <c r="R1002" s="15"/>
      <c r="S1002" s="15"/>
      <c r="T1002" s="15"/>
      <c r="U1002" s="15" t="str">
        <f>"726.22"</f>
        <v>726.22</v>
      </c>
      <c r="V1002" s="15"/>
      <c r="W1002" s="15"/>
      <c r="X1002" s="15"/>
      <c r="Y1002" s="15"/>
      <c r="Z1002" s="15"/>
      <c r="AA1002" s="15"/>
      <c r="AB1002" s="15"/>
      <c r="AC1002" s="15"/>
      <c r="AD1002" s="15"/>
      <c r="AE1002" s="15"/>
      <c r="AF1002" s="15"/>
      <c r="AG1002" s="15"/>
      <c r="AH1002" s="15"/>
      <c r="AI1002" s="15"/>
    </row>
    <row r="1003" spans="1:35">
      <c r="A1003" s="14">
        <v>1001</v>
      </c>
      <c r="B1003" s="14">
        <v>10461</v>
      </c>
      <c r="C1003" s="14" t="s">
        <v>1172</v>
      </c>
      <c r="D1003" s="14" t="s">
        <v>58</v>
      </c>
      <c r="E1003" s="15" t="str">
        <f>"756.99"</f>
        <v>756.99</v>
      </c>
      <c r="F1003" s="15"/>
      <c r="G1003" s="16" t="str">
        <f>"756.99"</f>
        <v>756.99</v>
      </c>
      <c r="H1003" s="17">
        <f t="shared" si="15"/>
        <v>748.99</v>
      </c>
      <c r="I1003" s="18"/>
      <c r="J1003" s="15">
        <v>5</v>
      </c>
      <c r="K1003" s="15">
        <v>2016</v>
      </c>
      <c r="L1003" s="15"/>
      <c r="M1003" s="15"/>
      <c r="N1003" s="15"/>
      <c r="O1003" s="15"/>
      <c r="P1003" s="15"/>
      <c r="Q1003" s="15"/>
      <c r="R1003" s="15"/>
      <c r="S1003" s="15"/>
      <c r="T1003" s="15"/>
      <c r="U1003" s="15" t="str">
        <f>"988.34"</f>
        <v>988.34</v>
      </c>
      <c r="V1003" s="15"/>
      <c r="W1003" s="15"/>
      <c r="X1003" s="15"/>
      <c r="Y1003" s="15"/>
      <c r="Z1003" s="15"/>
      <c r="AA1003" s="15"/>
      <c r="AB1003" s="15"/>
      <c r="AC1003" s="15" t="str">
        <f>"525.63"</f>
        <v>525.63</v>
      </c>
      <c r="AD1003" s="15"/>
      <c r="AE1003" s="15"/>
      <c r="AF1003" s="15"/>
      <c r="AG1003" s="15"/>
      <c r="AH1003" s="15"/>
      <c r="AI1003" s="15"/>
    </row>
    <row r="1004" spans="1:35">
      <c r="A1004" s="14">
        <v>1002</v>
      </c>
      <c r="B1004" s="14">
        <v>10162</v>
      </c>
      <c r="C1004" s="14" t="s">
        <v>1173</v>
      </c>
      <c r="D1004" s="14" t="s">
        <v>58</v>
      </c>
      <c r="E1004" s="15" t="str">
        <f>"708.43"</f>
        <v>708.43</v>
      </c>
      <c r="F1004" s="15"/>
      <c r="G1004" s="16" t="str">
        <f>"759.18"</f>
        <v>759.18</v>
      </c>
      <c r="H1004" s="17">
        <f t="shared" si="15"/>
        <v>751.18</v>
      </c>
      <c r="I1004" s="18" t="s">
        <v>43</v>
      </c>
      <c r="J1004" s="15">
        <v>2</v>
      </c>
      <c r="K1004" s="15">
        <v>2016</v>
      </c>
      <c r="L1004" s="15" t="str">
        <f>"708.43"</f>
        <v>708.43</v>
      </c>
      <c r="M1004" s="15"/>
      <c r="N1004" s="15"/>
      <c r="O1004" s="15"/>
      <c r="P1004" s="15"/>
      <c r="Q1004" s="15"/>
      <c r="R1004" s="15"/>
      <c r="S1004" s="15"/>
      <c r="T1004" s="15"/>
      <c r="U1004" s="15" t="str">
        <f>"731.18"</f>
        <v>731.18</v>
      </c>
      <c r="V1004" s="15"/>
      <c r="W1004" s="15"/>
      <c r="X1004" s="15"/>
      <c r="Y1004" s="15"/>
      <c r="Z1004" s="15"/>
      <c r="AA1004" s="15"/>
      <c r="AB1004" s="15"/>
      <c r="AC1004" s="15"/>
      <c r="AD1004" s="15"/>
      <c r="AE1004" s="15"/>
      <c r="AF1004" s="15"/>
      <c r="AG1004" s="15"/>
      <c r="AH1004" s="15"/>
      <c r="AI1004" s="15"/>
    </row>
    <row r="1005" spans="1:35">
      <c r="A1005" s="14">
        <v>1003</v>
      </c>
      <c r="B1005" s="14">
        <v>10949</v>
      </c>
      <c r="C1005" s="14" t="s">
        <v>1174</v>
      </c>
      <c r="D1005" s="14" t="s">
        <v>58</v>
      </c>
      <c r="E1005" s="15" t="str">
        <f>"761.00"</f>
        <v>761.00</v>
      </c>
      <c r="F1005" s="15"/>
      <c r="G1005" s="16" t="str">
        <f>"761.00"</f>
        <v>761.00</v>
      </c>
      <c r="H1005" s="17">
        <f t="shared" si="15"/>
        <v>753</v>
      </c>
      <c r="I1005" s="18"/>
      <c r="J1005" s="15">
        <v>5</v>
      </c>
      <c r="K1005" s="15">
        <v>2016</v>
      </c>
      <c r="L1005" s="15"/>
      <c r="M1005" s="15"/>
      <c r="N1005" s="15"/>
      <c r="O1005" s="15"/>
      <c r="P1005" s="15" t="str">
        <f>"620.09"</f>
        <v>620.09</v>
      </c>
      <c r="Q1005" s="15"/>
      <c r="R1005" s="15"/>
      <c r="S1005" s="15"/>
      <c r="T1005" s="15"/>
      <c r="U1005" s="15" t="str">
        <f>"901.90"</f>
        <v>901.90</v>
      </c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F1005" s="15"/>
      <c r="AG1005" s="15"/>
      <c r="AH1005" s="15"/>
      <c r="AI1005" s="15"/>
    </row>
    <row r="1006" spans="1:35">
      <c r="A1006" s="14">
        <v>1004</v>
      </c>
      <c r="B1006" s="14">
        <v>10179</v>
      </c>
      <c r="C1006" s="14" t="s">
        <v>1175</v>
      </c>
      <c r="D1006" s="14" t="s">
        <v>58</v>
      </c>
      <c r="E1006" s="15" t="str">
        <f>"612.00"</f>
        <v>612.00</v>
      </c>
      <c r="F1006" s="15"/>
      <c r="G1006" s="16" t="str">
        <f>"765.05"</f>
        <v>765.05</v>
      </c>
      <c r="H1006" s="17">
        <f t="shared" si="15"/>
        <v>757.05</v>
      </c>
      <c r="I1006" s="18"/>
      <c r="J1006" s="15">
        <v>3</v>
      </c>
      <c r="K1006" s="15">
        <v>2016</v>
      </c>
      <c r="L1006" s="15" t="str">
        <f>"629.94"</f>
        <v>629.94</v>
      </c>
      <c r="M1006" s="15"/>
      <c r="N1006" s="15"/>
      <c r="O1006" s="15"/>
      <c r="P1006" s="15" t="str">
        <f>"594.05"</f>
        <v>594.05</v>
      </c>
      <c r="Q1006" s="15"/>
      <c r="R1006" s="15"/>
      <c r="S1006" s="15"/>
      <c r="T1006" s="15"/>
      <c r="U1006" s="15" t="str">
        <f>"936.04"</f>
        <v>936.04</v>
      </c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F1006" s="15"/>
      <c r="AG1006" s="15"/>
      <c r="AH1006" s="15"/>
      <c r="AI1006" s="15"/>
    </row>
    <row r="1007" spans="1:35">
      <c r="A1007" s="14">
        <v>1005</v>
      </c>
      <c r="B1007" s="14">
        <v>10454</v>
      </c>
      <c r="C1007" s="14" t="s">
        <v>1176</v>
      </c>
      <c r="D1007" s="14" t="s">
        <v>58</v>
      </c>
      <c r="E1007" s="15" t="str">
        <f>"650.36"</f>
        <v>650.36</v>
      </c>
      <c r="F1007" s="15"/>
      <c r="G1007" s="16" t="str">
        <f>"772.40"</f>
        <v>772.40</v>
      </c>
      <c r="H1007" s="17">
        <f t="shared" si="15"/>
        <v>764.4</v>
      </c>
      <c r="I1007" s="18" t="s">
        <v>43</v>
      </c>
      <c r="J1007" s="15">
        <v>2</v>
      </c>
      <c r="K1007" s="15">
        <v>2016</v>
      </c>
      <c r="L1007" s="15" t="str">
        <f>"650.36"</f>
        <v>650.36</v>
      </c>
      <c r="M1007" s="15"/>
      <c r="N1007" s="15"/>
      <c r="O1007" s="15"/>
      <c r="P1007" s="15"/>
      <c r="Q1007" s="15"/>
      <c r="R1007" s="15"/>
      <c r="S1007" s="15"/>
      <c r="T1007" s="15"/>
      <c r="U1007" s="15" t="str">
        <f>"744.40"</f>
        <v>744.40</v>
      </c>
      <c r="V1007" s="15"/>
      <c r="W1007" s="15"/>
      <c r="X1007" s="15"/>
      <c r="Y1007" s="15"/>
      <c r="Z1007" s="15"/>
      <c r="AA1007" s="15"/>
      <c r="AB1007" s="15"/>
      <c r="AC1007" s="15"/>
      <c r="AD1007" s="15"/>
      <c r="AE1007" s="15"/>
      <c r="AF1007" s="15"/>
      <c r="AG1007" s="15"/>
      <c r="AH1007" s="15"/>
      <c r="AI1007" s="15"/>
    </row>
    <row r="1008" spans="1:35">
      <c r="A1008" s="14">
        <v>1006</v>
      </c>
      <c r="B1008" s="14">
        <v>10124</v>
      </c>
      <c r="C1008" s="14" t="s">
        <v>1177</v>
      </c>
      <c r="D1008" s="14" t="s">
        <v>58</v>
      </c>
      <c r="E1008" s="15" t="str">
        <f>"676.62"</f>
        <v>676.62</v>
      </c>
      <c r="F1008" s="15"/>
      <c r="G1008" s="16" t="str">
        <f>"774.59"</f>
        <v>774.59</v>
      </c>
      <c r="H1008" s="17">
        <f t="shared" si="15"/>
        <v>766.59</v>
      </c>
      <c r="I1008" s="18"/>
      <c r="J1008" s="15">
        <v>3</v>
      </c>
      <c r="K1008" s="15">
        <v>2016</v>
      </c>
      <c r="L1008" s="15" t="str">
        <f>"909.70"</f>
        <v>909.70</v>
      </c>
      <c r="M1008" s="15"/>
      <c r="N1008" s="15"/>
      <c r="O1008" s="15"/>
      <c r="P1008" s="15"/>
      <c r="Q1008" s="15"/>
      <c r="R1008" s="15"/>
      <c r="S1008" s="15"/>
      <c r="T1008" s="15"/>
      <c r="U1008" s="15" t="str">
        <f>"1105.64"</f>
        <v>1105.64</v>
      </c>
      <c r="V1008" s="15"/>
      <c r="W1008" s="15"/>
      <c r="X1008" s="15"/>
      <c r="Y1008" s="15"/>
      <c r="Z1008" s="15"/>
      <c r="AA1008" s="15"/>
      <c r="AB1008" s="15"/>
      <c r="AC1008" s="15"/>
      <c r="AD1008" s="15"/>
      <c r="AE1008" s="15"/>
      <c r="AF1008" s="15" t="str">
        <f>"443.54"</f>
        <v>443.54</v>
      </c>
      <c r="AG1008" s="15"/>
      <c r="AH1008" s="15"/>
      <c r="AI1008" s="15"/>
    </row>
    <row r="1009" spans="1:35">
      <c r="A1009" s="14">
        <v>1007</v>
      </c>
      <c r="B1009" s="14">
        <v>10235</v>
      </c>
      <c r="C1009" s="14" t="s">
        <v>1178</v>
      </c>
      <c r="D1009" s="14" t="s">
        <v>58</v>
      </c>
      <c r="E1009" s="15" t="str">
        <f>"777.89"</f>
        <v>777.89</v>
      </c>
      <c r="F1009" s="15"/>
      <c r="G1009" s="16" t="str">
        <f>"777.89"</f>
        <v>777.89</v>
      </c>
      <c r="H1009" s="17">
        <f t="shared" si="15"/>
        <v>769.89</v>
      </c>
      <c r="I1009" s="18"/>
      <c r="J1009" s="15">
        <v>3</v>
      </c>
      <c r="K1009" s="15">
        <v>2016</v>
      </c>
      <c r="L1009" s="15" t="str">
        <f>"1324.36"</f>
        <v>1324.36</v>
      </c>
      <c r="M1009" s="15"/>
      <c r="N1009" s="15"/>
      <c r="O1009" s="15"/>
      <c r="P1009" s="15"/>
      <c r="Q1009" s="15"/>
      <c r="R1009" s="15"/>
      <c r="S1009" s="15"/>
      <c r="T1009" s="15"/>
      <c r="U1009" s="15" t="str">
        <f>"1026.34"</f>
        <v>1026.34</v>
      </c>
      <c r="V1009" s="15"/>
      <c r="W1009" s="15"/>
      <c r="X1009" s="15"/>
      <c r="Y1009" s="15"/>
      <c r="Z1009" s="15"/>
      <c r="AA1009" s="15"/>
      <c r="AB1009" s="15"/>
      <c r="AC1009" s="15"/>
      <c r="AD1009" s="15"/>
      <c r="AE1009" s="15"/>
      <c r="AF1009" s="15"/>
      <c r="AG1009" s="15"/>
      <c r="AH1009" s="15" t="str">
        <f>"529.43"</f>
        <v>529.43</v>
      </c>
      <c r="AI1009" s="15"/>
    </row>
    <row r="1010" spans="1:35">
      <c r="A1010" s="14">
        <v>1008</v>
      </c>
      <c r="B1010" s="14">
        <v>10150</v>
      </c>
      <c r="C1010" s="14" t="s">
        <v>1179</v>
      </c>
      <c r="D1010" s="14" t="s">
        <v>58</v>
      </c>
      <c r="E1010" s="15" t="str">
        <f>"687.62"</f>
        <v>687.62</v>
      </c>
      <c r="F1010" s="15"/>
      <c r="G1010" s="16" t="str">
        <f>"780.09"</f>
        <v>780.09</v>
      </c>
      <c r="H1010" s="17">
        <f t="shared" si="15"/>
        <v>772.09</v>
      </c>
      <c r="I1010" s="18"/>
      <c r="J1010" s="15">
        <v>3</v>
      </c>
      <c r="K1010" s="15">
        <v>2016</v>
      </c>
      <c r="L1010" s="15" t="str">
        <f>"712.54"</f>
        <v>712.54</v>
      </c>
      <c r="M1010" s="15"/>
      <c r="N1010" s="15"/>
      <c r="O1010" s="15"/>
      <c r="P1010" s="15" t="str">
        <f>"662.70"</f>
        <v>662.70</v>
      </c>
      <c r="Q1010" s="15"/>
      <c r="R1010" s="15"/>
      <c r="S1010" s="15"/>
      <c r="T1010" s="15"/>
      <c r="U1010" s="15" t="str">
        <f>"897.48"</f>
        <v>897.48</v>
      </c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F1010" s="15"/>
      <c r="AG1010" s="15"/>
      <c r="AH1010" s="15"/>
      <c r="AI1010" s="15"/>
    </row>
    <row r="1011" spans="1:35">
      <c r="A1011" s="14">
        <v>1009</v>
      </c>
      <c r="B1011" s="14">
        <v>10183</v>
      </c>
      <c r="C1011" s="14" t="s">
        <v>1180</v>
      </c>
      <c r="D1011" s="14" t="s">
        <v>58</v>
      </c>
      <c r="E1011" s="15" t="str">
        <f>"629.36"</f>
        <v>629.36</v>
      </c>
      <c r="F1011" s="15"/>
      <c r="G1011" s="16" t="str">
        <f>"785.63"</f>
        <v>785.63</v>
      </c>
      <c r="H1011" s="17">
        <f t="shared" si="15"/>
        <v>777.63</v>
      </c>
      <c r="I1011" s="18"/>
      <c r="J1011" s="15">
        <v>3</v>
      </c>
      <c r="K1011" s="15">
        <v>2016</v>
      </c>
      <c r="L1011" s="15" t="str">
        <f>"738.58"</f>
        <v>738.58</v>
      </c>
      <c r="M1011" s="15"/>
      <c r="N1011" s="15"/>
      <c r="O1011" s="15"/>
      <c r="P1011" s="15"/>
      <c r="Q1011" s="15"/>
      <c r="R1011" s="15"/>
      <c r="S1011" s="15"/>
      <c r="T1011" s="15"/>
      <c r="U1011" s="15" t="str">
        <f>"1051.12"</f>
        <v>1051.12</v>
      </c>
      <c r="V1011" s="15"/>
      <c r="W1011" s="15"/>
      <c r="X1011" s="15"/>
      <c r="Y1011" s="15"/>
      <c r="Z1011" s="15"/>
      <c r="AA1011" s="15"/>
      <c r="AB1011" s="15"/>
      <c r="AC1011" s="15"/>
      <c r="AD1011" s="15"/>
      <c r="AE1011" s="15"/>
      <c r="AF1011" s="15"/>
      <c r="AG1011" s="15"/>
      <c r="AH1011" s="15" t="str">
        <f>"520.13"</f>
        <v>520.13</v>
      </c>
      <c r="AI1011" s="15"/>
    </row>
    <row r="1012" spans="1:35">
      <c r="A1012" s="14">
        <v>1010</v>
      </c>
      <c r="B1012" s="14">
        <v>10389</v>
      </c>
      <c r="C1012" s="14" t="s">
        <v>1181</v>
      </c>
      <c r="D1012" s="14" t="s">
        <v>58</v>
      </c>
      <c r="E1012" s="15" t="str">
        <f>"788.68"</f>
        <v>788.68</v>
      </c>
      <c r="F1012" s="15"/>
      <c r="G1012" s="16" t="str">
        <f>"788.68"</f>
        <v>788.68</v>
      </c>
      <c r="H1012" s="17">
        <f t="shared" si="15"/>
        <v>780.68</v>
      </c>
      <c r="I1012" s="18"/>
      <c r="J1012" s="15">
        <v>5</v>
      </c>
      <c r="K1012" s="15">
        <v>2016</v>
      </c>
      <c r="L1012" s="15"/>
      <c r="M1012" s="15"/>
      <c r="N1012" s="15"/>
      <c r="O1012" s="15"/>
      <c r="P1012" s="15"/>
      <c r="Q1012" s="15"/>
      <c r="R1012" s="15"/>
      <c r="S1012" s="15"/>
      <c r="T1012" s="15"/>
      <c r="U1012" s="15" t="str">
        <f>"1235.04"</f>
        <v>1235.04</v>
      </c>
      <c r="V1012" s="15"/>
      <c r="W1012" s="15"/>
      <c r="X1012" s="15"/>
      <c r="Y1012" s="15"/>
      <c r="Z1012" s="15"/>
      <c r="AA1012" s="15"/>
      <c r="AB1012" s="15"/>
      <c r="AC1012" s="15"/>
      <c r="AD1012" s="15"/>
      <c r="AE1012" s="15"/>
      <c r="AF1012" s="15" t="str">
        <f>"342.32"</f>
        <v>342.32</v>
      </c>
      <c r="AG1012" s="15"/>
      <c r="AH1012" s="15"/>
      <c r="AI1012" s="15"/>
    </row>
    <row r="1013" spans="1:35">
      <c r="A1013" s="14">
        <v>1011</v>
      </c>
      <c r="B1013" s="14">
        <v>10765</v>
      </c>
      <c r="C1013" s="14" t="s">
        <v>1182</v>
      </c>
      <c r="D1013" s="14" t="s">
        <v>58</v>
      </c>
      <c r="E1013" s="15" t="str">
        <f>"794.88"</f>
        <v>794.88</v>
      </c>
      <c r="F1013" s="15"/>
      <c r="G1013" s="16" t="str">
        <f>"794.88"</f>
        <v>794.88</v>
      </c>
      <c r="H1013" s="17">
        <f t="shared" si="15"/>
        <v>786.88</v>
      </c>
      <c r="I1013" s="18"/>
      <c r="J1013" s="15">
        <v>5</v>
      </c>
      <c r="K1013" s="15">
        <v>2016</v>
      </c>
      <c r="L1013" s="15"/>
      <c r="M1013" s="15"/>
      <c r="N1013" s="15"/>
      <c r="O1013" s="15"/>
      <c r="P1013" s="15"/>
      <c r="Q1013" s="15"/>
      <c r="R1013" s="15"/>
      <c r="S1013" s="15"/>
      <c r="T1013" s="15"/>
      <c r="U1013" s="15" t="str">
        <f>"1157.40"</f>
        <v>1157.40</v>
      </c>
      <c r="V1013" s="15"/>
      <c r="W1013" s="15"/>
      <c r="X1013" s="15"/>
      <c r="Y1013" s="15"/>
      <c r="Z1013" s="15"/>
      <c r="AA1013" s="15"/>
      <c r="AB1013" s="15"/>
      <c r="AC1013" s="15"/>
      <c r="AD1013" s="15"/>
      <c r="AE1013" s="15"/>
      <c r="AF1013" s="15" t="str">
        <f>"432.36"</f>
        <v>432.36</v>
      </c>
      <c r="AG1013" s="15"/>
      <c r="AH1013" s="15"/>
      <c r="AI1013" s="15"/>
    </row>
    <row r="1014" spans="1:35">
      <c r="A1014" s="14">
        <v>1012</v>
      </c>
      <c r="B1014" s="14">
        <v>10419</v>
      </c>
      <c r="C1014" s="14" t="s">
        <v>1183</v>
      </c>
      <c r="D1014" s="14" t="s">
        <v>58</v>
      </c>
      <c r="E1014" s="15" t="str">
        <f>"534.13"</f>
        <v>534.13</v>
      </c>
      <c r="F1014" s="15"/>
      <c r="G1014" s="16" t="str">
        <f>"797.74"</f>
        <v>797.74</v>
      </c>
      <c r="H1014" s="17">
        <f t="shared" si="15"/>
        <v>789.74</v>
      </c>
      <c r="I1014" s="18" t="s">
        <v>43</v>
      </c>
      <c r="J1014" s="15">
        <v>2</v>
      </c>
      <c r="K1014" s="15">
        <v>2016</v>
      </c>
      <c r="L1014" s="15" t="str">
        <f>"534.13"</f>
        <v>534.13</v>
      </c>
      <c r="M1014" s="15"/>
      <c r="N1014" s="15"/>
      <c r="O1014" s="15"/>
      <c r="P1014" s="15"/>
      <c r="Q1014" s="15"/>
      <c r="R1014" s="15"/>
      <c r="S1014" s="15"/>
      <c r="T1014" s="15"/>
      <c r="U1014" s="15" t="str">
        <f>"769.74"</f>
        <v>769.74</v>
      </c>
      <c r="V1014" s="15"/>
      <c r="W1014" s="15"/>
      <c r="X1014" s="15"/>
      <c r="Y1014" s="15"/>
      <c r="Z1014" s="15"/>
      <c r="AA1014" s="15"/>
      <c r="AB1014" s="15"/>
      <c r="AC1014" s="15"/>
      <c r="AD1014" s="15"/>
      <c r="AE1014" s="15"/>
      <c r="AF1014" s="15"/>
      <c r="AG1014" s="15"/>
      <c r="AH1014" s="15"/>
      <c r="AI1014" s="15"/>
    </row>
    <row r="1015" spans="1:35">
      <c r="A1015" s="14">
        <v>1013</v>
      </c>
      <c r="B1015" s="14">
        <v>10201</v>
      </c>
      <c r="C1015" s="14" t="s">
        <v>1184</v>
      </c>
      <c r="D1015" s="14" t="s">
        <v>58</v>
      </c>
      <c r="E1015" s="15" t="str">
        <f>"660.40"</f>
        <v>660.40</v>
      </c>
      <c r="F1015" s="15"/>
      <c r="G1015" s="16" t="str">
        <f>"802.76"</f>
        <v>802.76</v>
      </c>
      <c r="H1015" s="17">
        <f t="shared" si="15"/>
        <v>794.76</v>
      </c>
      <c r="I1015" s="18"/>
      <c r="J1015" s="15">
        <v>3</v>
      </c>
      <c r="K1015" s="15">
        <v>2016</v>
      </c>
      <c r="L1015" s="15" t="str">
        <f>"660.40"</f>
        <v>660.40</v>
      </c>
      <c r="M1015" s="15"/>
      <c r="N1015" s="15"/>
      <c r="O1015" s="15"/>
      <c r="P1015" s="15"/>
      <c r="Q1015" s="15"/>
      <c r="R1015" s="15"/>
      <c r="S1015" s="15"/>
      <c r="T1015" s="15"/>
      <c r="U1015" s="15" t="str">
        <f>"907.94"</f>
        <v>907.94</v>
      </c>
      <c r="V1015" s="15"/>
      <c r="W1015" s="15"/>
      <c r="X1015" s="15"/>
      <c r="Y1015" s="15"/>
      <c r="Z1015" s="15"/>
      <c r="AA1015" s="15"/>
      <c r="AB1015" s="15"/>
      <c r="AC1015" s="15"/>
      <c r="AD1015" s="15"/>
      <c r="AE1015" s="15"/>
      <c r="AF1015" s="15"/>
      <c r="AG1015" s="15"/>
      <c r="AH1015" s="15" t="str">
        <f>"697.57"</f>
        <v>697.57</v>
      </c>
      <c r="AI1015" s="15"/>
    </row>
    <row r="1016" spans="1:35">
      <c r="A1016" s="14">
        <v>1014</v>
      </c>
      <c r="B1016" s="14">
        <v>10114</v>
      </c>
      <c r="C1016" s="14" t="s">
        <v>1185</v>
      </c>
      <c r="D1016" s="14" t="s">
        <v>58</v>
      </c>
      <c r="E1016" s="15" t="str">
        <f>"602.70"</f>
        <v>602.70</v>
      </c>
      <c r="F1016" s="15"/>
      <c r="G1016" s="16" t="str">
        <f>"808.74"</f>
        <v>808.74</v>
      </c>
      <c r="H1016" s="17">
        <f t="shared" si="15"/>
        <v>800.74</v>
      </c>
      <c r="I1016" s="18" t="s">
        <v>43</v>
      </c>
      <c r="J1016" s="15">
        <v>2</v>
      </c>
      <c r="K1016" s="15">
        <v>2016</v>
      </c>
      <c r="L1016" s="15" t="str">
        <f>"602.70"</f>
        <v>602.70</v>
      </c>
      <c r="M1016" s="15"/>
      <c r="N1016" s="15"/>
      <c r="O1016" s="15"/>
      <c r="P1016" s="15"/>
      <c r="Q1016" s="15"/>
      <c r="R1016" s="15"/>
      <c r="S1016" s="15"/>
      <c r="T1016" s="15"/>
      <c r="U1016" s="15" t="str">
        <f>"780.74"</f>
        <v>780.74</v>
      </c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F1016" s="15"/>
      <c r="AG1016" s="15"/>
      <c r="AH1016" s="15"/>
      <c r="AI1016" s="15"/>
    </row>
    <row r="1017" spans="1:35">
      <c r="A1017" s="14">
        <v>1015</v>
      </c>
      <c r="B1017" s="14">
        <v>10486</v>
      </c>
      <c r="C1017" s="14" t="s">
        <v>1186</v>
      </c>
      <c r="D1017" s="14" t="s">
        <v>58</v>
      </c>
      <c r="E1017" s="15" t="str">
        <f>"815.90"</f>
        <v>815.90</v>
      </c>
      <c r="F1017" s="15"/>
      <c r="G1017" s="16" t="str">
        <f>"815.90"</f>
        <v>815.90</v>
      </c>
      <c r="H1017" s="17">
        <f t="shared" si="15"/>
        <v>807.9</v>
      </c>
      <c r="I1017" s="18" t="s">
        <v>43</v>
      </c>
      <c r="J1017" s="15">
        <v>4</v>
      </c>
      <c r="K1017" s="15">
        <v>2016</v>
      </c>
      <c r="L1017" s="15"/>
      <c r="M1017" s="15"/>
      <c r="N1017" s="15"/>
      <c r="O1017" s="15"/>
      <c r="P1017" s="15"/>
      <c r="Q1017" s="15"/>
      <c r="R1017" s="15"/>
      <c r="S1017" s="15"/>
      <c r="T1017" s="15"/>
      <c r="U1017" s="15" t="str">
        <f>"787.90"</f>
        <v>787.90</v>
      </c>
      <c r="V1017" s="15"/>
      <c r="W1017" s="15"/>
      <c r="X1017" s="15"/>
      <c r="Y1017" s="15"/>
      <c r="Z1017" s="15"/>
      <c r="AA1017" s="15"/>
      <c r="AB1017" s="15"/>
      <c r="AC1017" s="15"/>
      <c r="AD1017" s="15"/>
      <c r="AE1017" s="15"/>
      <c r="AF1017" s="15"/>
      <c r="AG1017" s="15"/>
      <c r="AH1017" s="15"/>
      <c r="AI1017" s="15"/>
    </row>
    <row r="1018" spans="1:35">
      <c r="A1018" s="14">
        <v>1016</v>
      </c>
      <c r="B1018" s="14">
        <v>10774</v>
      </c>
      <c r="C1018" s="14" t="s">
        <v>1187</v>
      </c>
      <c r="D1018" s="14" t="s">
        <v>58</v>
      </c>
      <c r="E1018" s="15" t="str">
        <f>"816.44"</f>
        <v>816.44</v>
      </c>
      <c r="F1018" s="15"/>
      <c r="G1018" s="16" t="str">
        <f>"816.44"</f>
        <v>816.44</v>
      </c>
      <c r="H1018" s="17">
        <f t="shared" si="15"/>
        <v>808.44</v>
      </c>
      <c r="I1018" s="18"/>
      <c r="J1018" s="15">
        <v>5</v>
      </c>
      <c r="K1018" s="15">
        <v>2016</v>
      </c>
      <c r="L1018" s="15"/>
      <c r="M1018" s="15"/>
      <c r="N1018" s="15"/>
      <c r="O1018" s="15"/>
      <c r="P1018" s="15"/>
      <c r="Q1018" s="15"/>
      <c r="R1018" s="15"/>
      <c r="S1018" s="15"/>
      <c r="T1018" s="15"/>
      <c r="U1018" s="15" t="str">
        <f>"1160.16"</f>
        <v>1160.16</v>
      </c>
      <c r="V1018" s="15"/>
      <c r="W1018" s="15"/>
      <c r="X1018" s="15"/>
      <c r="Y1018" s="15"/>
      <c r="Z1018" s="15"/>
      <c r="AA1018" s="15"/>
      <c r="AB1018" s="15"/>
      <c r="AC1018" s="15"/>
      <c r="AD1018" s="15"/>
      <c r="AE1018" s="15"/>
      <c r="AF1018" s="15" t="str">
        <f>"472.72"</f>
        <v>472.72</v>
      </c>
      <c r="AG1018" s="15"/>
      <c r="AH1018" s="15"/>
      <c r="AI1018" s="15"/>
    </row>
    <row r="1019" spans="1:35">
      <c r="A1019" s="14">
        <v>1017</v>
      </c>
      <c r="B1019" s="14">
        <v>10184</v>
      </c>
      <c r="C1019" s="14" t="s">
        <v>1188</v>
      </c>
      <c r="D1019" s="14" t="s">
        <v>58</v>
      </c>
      <c r="E1019" s="15" t="str">
        <f>"797.90"</f>
        <v>797.90</v>
      </c>
      <c r="F1019" s="15"/>
      <c r="G1019" s="16" t="str">
        <f>"825.79"</f>
        <v>825.79</v>
      </c>
      <c r="H1019" s="17">
        <f t="shared" si="15"/>
        <v>817.79</v>
      </c>
      <c r="I1019" s="18"/>
      <c r="J1019" s="15">
        <v>3</v>
      </c>
      <c r="K1019" s="15">
        <v>2016</v>
      </c>
      <c r="L1019" s="15" t="str">
        <f>"1040.49"</f>
        <v>1040.49</v>
      </c>
      <c r="M1019" s="15"/>
      <c r="N1019" s="15"/>
      <c r="O1019" s="15"/>
      <c r="P1019" s="15"/>
      <c r="Q1019" s="15"/>
      <c r="R1019" s="15"/>
      <c r="S1019" s="15"/>
      <c r="T1019" s="15"/>
      <c r="U1019" s="15" t="str">
        <f>"1096.28"</f>
        <v>1096.28</v>
      </c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F1019" s="15"/>
      <c r="AG1019" s="15"/>
      <c r="AH1019" s="15" t="str">
        <f>"555.30"</f>
        <v>555.30</v>
      </c>
      <c r="AI1019" s="15"/>
    </row>
    <row r="1020" spans="1:35">
      <c r="A1020" s="14">
        <v>1018</v>
      </c>
      <c r="B1020" s="14">
        <v>10464</v>
      </c>
      <c r="C1020" s="14" t="s">
        <v>1189</v>
      </c>
      <c r="D1020" s="14" t="s">
        <v>58</v>
      </c>
      <c r="E1020" s="15" t="str">
        <f>"616.24"</f>
        <v>616.24</v>
      </c>
      <c r="F1020" s="15"/>
      <c r="G1020" s="16" t="str">
        <f>"831.88"</f>
        <v>831.88</v>
      </c>
      <c r="H1020" s="17">
        <f t="shared" si="15"/>
        <v>823.88</v>
      </c>
      <c r="I1020" s="18" t="s">
        <v>43</v>
      </c>
      <c r="J1020" s="15">
        <v>2</v>
      </c>
      <c r="K1020" s="15">
        <v>2016</v>
      </c>
      <c r="L1020" s="15" t="str">
        <f>"616.24"</f>
        <v>616.24</v>
      </c>
      <c r="M1020" s="15"/>
      <c r="N1020" s="15"/>
      <c r="O1020" s="15"/>
      <c r="P1020" s="15"/>
      <c r="Q1020" s="15"/>
      <c r="R1020" s="15"/>
      <c r="S1020" s="15"/>
      <c r="T1020" s="15"/>
      <c r="U1020" s="15" t="str">
        <f>"803.88"</f>
        <v>803.88</v>
      </c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F1020" s="15"/>
      <c r="AG1020" s="15"/>
      <c r="AH1020" s="15"/>
      <c r="AI1020" s="15"/>
    </row>
    <row r="1021" spans="1:35">
      <c r="A1021" s="14">
        <v>1019</v>
      </c>
      <c r="B1021" s="14">
        <v>10449</v>
      </c>
      <c r="C1021" s="14" t="s">
        <v>1190</v>
      </c>
      <c r="D1021" s="14" t="s">
        <v>58</v>
      </c>
      <c r="E1021" s="15" t="str">
        <f>"714.45"</f>
        <v>714.45</v>
      </c>
      <c r="F1021" s="15"/>
      <c r="G1021" s="16" t="str">
        <f>"840.14"</f>
        <v>840.14</v>
      </c>
      <c r="H1021" s="17">
        <f t="shared" si="15"/>
        <v>832.14</v>
      </c>
      <c r="I1021" s="18" t="s">
        <v>43</v>
      </c>
      <c r="J1021" s="15">
        <v>2</v>
      </c>
      <c r="K1021" s="15">
        <v>2016</v>
      </c>
      <c r="L1021" s="15" t="str">
        <f>"714.45"</f>
        <v>714.45</v>
      </c>
      <c r="M1021" s="15"/>
      <c r="N1021" s="15"/>
      <c r="O1021" s="15"/>
      <c r="P1021" s="15"/>
      <c r="Q1021" s="15"/>
      <c r="R1021" s="15"/>
      <c r="S1021" s="15"/>
      <c r="T1021" s="15"/>
      <c r="U1021" s="15" t="str">
        <f>"812.14"</f>
        <v>812.14</v>
      </c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F1021" s="15"/>
      <c r="AG1021" s="15"/>
      <c r="AH1021" s="15"/>
      <c r="AI1021" s="15"/>
    </row>
    <row r="1022" spans="1:35">
      <c r="A1022" s="14">
        <v>1020</v>
      </c>
      <c r="B1022" s="14">
        <v>10394</v>
      </c>
      <c r="C1022" s="14" t="s">
        <v>1191</v>
      </c>
      <c r="D1022" s="14" t="s">
        <v>58</v>
      </c>
      <c r="E1022" s="15" t="str">
        <f>"849.14"</f>
        <v>849.14</v>
      </c>
      <c r="F1022" s="15"/>
      <c r="G1022" s="16" t="str">
        <f>"849.14"</f>
        <v>849.14</v>
      </c>
      <c r="H1022" s="17">
        <f t="shared" si="15"/>
        <v>841.14</v>
      </c>
      <c r="I1022" s="18"/>
      <c r="J1022" s="15">
        <v>5</v>
      </c>
      <c r="K1022" s="15">
        <v>2016</v>
      </c>
      <c r="L1022" s="15"/>
      <c r="M1022" s="15"/>
      <c r="N1022" s="15"/>
      <c r="O1022" s="15"/>
      <c r="P1022" s="15"/>
      <c r="Q1022" s="15"/>
      <c r="R1022" s="15"/>
      <c r="S1022" s="15"/>
      <c r="T1022" s="15"/>
      <c r="U1022" s="15" t="str">
        <f>"1240.00"</f>
        <v>1240.00</v>
      </c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F1022" s="15" t="str">
        <f>"458.28"</f>
        <v>458.28</v>
      </c>
      <c r="AG1022" s="15"/>
      <c r="AH1022" s="15"/>
      <c r="AI1022" s="15"/>
    </row>
    <row r="1023" spans="1:35">
      <c r="A1023" s="14">
        <v>1021</v>
      </c>
      <c r="B1023" s="14">
        <v>10401</v>
      </c>
      <c r="C1023" s="14" t="s">
        <v>1192</v>
      </c>
      <c r="D1023" s="14" t="s">
        <v>58</v>
      </c>
      <c r="E1023" s="15" t="str">
        <f>"851.60"</f>
        <v>851.60</v>
      </c>
      <c r="F1023" s="15"/>
      <c r="G1023" s="16" t="str">
        <f>"851.60"</f>
        <v>851.60</v>
      </c>
      <c r="H1023" s="17">
        <f t="shared" si="15"/>
        <v>843.6</v>
      </c>
      <c r="I1023" s="18"/>
      <c r="J1023" s="15">
        <v>5</v>
      </c>
      <c r="K1023" s="15">
        <v>2016</v>
      </c>
      <c r="L1023" s="15"/>
      <c r="M1023" s="15"/>
      <c r="N1023" s="15"/>
      <c r="O1023" s="15"/>
      <c r="P1023" s="15"/>
      <c r="Q1023" s="15"/>
      <c r="R1023" s="15"/>
      <c r="S1023" s="15"/>
      <c r="T1023" s="15"/>
      <c r="U1023" s="15" t="str">
        <f>"1279.66"</f>
        <v>1279.66</v>
      </c>
      <c r="V1023" s="15"/>
      <c r="W1023" s="15"/>
      <c r="X1023" s="15"/>
      <c r="Y1023" s="15"/>
      <c r="Z1023" s="15"/>
      <c r="AA1023" s="15"/>
      <c r="AB1023" s="15"/>
      <c r="AC1023" s="15"/>
      <c r="AD1023" s="15"/>
      <c r="AE1023" s="15"/>
      <c r="AF1023" s="15" t="str">
        <f>"423.54"</f>
        <v>423.54</v>
      </c>
      <c r="AG1023" s="15"/>
      <c r="AH1023" s="15"/>
      <c r="AI1023" s="15"/>
    </row>
    <row r="1024" spans="1:35">
      <c r="A1024" s="14">
        <v>1022</v>
      </c>
      <c r="B1024" s="14">
        <v>10728</v>
      </c>
      <c r="C1024" s="14" t="s">
        <v>1193</v>
      </c>
      <c r="D1024" s="14" t="s">
        <v>58</v>
      </c>
      <c r="E1024" s="15" t="str">
        <f>"854.09"</f>
        <v>854.09</v>
      </c>
      <c r="F1024" s="15"/>
      <c r="G1024" s="16" t="str">
        <f>"854.09"</f>
        <v>854.09</v>
      </c>
      <c r="H1024" s="17">
        <f t="shared" si="15"/>
        <v>846.09</v>
      </c>
      <c r="I1024" s="18"/>
      <c r="J1024" s="15">
        <v>5</v>
      </c>
      <c r="K1024" s="15">
        <v>2016</v>
      </c>
      <c r="L1024" s="15"/>
      <c r="M1024" s="15"/>
      <c r="N1024" s="15"/>
      <c r="O1024" s="15"/>
      <c r="P1024" s="15"/>
      <c r="Q1024" s="15"/>
      <c r="R1024" s="15"/>
      <c r="S1024" s="15"/>
      <c r="T1024" s="15"/>
      <c r="U1024" s="15" t="str">
        <f>"1363.36"</f>
        <v>1363.36</v>
      </c>
      <c r="V1024" s="15"/>
      <c r="W1024" s="15"/>
      <c r="X1024" s="15"/>
      <c r="Y1024" s="15"/>
      <c r="Z1024" s="15"/>
      <c r="AA1024" s="15"/>
      <c r="AB1024" s="15"/>
      <c r="AC1024" s="15"/>
      <c r="AD1024" s="15"/>
      <c r="AE1024" s="15"/>
      <c r="AF1024" s="15" t="str">
        <f>"344.81"</f>
        <v>344.81</v>
      </c>
      <c r="AG1024" s="15"/>
      <c r="AH1024" s="15"/>
      <c r="AI1024" s="15"/>
    </row>
    <row r="1025" spans="1:35">
      <c r="A1025" s="14">
        <v>1023</v>
      </c>
      <c r="B1025" s="14">
        <v>10391</v>
      </c>
      <c r="C1025" s="14" t="s">
        <v>1194</v>
      </c>
      <c r="D1025" s="14" t="s">
        <v>58</v>
      </c>
      <c r="E1025" s="15" t="str">
        <f>"493.07"</f>
        <v>493.07</v>
      </c>
      <c r="F1025" s="15"/>
      <c r="G1025" s="16" t="str">
        <f>"854.51"</f>
        <v>854.51</v>
      </c>
      <c r="H1025" s="17">
        <f t="shared" si="15"/>
        <v>846.51</v>
      </c>
      <c r="I1025" s="18"/>
      <c r="J1025" s="15">
        <v>3</v>
      </c>
      <c r="K1025" s="15">
        <v>2016</v>
      </c>
      <c r="L1025" s="15" t="str">
        <f>"538.60"</f>
        <v>538.60</v>
      </c>
      <c r="M1025" s="15"/>
      <c r="N1025" s="15"/>
      <c r="O1025" s="15"/>
      <c r="P1025" s="15"/>
      <c r="Q1025" s="15"/>
      <c r="R1025" s="15"/>
      <c r="S1025" s="15"/>
      <c r="T1025" s="15"/>
      <c r="U1025" s="15" t="str">
        <f>"1261.48"</f>
        <v>1261.48</v>
      </c>
      <c r="V1025" s="15"/>
      <c r="W1025" s="15"/>
      <c r="X1025" s="15"/>
      <c r="Y1025" s="15"/>
      <c r="Z1025" s="15"/>
      <c r="AA1025" s="15"/>
      <c r="AB1025" s="15"/>
      <c r="AC1025" s="15"/>
      <c r="AD1025" s="15"/>
      <c r="AE1025" s="15"/>
      <c r="AF1025" s="15" t="str">
        <f>"447.53"</f>
        <v>447.53</v>
      </c>
      <c r="AG1025" s="15"/>
      <c r="AH1025" s="15"/>
      <c r="AI1025" s="15"/>
    </row>
    <row r="1026" spans="1:35">
      <c r="A1026" s="14">
        <v>1024</v>
      </c>
      <c r="B1026" s="14">
        <v>10467</v>
      </c>
      <c r="C1026" s="14" t="s">
        <v>1195</v>
      </c>
      <c r="D1026" s="14" t="s">
        <v>58</v>
      </c>
      <c r="E1026" s="15" t="str">
        <f>"857.76"</f>
        <v>857.76</v>
      </c>
      <c r="F1026" s="15"/>
      <c r="G1026" s="16" t="str">
        <f>"857.76"</f>
        <v>857.76</v>
      </c>
      <c r="H1026" s="17">
        <f t="shared" si="15"/>
        <v>849.76</v>
      </c>
      <c r="I1026" s="18" t="s">
        <v>43</v>
      </c>
      <c r="J1026" s="15">
        <v>4</v>
      </c>
      <c r="K1026" s="15">
        <v>2016</v>
      </c>
      <c r="L1026" s="15"/>
      <c r="M1026" s="15"/>
      <c r="N1026" s="15"/>
      <c r="O1026" s="15"/>
      <c r="P1026" s="15"/>
      <c r="Q1026" s="15"/>
      <c r="R1026" s="15"/>
      <c r="S1026" s="15"/>
      <c r="T1026" s="15"/>
      <c r="U1026" s="15" t="str">
        <f>"829.76"</f>
        <v>829.76</v>
      </c>
      <c r="V1026" s="15"/>
      <c r="W1026" s="15"/>
      <c r="X1026" s="15"/>
      <c r="Y1026" s="15"/>
      <c r="Z1026" s="15"/>
      <c r="AA1026" s="15"/>
      <c r="AB1026" s="15"/>
      <c r="AC1026" s="15"/>
      <c r="AD1026" s="15"/>
      <c r="AE1026" s="15"/>
      <c r="AF1026" s="15"/>
      <c r="AG1026" s="15"/>
      <c r="AH1026" s="15"/>
      <c r="AI1026" s="15"/>
    </row>
    <row r="1027" spans="1:35">
      <c r="A1027" s="14">
        <v>1025</v>
      </c>
      <c r="B1027" s="14">
        <v>10773</v>
      </c>
      <c r="C1027" s="14" t="s">
        <v>1196</v>
      </c>
      <c r="D1027" s="14" t="s">
        <v>58</v>
      </c>
      <c r="E1027" s="15" t="str">
        <f>"857.76"</f>
        <v>857.76</v>
      </c>
      <c r="F1027" s="15"/>
      <c r="G1027" s="16" t="str">
        <f>"857.76"</f>
        <v>857.76</v>
      </c>
      <c r="H1027" s="17">
        <f t="shared" ref="H1027:H1090" si="16">G1027-8</f>
        <v>849.76</v>
      </c>
      <c r="I1027" s="18" t="s">
        <v>43</v>
      </c>
      <c r="J1027" s="15">
        <v>4</v>
      </c>
      <c r="K1027" s="15">
        <v>2016</v>
      </c>
      <c r="L1027" s="15"/>
      <c r="M1027" s="15"/>
      <c r="N1027" s="15"/>
      <c r="O1027" s="15"/>
      <c r="P1027" s="15"/>
      <c r="Q1027" s="15"/>
      <c r="R1027" s="15"/>
      <c r="S1027" s="15"/>
      <c r="T1027" s="15"/>
      <c r="U1027" s="15" t="str">
        <f>"829.76"</f>
        <v>829.76</v>
      </c>
      <c r="V1027" s="15"/>
      <c r="W1027" s="15"/>
      <c r="X1027" s="15"/>
      <c r="Y1027" s="15"/>
      <c r="Z1027" s="15"/>
      <c r="AA1027" s="15"/>
      <c r="AB1027" s="15"/>
      <c r="AC1027" s="15"/>
      <c r="AD1027" s="15"/>
      <c r="AE1027" s="15"/>
      <c r="AF1027" s="15"/>
      <c r="AG1027" s="15"/>
      <c r="AH1027" s="15"/>
      <c r="AI1027" s="15"/>
    </row>
    <row r="1028" spans="1:35">
      <c r="A1028" s="14">
        <v>1026</v>
      </c>
      <c r="B1028" s="14">
        <v>1393</v>
      </c>
      <c r="C1028" s="14" t="s">
        <v>1197</v>
      </c>
      <c r="D1028" s="14" t="s">
        <v>1198</v>
      </c>
      <c r="E1028" s="15" t="str">
        <f>"847.52"</f>
        <v>847.52</v>
      </c>
      <c r="F1028" s="15"/>
      <c r="G1028" s="16" t="str">
        <f>"875.52"</f>
        <v>875.52</v>
      </c>
      <c r="H1028" s="17">
        <f t="shared" si="16"/>
        <v>867.52</v>
      </c>
      <c r="I1028" s="18" t="s">
        <v>40</v>
      </c>
      <c r="J1028" s="15">
        <v>1</v>
      </c>
      <c r="K1028" s="15">
        <v>2016</v>
      </c>
      <c r="L1028" s="15" t="str">
        <f>"847.52"</f>
        <v>847.52</v>
      </c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  <c r="AB1028" s="15"/>
      <c r="AC1028" s="15"/>
      <c r="AD1028" s="15"/>
      <c r="AE1028" s="15"/>
      <c r="AF1028" s="15"/>
      <c r="AG1028" s="15"/>
      <c r="AH1028" s="15"/>
      <c r="AI1028" s="15"/>
    </row>
    <row r="1029" spans="1:35">
      <c r="A1029" s="14">
        <v>1027</v>
      </c>
      <c r="B1029" s="14">
        <v>10506</v>
      </c>
      <c r="C1029" s="14" t="s">
        <v>1199</v>
      </c>
      <c r="D1029" s="14" t="s">
        <v>58</v>
      </c>
      <c r="E1029" s="15" t="str">
        <f>"884.74"</f>
        <v>884.74</v>
      </c>
      <c r="F1029" s="15"/>
      <c r="G1029" s="16" t="str">
        <f>"884.74"</f>
        <v>884.74</v>
      </c>
      <c r="H1029" s="17">
        <f t="shared" si="16"/>
        <v>876.74</v>
      </c>
      <c r="I1029" s="18" t="s">
        <v>43</v>
      </c>
      <c r="J1029" s="15">
        <v>4</v>
      </c>
      <c r="K1029" s="15">
        <v>2016</v>
      </c>
      <c r="L1029" s="15"/>
      <c r="M1029" s="15"/>
      <c r="N1029" s="15"/>
      <c r="O1029" s="15"/>
      <c r="P1029" s="15"/>
      <c r="Q1029" s="15"/>
      <c r="R1029" s="15"/>
      <c r="S1029" s="15"/>
      <c r="T1029" s="15"/>
      <c r="U1029" s="15" t="str">
        <f>"856.74"</f>
        <v>856.74</v>
      </c>
      <c r="V1029" s="15"/>
      <c r="W1029" s="15"/>
      <c r="X1029" s="15"/>
      <c r="Y1029" s="15"/>
      <c r="Z1029" s="15"/>
      <c r="AA1029" s="15"/>
      <c r="AB1029" s="15"/>
      <c r="AC1029" s="15"/>
      <c r="AD1029" s="15"/>
      <c r="AE1029" s="15"/>
      <c r="AF1029" s="15"/>
      <c r="AG1029" s="15"/>
      <c r="AH1029" s="15"/>
      <c r="AI1029" s="15"/>
    </row>
    <row r="1030" spans="1:35">
      <c r="A1030" s="14">
        <v>1028</v>
      </c>
      <c r="B1030" s="14">
        <v>10090</v>
      </c>
      <c r="C1030" s="14" t="s">
        <v>1200</v>
      </c>
      <c r="D1030" s="14" t="s">
        <v>51</v>
      </c>
      <c r="E1030" s="15" t="str">
        <f>"883.79"</f>
        <v>883.79</v>
      </c>
      <c r="F1030" s="15"/>
      <c r="G1030" s="16" t="str">
        <f>"911.79"</f>
        <v>911.79</v>
      </c>
      <c r="H1030" s="17">
        <f t="shared" si="16"/>
        <v>903.79</v>
      </c>
      <c r="I1030" s="18" t="s">
        <v>40</v>
      </c>
      <c r="J1030" s="15">
        <v>1</v>
      </c>
      <c r="K1030" s="15">
        <v>2016</v>
      </c>
      <c r="L1030" s="15" t="str">
        <f>"883.79"</f>
        <v>883.79</v>
      </c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F1030" s="15"/>
      <c r="AG1030" s="15"/>
      <c r="AH1030" s="15"/>
      <c r="AI1030" s="15"/>
    </row>
    <row r="1031" spans="1:35">
      <c r="A1031" s="14">
        <v>1029</v>
      </c>
      <c r="B1031" s="14">
        <v>10186</v>
      </c>
      <c r="C1031" s="14" t="s">
        <v>1201</v>
      </c>
      <c r="D1031" s="14" t="s">
        <v>58</v>
      </c>
      <c r="E1031" s="15" t="str">
        <f>"639.16"</f>
        <v>639.16</v>
      </c>
      <c r="F1031" s="15"/>
      <c r="G1031" s="16" t="str">
        <f>"912.28"</f>
        <v>912.28</v>
      </c>
      <c r="H1031" s="17">
        <f t="shared" si="16"/>
        <v>904.28</v>
      </c>
      <c r="I1031" s="18" t="s">
        <v>43</v>
      </c>
      <c r="J1031" s="15">
        <v>2</v>
      </c>
      <c r="K1031" s="15">
        <v>2016</v>
      </c>
      <c r="L1031" s="15" t="str">
        <f>"639.16"</f>
        <v>639.16</v>
      </c>
      <c r="M1031" s="15"/>
      <c r="N1031" s="15"/>
      <c r="O1031" s="15"/>
      <c r="P1031" s="15"/>
      <c r="Q1031" s="15"/>
      <c r="R1031" s="15"/>
      <c r="S1031" s="15"/>
      <c r="T1031" s="15"/>
      <c r="U1031" s="15" t="str">
        <f>"884.28"</f>
        <v>884.28</v>
      </c>
      <c r="V1031" s="15"/>
      <c r="W1031" s="15"/>
      <c r="X1031" s="15"/>
      <c r="Y1031" s="15"/>
      <c r="Z1031" s="15"/>
      <c r="AA1031" s="15"/>
      <c r="AB1031" s="15"/>
      <c r="AC1031" s="15"/>
      <c r="AD1031" s="15"/>
      <c r="AE1031" s="15"/>
      <c r="AF1031" s="15"/>
      <c r="AG1031" s="15"/>
      <c r="AH1031" s="15"/>
      <c r="AI1031" s="15"/>
    </row>
    <row r="1032" spans="1:35">
      <c r="A1032" s="14">
        <v>1030</v>
      </c>
      <c r="B1032" s="14">
        <v>10164</v>
      </c>
      <c r="C1032" s="14" t="s">
        <v>1202</v>
      </c>
      <c r="D1032" s="14" t="s">
        <v>58</v>
      </c>
      <c r="E1032" s="15" t="str">
        <f>"666.00"</f>
        <v>666.00</v>
      </c>
      <c r="F1032" s="15"/>
      <c r="G1032" s="16" t="str">
        <f>"913.38"</f>
        <v>913.38</v>
      </c>
      <c r="H1032" s="17">
        <f t="shared" si="16"/>
        <v>905.38</v>
      </c>
      <c r="I1032" s="18" t="s">
        <v>43</v>
      </c>
      <c r="J1032" s="15">
        <v>2</v>
      </c>
      <c r="K1032" s="15">
        <v>2016</v>
      </c>
      <c r="L1032" s="15" t="str">
        <f>"666.00"</f>
        <v>666.00</v>
      </c>
      <c r="M1032" s="15"/>
      <c r="N1032" s="15"/>
      <c r="O1032" s="15"/>
      <c r="P1032" s="15"/>
      <c r="Q1032" s="15"/>
      <c r="R1032" s="15"/>
      <c r="S1032" s="15"/>
      <c r="T1032" s="15"/>
      <c r="U1032" s="15" t="str">
        <f>"885.38"</f>
        <v>885.38</v>
      </c>
      <c r="V1032" s="15"/>
      <c r="W1032" s="15"/>
      <c r="X1032" s="15"/>
      <c r="Y1032" s="15"/>
      <c r="Z1032" s="15"/>
      <c r="AA1032" s="15"/>
      <c r="AB1032" s="15"/>
      <c r="AC1032" s="15"/>
      <c r="AD1032" s="15"/>
      <c r="AE1032" s="15"/>
      <c r="AF1032" s="15"/>
      <c r="AG1032" s="15"/>
      <c r="AH1032" s="15"/>
      <c r="AI1032" s="15"/>
    </row>
    <row r="1033" spans="1:35">
      <c r="A1033" s="14">
        <v>1031</v>
      </c>
      <c r="B1033" s="14">
        <v>10384</v>
      </c>
      <c r="C1033" s="14" t="s">
        <v>1203</v>
      </c>
      <c r="D1033" s="14" t="s">
        <v>58</v>
      </c>
      <c r="E1033" s="15" t="str">
        <f>"725.32"</f>
        <v>725.32</v>
      </c>
      <c r="F1033" s="15"/>
      <c r="G1033" s="16" t="str">
        <f>"915.02"</f>
        <v>915.02</v>
      </c>
      <c r="H1033" s="17">
        <f t="shared" si="16"/>
        <v>907.02</v>
      </c>
      <c r="I1033" s="18" t="s">
        <v>43</v>
      </c>
      <c r="J1033" s="15">
        <v>2</v>
      </c>
      <c r="K1033" s="15">
        <v>2016</v>
      </c>
      <c r="L1033" s="15" t="str">
        <f>"725.32"</f>
        <v>725.32</v>
      </c>
      <c r="M1033" s="15"/>
      <c r="N1033" s="15"/>
      <c r="O1033" s="15"/>
      <c r="P1033" s="15"/>
      <c r="Q1033" s="15"/>
      <c r="R1033" s="15"/>
      <c r="S1033" s="15"/>
      <c r="T1033" s="15"/>
      <c r="U1033" s="15" t="str">
        <f>"887.02"</f>
        <v>887.02</v>
      </c>
      <c r="V1033" s="15"/>
      <c r="W1033" s="15"/>
      <c r="X1033" s="15"/>
      <c r="Y1033" s="15"/>
      <c r="Z1033" s="15"/>
      <c r="AA1033" s="15"/>
      <c r="AB1033" s="15"/>
      <c r="AC1033" s="15"/>
      <c r="AD1033" s="15"/>
      <c r="AE1033" s="15"/>
      <c r="AF1033" s="15"/>
      <c r="AG1033" s="15"/>
      <c r="AH1033" s="15"/>
      <c r="AI1033" s="15"/>
    </row>
    <row r="1034" spans="1:35">
      <c r="A1034" s="14">
        <v>1032</v>
      </c>
      <c r="B1034" s="14">
        <v>10816</v>
      </c>
      <c r="C1034" s="14" t="s">
        <v>1204</v>
      </c>
      <c r="D1034" s="14" t="s">
        <v>58</v>
      </c>
      <c r="E1034" s="15" t="str">
        <f>"924.38"</f>
        <v>924.38</v>
      </c>
      <c r="F1034" s="15"/>
      <c r="G1034" s="16" t="str">
        <f>"924.38"</f>
        <v>924.38</v>
      </c>
      <c r="H1034" s="17">
        <f t="shared" si="16"/>
        <v>916.38</v>
      </c>
      <c r="I1034" s="18" t="s">
        <v>43</v>
      </c>
      <c r="J1034" s="15">
        <v>4</v>
      </c>
      <c r="K1034" s="15">
        <v>2016</v>
      </c>
      <c r="L1034" s="15"/>
      <c r="M1034" s="15"/>
      <c r="N1034" s="15"/>
      <c r="O1034" s="15"/>
      <c r="P1034" s="15"/>
      <c r="Q1034" s="15"/>
      <c r="R1034" s="15"/>
      <c r="S1034" s="15"/>
      <c r="T1034" s="15"/>
      <c r="U1034" s="15" t="str">
        <f>"896.38"</f>
        <v>896.38</v>
      </c>
      <c r="V1034" s="15"/>
      <c r="W1034" s="15"/>
      <c r="X1034" s="15"/>
      <c r="Y1034" s="15"/>
      <c r="Z1034" s="15"/>
      <c r="AA1034" s="15"/>
      <c r="AB1034" s="15"/>
      <c r="AC1034" s="15"/>
      <c r="AD1034" s="15"/>
      <c r="AE1034" s="15"/>
      <c r="AF1034" s="15"/>
      <c r="AG1034" s="15"/>
      <c r="AH1034" s="15"/>
      <c r="AI1034" s="15"/>
    </row>
    <row r="1035" spans="1:35">
      <c r="A1035" s="14">
        <v>1033</v>
      </c>
      <c r="B1035" s="14">
        <v>10488</v>
      </c>
      <c r="C1035" s="14" t="s">
        <v>1205</v>
      </c>
      <c r="D1035" s="14" t="s">
        <v>58</v>
      </c>
      <c r="E1035" s="15" t="str">
        <f>"711.72"</f>
        <v>711.72</v>
      </c>
      <c r="F1035" s="15"/>
      <c r="G1035" s="16" t="str">
        <f>"932.64"</f>
        <v>932.64</v>
      </c>
      <c r="H1035" s="17">
        <f t="shared" si="16"/>
        <v>924.64</v>
      </c>
      <c r="I1035" s="18" t="s">
        <v>43</v>
      </c>
      <c r="J1035" s="15">
        <v>2</v>
      </c>
      <c r="K1035" s="15">
        <v>2016</v>
      </c>
      <c r="L1035" s="15" t="str">
        <f>"711.72"</f>
        <v>711.72</v>
      </c>
      <c r="M1035" s="15"/>
      <c r="N1035" s="15"/>
      <c r="O1035" s="15"/>
      <c r="P1035" s="15"/>
      <c r="Q1035" s="15"/>
      <c r="R1035" s="15"/>
      <c r="S1035" s="15"/>
      <c r="T1035" s="15"/>
      <c r="U1035" s="15" t="str">
        <f>"904.64"</f>
        <v>904.64</v>
      </c>
      <c r="V1035" s="15"/>
      <c r="W1035" s="15"/>
      <c r="X1035" s="15"/>
      <c r="Y1035" s="15"/>
      <c r="Z1035" s="15"/>
      <c r="AA1035" s="15"/>
      <c r="AB1035" s="15"/>
      <c r="AC1035" s="15"/>
      <c r="AD1035" s="15"/>
      <c r="AE1035" s="15"/>
      <c r="AF1035" s="15"/>
      <c r="AG1035" s="15"/>
      <c r="AH1035" s="15"/>
      <c r="AI1035" s="15"/>
    </row>
    <row r="1036" spans="1:35">
      <c r="A1036" s="14">
        <v>1034</v>
      </c>
      <c r="B1036" s="14">
        <v>10178</v>
      </c>
      <c r="C1036" s="14" t="s">
        <v>1206</v>
      </c>
      <c r="D1036" s="14" t="s">
        <v>58</v>
      </c>
      <c r="E1036" s="15" t="str">
        <f>"593.35"</f>
        <v>593.35</v>
      </c>
      <c r="F1036" s="15"/>
      <c r="G1036" s="16" t="str">
        <f>"935.89"</f>
        <v>935.89</v>
      </c>
      <c r="H1036" s="17">
        <f t="shared" si="16"/>
        <v>927.89</v>
      </c>
      <c r="I1036" s="18"/>
      <c r="J1036" s="15">
        <v>3</v>
      </c>
      <c r="K1036" s="15">
        <v>2016</v>
      </c>
      <c r="L1036" s="15" t="str">
        <f>"593.35"</f>
        <v>593.35</v>
      </c>
      <c r="M1036" s="15"/>
      <c r="N1036" s="15"/>
      <c r="O1036" s="15"/>
      <c r="P1036" s="15" t="str">
        <f>"737.50"</f>
        <v>737.50</v>
      </c>
      <c r="Q1036" s="15"/>
      <c r="R1036" s="15"/>
      <c r="S1036" s="15"/>
      <c r="T1036" s="15"/>
      <c r="U1036" s="15" t="str">
        <f>"1134.28"</f>
        <v>1134.28</v>
      </c>
      <c r="V1036" s="15"/>
      <c r="W1036" s="15"/>
      <c r="X1036" s="15"/>
      <c r="Y1036" s="15"/>
      <c r="Z1036" s="15"/>
      <c r="AA1036" s="15"/>
      <c r="AB1036" s="15"/>
      <c r="AC1036" s="15"/>
      <c r="AD1036" s="15"/>
      <c r="AE1036" s="15"/>
      <c r="AF1036" s="15"/>
      <c r="AG1036" s="15"/>
      <c r="AH1036" s="15"/>
      <c r="AI1036" s="15"/>
    </row>
    <row r="1037" spans="1:35">
      <c r="A1037" s="14">
        <v>1035</v>
      </c>
      <c r="B1037" s="14">
        <v>10121</v>
      </c>
      <c r="C1037" s="14" t="s">
        <v>1207</v>
      </c>
      <c r="D1037" s="14" t="s">
        <v>58</v>
      </c>
      <c r="E1037" s="15" t="str">
        <f>"539.69"</f>
        <v>539.69</v>
      </c>
      <c r="F1037" s="15"/>
      <c r="G1037" s="16" t="str">
        <f>"939.26"</f>
        <v>939.26</v>
      </c>
      <c r="H1037" s="17">
        <f t="shared" si="16"/>
        <v>931.26</v>
      </c>
      <c r="I1037" s="18" t="s">
        <v>43</v>
      </c>
      <c r="J1037" s="15">
        <v>2</v>
      </c>
      <c r="K1037" s="15">
        <v>2016</v>
      </c>
      <c r="L1037" s="15" t="str">
        <f>"539.69"</f>
        <v>539.69</v>
      </c>
      <c r="M1037" s="15"/>
      <c r="N1037" s="15"/>
      <c r="O1037" s="15"/>
      <c r="P1037" s="15"/>
      <c r="Q1037" s="15"/>
      <c r="R1037" s="15"/>
      <c r="S1037" s="15"/>
      <c r="T1037" s="15"/>
      <c r="U1037" s="15" t="str">
        <f>"911.26"</f>
        <v>911.26</v>
      </c>
      <c r="V1037" s="15"/>
      <c r="W1037" s="15"/>
      <c r="X1037" s="15"/>
      <c r="Y1037" s="15"/>
      <c r="Z1037" s="15"/>
      <c r="AA1037" s="15"/>
      <c r="AB1037" s="15"/>
      <c r="AC1037" s="15"/>
      <c r="AD1037" s="15"/>
      <c r="AE1037" s="15"/>
      <c r="AF1037" s="15"/>
      <c r="AG1037" s="15"/>
      <c r="AH1037" s="15"/>
      <c r="AI1037" s="15"/>
    </row>
    <row r="1038" spans="1:35">
      <c r="A1038" s="14">
        <v>1036</v>
      </c>
      <c r="B1038" s="14">
        <v>10492</v>
      </c>
      <c r="C1038" s="14" t="s">
        <v>1208</v>
      </c>
      <c r="D1038" s="14" t="s">
        <v>58</v>
      </c>
      <c r="E1038" s="15" t="str">
        <f>"953.02"</f>
        <v>953.02</v>
      </c>
      <c r="F1038" s="15"/>
      <c r="G1038" s="16" t="str">
        <f>"953.02"</f>
        <v>953.02</v>
      </c>
      <c r="H1038" s="17">
        <f t="shared" si="16"/>
        <v>945.02</v>
      </c>
      <c r="I1038" s="18" t="s">
        <v>43</v>
      </c>
      <c r="J1038" s="15">
        <v>4</v>
      </c>
      <c r="K1038" s="15">
        <v>2016</v>
      </c>
      <c r="L1038" s="15"/>
      <c r="M1038" s="15"/>
      <c r="N1038" s="15"/>
      <c r="O1038" s="15"/>
      <c r="P1038" s="15"/>
      <c r="Q1038" s="15"/>
      <c r="R1038" s="15"/>
      <c r="S1038" s="15"/>
      <c r="T1038" s="15"/>
      <c r="U1038" s="15" t="str">
        <f>"925.02"</f>
        <v>925.02</v>
      </c>
      <c r="V1038" s="15"/>
      <c r="W1038" s="15"/>
      <c r="X1038" s="15"/>
      <c r="Y1038" s="15"/>
      <c r="Z1038" s="15"/>
      <c r="AA1038" s="15"/>
      <c r="AB1038" s="15"/>
      <c r="AC1038" s="15"/>
      <c r="AD1038" s="15"/>
      <c r="AE1038" s="15"/>
      <c r="AF1038" s="15"/>
      <c r="AG1038" s="15"/>
      <c r="AH1038" s="15"/>
      <c r="AI1038" s="15"/>
    </row>
    <row r="1039" spans="1:35">
      <c r="A1039" s="14">
        <v>1037</v>
      </c>
      <c r="B1039" s="14">
        <v>10418</v>
      </c>
      <c r="C1039" s="14" t="s">
        <v>1209</v>
      </c>
      <c r="D1039" s="14" t="s">
        <v>58</v>
      </c>
      <c r="E1039" s="15" t="str">
        <f>"960.18"</f>
        <v>960.18</v>
      </c>
      <c r="F1039" s="15"/>
      <c r="G1039" s="16" t="str">
        <f>"960.18"</f>
        <v>960.18</v>
      </c>
      <c r="H1039" s="17">
        <f t="shared" si="16"/>
        <v>952.18</v>
      </c>
      <c r="I1039" s="18" t="s">
        <v>43</v>
      </c>
      <c r="J1039" s="15">
        <v>4</v>
      </c>
      <c r="K1039" s="15">
        <v>2016</v>
      </c>
      <c r="L1039" s="15"/>
      <c r="M1039" s="15"/>
      <c r="N1039" s="15"/>
      <c r="O1039" s="15"/>
      <c r="P1039" s="15"/>
      <c r="Q1039" s="15"/>
      <c r="R1039" s="15"/>
      <c r="S1039" s="15"/>
      <c r="T1039" s="15"/>
      <c r="U1039" s="15" t="str">
        <f>"932.18"</f>
        <v>932.18</v>
      </c>
      <c r="V1039" s="15"/>
      <c r="W1039" s="15"/>
      <c r="X1039" s="15"/>
      <c r="Y1039" s="15"/>
      <c r="Z1039" s="15"/>
      <c r="AA1039" s="15"/>
      <c r="AB1039" s="15"/>
      <c r="AC1039" s="15"/>
      <c r="AD1039" s="15"/>
      <c r="AE1039" s="15"/>
      <c r="AF1039" s="15"/>
      <c r="AG1039" s="15"/>
      <c r="AH1039" s="15"/>
      <c r="AI1039" s="15"/>
    </row>
    <row r="1040" spans="1:35">
      <c r="A1040" s="14">
        <v>1038</v>
      </c>
      <c r="B1040" s="14">
        <v>10397</v>
      </c>
      <c r="C1040" s="14" t="s">
        <v>1210</v>
      </c>
      <c r="D1040" s="14" t="s">
        <v>58</v>
      </c>
      <c r="E1040" s="15" t="str">
        <f>"964.10"</f>
        <v>964.10</v>
      </c>
      <c r="F1040" s="15"/>
      <c r="G1040" s="16" t="str">
        <f>"964.10"</f>
        <v>964.10</v>
      </c>
      <c r="H1040" s="17">
        <f t="shared" si="16"/>
        <v>956.1</v>
      </c>
      <c r="I1040" s="18"/>
      <c r="J1040" s="15">
        <v>5</v>
      </c>
      <c r="K1040" s="15">
        <v>2016</v>
      </c>
      <c r="L1040" s="15"/>
      <c r="M1040" s="15"/>
      <c r="N1040" s="15"/>
      <c r="O1040" s="15"/>
      <c r="P1040" s="15"/>
      <c r="Q1040" s="15"/>
      <c r="R1040" s="15"/>
      <c r="S1040" s="15"/>
      <c r="T1040" s="15"/>
      <c r="U1040" s="15" t="str">
        <f>"1375.46"</f>
        <v>1375.46</v>
      </c>
      <c r="V1040" s="15"/>
      <c r="W1040" s="15"/>
      <c r="X1040" s="15"/>
      <c r="Y1040" s="15"/>
      <c r="Z1040" s="15"/>
      <c r="AA1040" s="15"/>
      <c r="AB1040" s="15"/>
      <c r="AC1040" s="15"/>
      <c r="AD1040" s="15"/>
      <c r="AE1040" s="15"/>
      <c r="AF1040" s="15" t="str">
        <f>"552.73"</f>
        <v>552.73</v>
      </c>
      <c r="AG1040" s="15"/>
      <c r="AH1040" s="15"/>
      <c r="AI1040" s="15"/>
    </row>
    <row r="1041" spans="1:35">
      <c r="A1041" s="14">
        <v>1039</v>
      </c>
      <c r="B1041" s="14">
        <v>10395</v>
      </c>
      <c r="C1041" s="14" t="s">
        <v>1211</v>
      </c>
      <c r="D1041" s="14" t="s">
        <v>58</v>
      </c>
      <c r="E1041" s="15" t="str">
        <f>"979.98"</f>
        <v>979.98</v>
      </c>
      <c r="F1041" s="15"/>
      <c r="G1041" s="16" t="str">
        <f>"979.98"</f>
        <v>979.98</v>
      </c>
      <c r="H1041" s="17">
        <f t="shared" si="16"/>
        <v>971.98</v>
      </c>
      <c r="I1041" s="18"/>
      <c r="J1041" s="15">
        <v>5</v>
      </c>
      <c r="K1041" s="15">
        <v>2016</v>
      </c>
      <c r="L1041" s="15"/>
      <c r="M1041" s="15"/>
      <c r="N1041" s="15"/>
      <c r="O1041" s="15"/>
      <c r="P1041" s="15"/>
      <c r="Q1041" s="15"/>
      <c r="R1041" s="15"/>
      <c r="S1041" s="15"/>
      <c r="T1041" s="15"/>
      <c r="U1041" s="15" t="str">
        <f>"1523.04"</f>
        <v>1523.04</v>
      </c>
      <c r="V1041" s="15"/>
      <c r="W1041" s="15"/>
      <c r="X1041" s="15"/>
      <c r="Y1041" s="15"/>
      <c r="Z1041" s="15"/>
      <c r="AA1041" s="15"/>
      <c r="AB1041" s="15"/>
      <c r="AC1041" s="15"/>
      <c r="AD1041" s="15"/>
      <c r="AE1041" s="15"/>
      <c r="AF1041" s="15" t="str">
        <f>"436.92"</f>
        <v>436.92</v>
      </c>
      <c r="AG1041" s="15"/>
      <c r="AH1041" s="15"/>
      <c r="AI1041" s="15"/>
    </row>
    <row r="1042" spans="1:35">
      <c r="A1042" s="14">
        <v>1040</v>
      </c>
      <c r="B1042" s="14">
        <v>10388</v>
      </c>
      <c r="C1042" s="14" t="s">
        <v>1212</v>
      </c>
      <c r="D1042" s="14" t="s">
        <v>58</v>
      </c>
      <c r="E1042" s="15" t="str">
        <f>"985.29"</f>
        <v>985.29</v>
      </c>
      <c r="F1042" s="15"/>
      <c r="G1042" s="16" t="str">
        <f>"985.29"</f>
        <v>985.29</v>
      </c>
      <c r="H1042" s="17">
        <f t="shared" si="16"/>
        <v>977.29</v>
      </c>
      <c r="I1042" s="18"/>
      <c r="J1042" s="15">
        <v>5</v>
      </c>
      <c r="K1042" s="15">
        <v>2016</v>
      </c>
      <c r="L1042" s="15"/>
      <c r="M1042" s="15"/>
      <c r="N1042" s="15"/>
      <c r="O1042" s="15"/>
      <c r="P1042" s="15"/>
      <c r="Q1042" s="15"/>
      <c r="R1042" s="15"/>
      <c r="S1042" s="15"/>
      <c r="T1042" s="15"/>
      <c r="U1042" s="15" t="str">
        <f>"1449.80"</f>
        <v>1449.80</v>
      </c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F1042" s="15" t="str">
        <f>"520.77"</f>
        <v>520.77</v>
      </c>
      <c r="AG1042" s="15"/>
      <c r="AH1042" s="15"/>
      <c r="AI1042" s="15"/>
    </row>
    <row r="1043" spans="1:35">
      <c r="A1043" s="14">
        <v>1041</v>
      </c>
      <c r="B1043" s="14">
        <v>10119</v>
      </c>
      <c r="C1043" s="14" t="s">
        <v>1213</v>
      </c>
      <c r="D1043" s="14" t="s">
        <v>58</v>
      </c>
      <c r="E1043" s="15" t="str">
        <f>"547.48"</f>
        <v>547.48</v>
      </c>
      <c r="F1043" s="15"/>
      <c r="G1043" s="16" t="str">
        <f>"1004.24"</f>
        <v>1004.24</v>
      </c>
      <c r="H1043" s="17">
        <f t="shared" si="16"/>
        <v>996.24</v>
      </c>
      <c r="I1043" s="18" t="s">
        <v>43</v>
      </c>
      <c r="J1043" s="15">
        <v>2</v>
      </c>
      <c r="K1043" s="15">
        <v>2016</v>
      </c>
      <c r="L1043" s="15" t="str">
        <f>"547.48"</f>
        <v>547.48</v>
      </c>
      <c r="M1043" s="15"/>
      <c r="N1043" s="15"/>
      <c r="O1043" s="15"/>
      <c r="P1043" s="15"/>
      <c r="Q1043" s="15"/>
      <c r="R1043" s="15"/>
      <c r="S1043" s="15"/>
      <c r="T1043" s="15"/>
      <c r="U1043" s="15" t="str">
        <f>"976.24"</f>
        <v>976.24</v>
      </c>
      <c r="V1043" s="15"/>
      <c r="W1043" s="15"/>
      <c r="X1043" s="15"/>
      <c r="Y1043" s="15"/>
      <c r="Z1043" s="15"/>
      <c r="AA1043" s="15"/>
      <c r="AB1043" s="15"/>
      <c r="AC1043" s="15"/>
      <c r="AD1043" s="15"/>
      <c r="AE1043" s="15"/>
      <c r="AF1043" s="15"/>
      <c r="AG1043" s="15"/>
      <c r="AH1043" s="15"/>
      <c r="AI1043" s="15"/>
    </row>
    <row r="1044" spans="1:35">
      <c r="A1044" s="14">
        <v>1042</v>
      </c>
      <c r="B1044" s="14">
        <v>10387</v>
      </c>
      <c r="C1044" s="14" t="s">
        <v>1214</v>
      </c>
      <c r="D1044" s="14" t="s">
        <v>58</v>
      </c>
      <c r="E1044" s="15" t="str">
        <f>"1021.86"</f>
        <v>1021.86</v>
      </c>
      <c r="F1044" s="15"/>
      <c r="G1044" s="16" t="str">
        <f>"1021.86"</f>
        <v>1021.86</v>
      </c>
      <c r="H1044" s="17">
        <f t="shared" si="16"/>
        <v>1013.86</v>
      </c>
      <c r="I1044" s="18" t="s">
        <v>43</v>
      </c>
      <c r="J1044" s="15">
        <v>4</v>
      </c>
      <c r="K1044" s="15">
        <v>2016</v>
      </c>
      <c r="L1044" s="15"/>
      <c r="M1044" s="15"/>
      <c r="N1044" s="15"/>
      <c r="O1044" s="15"/>
      <c r="P1044" s="15"/>
      <c r="Q1044" s="15"/>
      <c r="R1044" s="15"/>
      <c r="S1044" s="15"/>
      <c r="T1044" s="15"/>
      <c r="U1044" s="15" t="str">
        <f>"993.86"</f>
        <v>993.86</v>
      </c>
      <c r="V1044" s="15"/>
      <c r="W1044" s="15"/>
      <c r="X1044" s="15"/>
      <c r="Y1044" s="15"/>
      <c r="Z1044" s="15"/>
      <c r="AA1044" s="15"/>
      <c r="AB1044" s="15"/>
      <c r="AC1044" s="15"/>
      <c r="AD1044" s="15"/>
      <c r="AE1044" s="15"/>
      <c r="AF1044" s="15"/>
      <c r="AG1044" s="15"/>
      <c r="AH1044" s="15"/>
      <c r="AI1044" s="15"/>
    </row>
    <row r="1045" spans="1:35">
      <c r="A1045" s="14">
        <v>1043</v>
      </c>
      <c r="B1045" s="14">
        <v>10396</v>
      </c>
      <c r="C1045" s="14" t="s">
        <v>1215</v>
      </c>
      <c r="D1045" s="14" t="s">
        <v>58</v>
      </c>
      <c r="E1045" s="15" t="str">
        <f>"1028.40"</f>
        <v>1028.40</v>
      </c>
      <c r="F1045" s="15"/>
      <c r="G1045" s="16" t="str">
        <f>"1028.40"</f>
        <v>1028.40</v>
      </c>
      <c r="H1045" s="17">
        <f t="shared" si="16"/>
        <v>1020.4000000000001</v>
      </c>
      <c r="I1045" s="18"/>
      <c r="J1045" s="15">
        <v>5</v>
      </c>
      <c r="K1045" s="15">
        <v>2016</v>
      </c>
      <c r="L1045" s="15"/>
      <c r="M1045" s="15"/>
      <c r="N1045" s="15"/>
      <c r="O1045" s="15"/>
      <c r="P1045" s="15"/>
      <c r="Q1045" s="15"/>
      <c r="R1045" s="15"/>
      <c r="S1045" s="15"/>
      <c r="T1045" s="15"/>
      <c r="U1045" s="15" t="str">
        <f>"1405.76"</f>
        <v>1405.76</v>
      </c>
      <c r="V1045" s="15"/>
      <c r="W1045" s="15"/>
      <c r="X1045" s="15"/>
      <c r="Y1045" s="15"/>
      <c r="Z1045" s="15"/>
      <c r="AA1045" s="15"/>
      <c r="AB1045" s="15"/>
      <c r="AC1045" s="15"/>
      <c r="AD1045" s="15"/>
      <c r="AE1045" s="15"/>
      <c r="AF1045" s="15" t="str">
        <f>"651.03"</f>
        <v>651.03</v>
      </c>
      <c r="AG1045" s="15"/>
      <c r="AH1045" s="15"/>
      <c r="AI1045" s="15"/>
    </row>
    <row r="1046" spans="1:35">
      <c r="A1046" s="14">
        <v>1044</v>
      </c>
      <c r="B1046" s="14">
        <v>10761</v>
      </c>
      <c r="C1046" s="14" t="s">
        <v>1216</v>
      </c>
      <c r="D1046" s="14" t="s">
        <v>58</v>
      </c>
      <c r="E1046" s="15" t="str">
        <f>"1032.32"</f>
        <v>1032.32</v>
      </c>
      <c r="F1046" s="15"/>
      <c r="G1046" s="16" t="str">
        <f>"1032.32"</f>
        <v>1032.32</v>
      </c>
      <c r="H1046" s="17">
        <f t="shared" si="16"/>
        <v>1024.32</v>
      </c>
      <c r="I1046" s="18" t="s">
        <v>43</v>
      </c>
      <c r="J1046" s="15">
        <v>4</v>
      </c>
      <c r="K1046" s="15">
        <v>2016</v>
      </c>
      <c r="L1046" s="15"/>
      <c r="M1046" s="15"/>
      <c r="N1046" s="15"/>
      <c r="O1046" s="15"/>
      <c r="P1046" s="15"/>
      <c r="Q1046" s="15"/>
      <c r="R1046" s="15"/>
      <c r="S1046" s="15"/>
      <c r="T1046" s="15"/>
      <c r="U1046" s="15" t="str">
        <f>"1004.32"</f>
        <v>1004.32</v>
      </c>
      <c r="V1046" s="15"/>
      <c r="W1046" s="15"/>
      <c r="X1046" s="15"/>
      <c r="Y1046" s="15"/>
      <c r="Z1046" s="15"/>
      <c r="AA1046" s="15"/>
      <c r="AB1046" s="15"/>
      <c r="AC1046" s="15"/>
      <c r="AD1046" s="15"/>
      <c r="AE1046" s="15"/>
      <c r="AF1046" s="15"/>
      <c r="AG1046" s="15"/>
      <c r="AH1046" s="15"/>
      <c r="AI1046" s="15"/>
    </row>
    <row r="1047" spans="1:35">
      <c r="A1047" s="14">
        <v>1045</v>
      </c>
      <c r="B1047" s="14">
        <v>10681</v>
      </c>
      <c r="C1047" s="14" t="s">
        <v>1217</v>
      </c>
      <c r="D1047" s="14" t="s">
        <v>58</v>
      </c>
      <c r="E1047" s="15" t="str">
        <f>"1035.06"</f>
        <v>1035.06</v>
      </c>
      <c r="F1047" s="15"/>
      <c r="G1047" s="16" t="str">
        <f>"1035.06"</f>
        <v>1035.06</v>
      </c>
      <c r="H1047" s="17">
        <f t="shared" si="16"/>
        <v>1027.06</v>
      </c>
      <c r="I1047" s="18" t="s">
        <v>43</v>
      </c>
      <c r="J1047" s="15">
        <v>4</v>
      </c>
      <c r="K1047" s="15">
        <v>2016</v>
      </c>
      <c r="L1047" s="15"/>
      <c r="M1047" s="15"/>
      <c r="N1047" s="15"/>
      <c r="O1047" s="15"/>
      <c r="P1047" s="15"/>
      <c r="Q1047" s="15"/>
      <c r="R1047" s="15"/>
      <c r="S1047" s="15"/>
      <c r="T1047" s="15"/>
      <c r="U1047" s="15" t="str">
        <f>"1007.06"</f>
        <v>1007.06</v>
      </c>
      <c r="V1047" s="15"/>
      <c r="W1047" s="15"/>
      <c r="X1047" s="15"/>
      <c r="Y1047" s="15"/>
      <c r="Z1047" s="15"/>
      <c r="AA1047" s="15"/>
      <c r="AB1047" s="15"/>
      <c r="AC1047" s="15"/>
      <c r="AD1047" s="15"/>
      <c r="AE1047" s="15"/>
      <c r="AF1047" s="15"/>
      <c r="AG1047" s="15"/>
      <c r="AH1047" s="15"/>
      <c r="AI1047" s="15"/>
    </row>
    <row r="1048" spans="1:35">
      <c r="A1048" s="14">
        <v>1046</v>
      </c>
      <c r="B1048" s="14">
        <v>10120</v>
      </c>
      <c r="C1048" s="14" t="s">
        <v>1218</v>
      </c>
      <c r="D1048" s="14" t="s">
        <v>58</v>
      </c>
      <c r="E1048" s="15" t="str">
        <f>"407.81"</f>
        <v>407.81</v>
      </c>
      <c r="F1048" s="15"/>
      <c r="G1048" s="16" t="str">
        <f>"1038.38"</f>
        <v>1038.38</v>
      </c>
      <c r="H1048" s="17">
        <f t="shared" si="16"/>
        <v>1030.3800000000001</v>
      </c>
      <c r="I1048" s="18" t="s">
        <v>43</v>
      </c>
      <c r="J1048" s="15">
        <v>2</v>
      </c>
      <c r="K1048" s="15">
        <v>2016</v>
      </c>
      <c r="L1048" s="15" t="str">
        <f>"407.81"</f>
        <v>407.81</v>
      </c>
      <c r="M1048" s="15"/>
      <c r="N1048" s="15"/>
      <c r="O1048" s="15"/>
      <c r="P1048" s="15"/>
      <c r="Q1048" s="15"/>
      <c r="R1048" s="15"/>
      <c r="S1048" s="15"/>
      <c r="T1048" s="15"/>
      <c r="U1048" s="15" t="str">
        <f>"1010.38"</f>
        <v>1010.38</v>
      </c>
      <c r="V1048" s="15"/>
      <c r="W1048" s="15"/>
      <c r="X1048" s="15"/>
      <c r="Y1048" s="15"/>
      <c r="Z1048" s="15"/>
      <c r="AA1048" s="15"/>
      <c r="AB1048" s="15"/>
      <c r="AC1048" s="15"/>
      <c r="AD1048" s="15"/>
      <c r="AE1048" s="15"/>
      <c r="AF1048" s="15"/>
      <c r="AG1048" s="15"/>
      <c r="AH1048" s="15"/>
      <c r="AI1048" s="15"/>
    </row>
    <row r="1049" spans="1:35">
      <c r="A1049" s="14">
        <v>1047</v>
      </c>
      <c r="B1049" s="14">
        <v>10450</v>
      </c>
      <c r="C1049" s="14" t="s">
        <v>1219</v>
      </c>
      <c r="D1049" s="14" t="s">
        <v>58</v>
      </c>
      <c r="E1049" s="15" t="str">
        <f>"715.52"</f>
        <v>715.52</v>
      </c>
      <c r="F1049" s="15"/>
      <c r="G1049" s="16" t="str">
        <f>"1052.70"</f>
        <v>1052.70</v>
      </c>
      <c r="H1049" s="17">
        <f t="shared" si="16"/>
        <v>1044.7</v>
      </c>
      <c r="I1049" s="18" t="s">
        <v>43</v>
      </c>
      <c r="J1049" s="15">
        <v>2</v>
      </c>
      <c r="K1049" s="15">
        <v>2016</v>
      </c>
      <c r="L1049" s="15" t="str">
        <f>"715.52"</f>
        <v>715.52</v>
      </c>
      <c r="M1049" s="15"/>
      <c r="N1049" s="15"/>
      <c r="O1049" s="15"/>
      <c r="P1049" s="15"/>
      <c r="Q1049" s="15"/>
      <c r="R1049" s="15"/>
      <c r="S1049" s="15"/>
      <c r="T1049" s="15"/>
      <c r="U1049" s="15" t="str">
        <f>"1024.70"</f>
        <v>1024.70</v>
      </c>
      <c r="V1049" s="15"/>
      <c r="W1049" s="15"/>
      <c r="X1049" s="15"/>
      <c r="Y1049" s="15"/>
      <c r="Z1049" s="15"/>
      <c r="AA1049" s="15"/>
      <c r="AB1049" s="15"/>
      <c r="AC1049" s="15"/>
      <c r="AD1049" s="15"/>
      <c r="AE1049" s="15"/>
      <c r="AF1049" s="15"/>
      <c r="AG1049" s="15"/>
      <c r="AH1049" s="15"/>
      <c r="AI1049" s="15"/>
    </row>
    <row r="1050" spans="1:35">
      <c r="A1050" s="14">
        <v>1048</v>
      </c>
      <c r="B1050" s="14">
        <v>10448</v>
      </c>
      <c r="C1050" s="14" t="s">
        <v>1220</v>
      </c>
      <c r="D1050" s="14" t="s">
        <v>58</v>
      </c>
      <c r="E1050" s="15" t="str">
        <f>"896.37"</f>
        <v>896.37</v>
      </c>
      <c r="F1050" s="15"/>
      <c r="G1050" s="16" t="str">
        <f>"1082.42"</f>
        <v>1082.42</v>
      </c>
      <c r="H1050" s="17">
        <f t="shared" si="16"/>
        <v>1074.42</v>
      </c>
      <c r="I1050" s="18" t="s">
        <v>43</v>
      </c>
      <c r="J1050" s="15">
        <v>2</v>
      </c>
      <c r="K1050" s="15">
        <v>2016</v>
      </c>
      <c r="L1050" s="15" t="str">
        <f>"896.37"</f>
        <v>896.37</v>
      </c>
      <c r="M1050" s="15"/>
      <c r="N1050" s="15"/>
      <c r="O1050" s="15"/>
      <c r="P1050" s="15"/>
      <c r="Q1050" s="15"/>
      <c r="R1050" s="15"/>
      <c r="S1050" s="15"/>
      <c r="T1050" s="15"/>
      <c r="U1050" s="15" t="str">
        <f>"1054.42"</f>
        <v>1054.42</v>
      </c>
      <c r="V1050" s="15"/>
      <c r="W1050" s="15"/>
      <c r="X1050" s="15"/>
      <c r="Y1050" s="15"/>
      <c r="Z1050" s="15"/>
      <c r="AA1050" s="15"/>
      <c r="AB1050" s="15"/>
      <c r="AC1050" s="15"/>
      <c r="AD1050" s="15"/>
      <c r="AE1050" s="15"/>
      <c r="AF1050" s="15"/>
      <c r="AG1050" s="15"/>
      <c r="AH1050" s="15"/>
      <c r="AI1050" s="15"/>
    </row>
    <row r="1051" spans="1:35">
      <c r="A1051" s="14">
        <v>1049</v>
      </c>
      <c r="B1051" s="14">
        <v>10481</v>
      </c>
      <c r="C1051" s="14" t="s">
        <v>1221</v>
      </c>
      <c r="D1051" s="14" t="s">
        <v>58</v>
      </c>
      <c r="E1051" s="15" t="str">
        <f>"705.11"</f>
        <v>705.11</v>
      </c>
      <c r="F1051" s="15"/>
      <c r="G1051" s="16" t="str">
        <f>"1085.74"</f>
        <v>1085.74</v>
      </c>
      <c r="H1051" s="17">
        <f t="shared" si="16"/>
        <v>1077.74</v>
      </c>
      <c r="I1051" s="18" t="s">
        <v>43</v>
      </c>
      <c r="J1051" s="15">
        <v>2</v>
      </c>
      <c r="K1051" s="15">
        <v>2016</v>
      </c>
      <c r="L1051" s="15" t="str">
        <f>"705.11"</f>
        <v>705.11</v>
      </c>
      <c r="M1051" s="15"/>
      <c r="N1051" s="15"/>
      <c r="O1051" s="15"/>
      <c r="P1051" s="15"/>
      <c r="Q1051" s="15"/>
      <c r="R1051" s="15"/>
      <c r="S1051" s="15"/>
      <c r="T1051" s="15"/>
      <c r="U1051" s="15" t="str">
        <f>"1057.74"</f>
        <v>1057.74</v>
      </c>
      <c r="V1051" s="15"/>
      <c r="W1051" s="15"/>
      <c r="X1051" s="15"/>
      <c r="Y1051" s="15"/>
      <c r="Z1051" s="15"/>
      <c r="AA1051" s="15"/>
      <c r="AB1051" s="15"/>
      <c r="AC1051" s="15"/>
      <c r="AD1051" s="15"/>
      <c r="AE1051" s="15"/>
      <c r="AF1051" s="15"/>
      <c r="AG1051" s="15"/>
      <c r="AH1051" s="15"/>
      <c r="AI1051" s="15"/>
    </row>
    <row r="1052" spans="1:35">
      <c r="A1052" s="14">
        <v>1050</v>
      </c>
      <c r="B1052" s="14">
        <v>10730</v>
      </c>
      <c r="C1052" s="14" t="s">
        <v>1222</v>
      </c>
      <c r="D1052" s="14" t="s">
        <v>58</v>
      </c>
      <c r="E1052" s="15" t="str">
        <f>"1096.23"</f>
        <v>1096.23</v>
      </c>
      <c r="F1052" s="15"/>
      <c r="G1052" s="16" t="str">
        <f>"1096.23"</f>
        <v>1096.23</v>
      </c>
      <c r="H1052" s="17">
        <f t="shared" si="16"/>
        <v>1088.23</v>
      </c>
      <c r="I1052" s="18"/>
      <c r="J1052" s="15">
        <v>5</v>
      </c>
      <c r="K1052" s="15">
        <v>2016</v>
      </c>
      <c r="L1052" s="15"/>
      <c r="M1052" s="15"/>
      <c r="N1052" s="15"/>
      <c r="O1052" s="15"/>
      <c r="P1052" s="15"/>
      <c r="Q1052" s="15"/>
      <c r="R1052" s="15"/>
      <c r="S1052" s="15"/>
      <c r="T1052" s="15"/>
      <c r="U1052" s="15" t="str">
        <f>"1731.76"</f>
        <v>1731.76</v>
      </c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F1052" s="15" t="str">
        <f>"460.70"</f>
        <v>460.70</v>
      </c>
      <c r="AG1052" s="15"/>
      <c r="AH1052" s="15"/>
      <c r="AI1052" s="15"/>
    </row>
    <row r="1053" spans="1:35">
      <c r="A1053" s="14">
        <v>1051</v>
      </c>
      <c r="B1053" s="14">
        <v>10732</v>
      </c>
      <c r="C1053" s="14" t="s">
        <v>1223</v>
      </c>
      <c r="D1053" s="14" t="s">
        <v>58</v>
      </c>
      <c r="E1053" s="15" t="str">
        <f>"1098.09"</f>
        <v>1098.09</v>
      </c>
      <c r="F1053" s="15"/>
      <c r="G1053" s="16" t="str">
        <f>"1098.09"</f>
        <v>1098.09</v>
      </c>
      <c r="H1053" s="17">
        <f t="shared" si="16"/>
        <v>1090.0899999999999</v>
      </c>
      <c r="I1053" s="18"/>
      <c r="J1053" s="15">
        <v>5</v>
      </c>
      <c r="K1053" s="15">
        <v>2016</v>
      </c>
      <c r="L1053" s="15"/>
      <c r="M1053" s="15"/>
      <c r="N1053" s="15"/>
      <c r="O1053" s="15"/>
      <c r="P1053" s="15" t="str">
        <f>"1386.15"</f>
        <v>1386.15</v>
      </c>
      <c r="Q1053" s="15"/>
      <c r="R1053" s="15"/>
      <c r="S1053" s="15"/>
      <c r="T1053" s="15"/>
      <c r="U1053" s="15" t="str">
        <f>"3798.42"</f>
        <v>3798.42</v>
      </c>
      <c r="V1053" s="15"/>
      <c r="W1053" s="15"/>
      <c r="X1053" s="15"/>
      <c r="Y1053" s="15"/>
      <c r="Z1053" s="15"/>
      <c r="AA1053" s="15"/>
      <c r="AB1053" s="15"/>
      <c r="AC1053" s="15"/>
      <c r="AD1053" s="15"/>
      <c r="AE1053" s="15"/>
      <c r="AF1053" s="15"/>
      <c r="AG1053" s="15"/>
      <c r="AH1053" s="15" t="str">
        <f>"810.02"</f>
        <v>810.02</v>
      </c>
      <c r="AI1053" s="15"/>
    </row>
    <row r="1054" spans="1:35">
      <c r="A1054" s="14">
        <v>1052</v>
      </c>
      <c r="B1054" s="14">
        <v>10800</v>
      </c>
      <c r="C1054" s="14" t="s">
        <v>1224</v>
      </c>
      <c r="D1054" s="14" t="s">
        <v>58</v>
      </c>
      <c r="E1054" s="15" t="str">
        <f>"1099.50"</f>
        <v>1099.50</v>
      </c>
      <c r="F1054" s="15"/>
      <c r="G1054" s="16" t="str">
        <f>"1099.50"</f>
        <v>1099.50</v>
      </c>
      <c r="H1054" s="17">
        <f t="shared" si="16"/>
        <v>1091.5</v>
      </c>
      <c r="I1054" s="18" t="s">
        <v>43</v>
      </c>
      <c r="J1054" s="15">
        <v>4</v>
      </c>
      <c r="K1054" s="15">
        <v>2016</v>
      </c>
      <c r="L1054" s="15"/>
      <c r="M1054" s="15"/>
      <c r="N1054" s="15"/>
      <c r="O1054" s="15"/>
      <c r="P1054" s="15"/>
      <c r="Q1054" s="15"/>
      <c r="R1054" s="15"/>
      <c r="S1054" s="15"/>
      <c r="T1054" s="15"/>
      <c r="U1054" s="15" t="str">
        <f>"1071.50"</f>
        <v>1071.50</v>
      </c>
      <c r="V1054" s="15"/>
      <c r="W1054" s="15"/>
      <c r="X1054" s="15"/>
      <c r="Y1054" s="15"/>
      <c r="Z1054" s="15"/>
      <c r="AA1054" s="15"/>
      <c r="AB1054" s="15"/>
      <c r="AC1054" s="15"/>
      <c r="AD1054" s="15"/>
      <c r="AE1054" s="15"/>
      <c r="AF1054" s="15"/>
      <c r="AG1054" s="15"/>
      <c r="AH1054" s="15"/>
      <c r="AI1054" s="15"/>
    </row>
    <row r="1055" spans="1:35">
      <c r="A1055" s="14">
        <v>1053</v>
      </c>
      <c r="B1055" s="14">
        <v>10805</v>
      </c>
      <c r="C1055" s="14" t="s">
        <v>1225</v>
      </c>
      <c r="D1055" s="14" t="s">
        <v>58</v>
      </c>
      <c r="E1055" s="15" t="str">
        <f>"1103.90"</f>
        <v>1103.90</v>
      </c>
      <c r="F1055" s="15"/>
      <c r="G1055" s="16" t="str">
        <f>"1103.90"</f>
        <v>1103.90</v>
      </c>
      <c r="H1055" s="17">
        <f t="shared" si="16"/>
        <v>1095.9000000000001</v>
      </c>
      <c r="I1055" s="18" t="s">
        <v>43</v>
      </c>
      <c r="J1055" s="15">
        <v>4</v>
      </c>
      <c r="K1055" s="15">
        <v>2016</v>
      </c>
      <c r="L1055" s="15"/>
      <c r="M1055" s="15"/>
      <c r="N1055" s="15"/>
      <c r="O1055" s="15"/>
      <c r="P1055" s="15"/>
      <c r="Q1055" s="15"/>
      <c r="R1055" s="15"/>
      <c r="S1055" s="15"/>
      <c r="T1055" s="15"/>
      <c r="U1055" s="15" t="str">
        <f>"1075.90"</f>
        <v>1075.90</v>
      </c>
      <c r="V1055" s="15"/>
      <c r="W1055" s="15"/>
      <c r="X1055" s="15"/>
      <c r="Y1055" s="15"/>
      <c r="Z1055" s="15"/>
      <c r="AA1055" s="15"/>
      <c r="AB1055" s="15"/>
      <c r="AC1055" s="15"/>
      <c r="AD1055" s="15"/>
      <c r="AE1055" s="15"/>
      <c r="AF1055" s="15"/>
      <c r="AG1055" s="15"/>
      <c r="AH1055" s="15"/>
      <c r="AI1055" s="15"/>
    </row>
    <row r="1056" spans="1:35">
      <c r="A1056" s="14">
        <v>1054</v>
      </c>
      <c r="B1056" s="14">
        <v>10417</v>
      </c>
      <c r="C1056" s="14" t="s">
        <v>1226</v>
      </c>
      <c r="D1056" s="14" t="s">
        <v>58</v>
      </c>
      <c r="E1056" s="15" t="str">
        <f>"1156.76"</f>
        <v>1156.76</v>
      </c>
      <c r="F1056" s="15"/>
      <c r="G1056" s="16" t="str">
        <f>"1156.76"</f>
        <v>1156.76</v>
      </c>
      <c r="H1056" s="17">
        <f t="shared" si="16"/>
        <v>1148.76</v>
      </c>
      <c r="I1056" s="18" t="s">
        <v>43</v>
      </c>
      <c r="J1056" s="15">
        <v>4</v>
      </c>
      <c r="K1056" s="15">
        <v>2016</v>
      </c>
      <c r="L1056" s="15"/>
      <c r="M1056" s="15"/>
      <c r="N1056" s="15"/>
      <c r="O1056" s="15"/>
      <c r="P1056" s="15"/>
      <c r="Q1056" s="15"/>
      <c r="R1056" s="15"/>
      <c r="S1056" s="15"/>
      <c r="T1056" s="15"/>
      <c r="U1056" s="15" t="str">
        <f>"1128.76"</f>
        <v>1128.76</v>
      </c>
      <c r="V1056" s="15"/>
      <c r="W1056" s="15"/>
      <c r="X1056" s="15"/>
      <c r="Y1056" s="15"/>
      <c r="Z1056" s="15"/>
      <c r="AA1056" s="15"/>
      <c r="AB1056" s="15"/>
      <c r="AC1056" s="15"/>
      <c r="AD1056" s="15"/>
      <c r="AE1056" s="15"/>
      <c r="AF1056" s="15"/>
      <c r="AG1056" s="15"/>
      <c r="AH1056" s="15"/>
      <c r="AI1056" s="15"/>
    </row>
    <row r="1057" spans="1:35">
      <c r="A1057" s="14">
        <v>1055</v>
      </c>
      <c r="B1057" s="14">
        <v>10718</v>
      </c>
      <c r="C1057" s="14" t="s">
        <v>1227</v>
      </c>
      <c r="D1057" s="14" t="s">
        <v>58</v>
      </c>
      <c r="E1057" s="15" t="str">
        <f>"1162.82"</f>
        <v>1162.82</v>
      </c>
      <c r="F1057" s="15"/>
      <c r="G1057" s="16" t="str">
        <f>"1162.82"</f>
        <v>1162.82</v>
      </c>
      <c r="H1057" s="17">
        <f t="shared" si="16"/>
        <v>1154.82</v>
      </c>
      <c r="I1057" s="18" t="s">
        <v>43</v>
      </c>
      <c r="J1057" s="15">
        <v>4</v>
      </c>
      <c r="K1057" s="15">
        <v>2016</v>
      </c>
      <c r="L1057" s="15"/>
      <c r="M1057" s="15"/>
      <c r="N1057" s="15"/>
      <c r="O1057" s="15"/>
      <c r="P1057" s="15"/>
      <c r="Q1057" s="15"/>
      <c r="R1057" s="15"/>
      <c r="S1057" s="15"/>
      <c r="T1057" s="15"/>
      <c r="U1057" s="15" t="str">
        <f>"1134.82"</f>
        <v>1134.82</v>
      </c>
      <c r="V1057" s="15"/>
      <c r="W1057" s="15"/>
      <c r="X1057" s="15"/>
      <c r="Y1057" s="15"/>
      <c r="Z1057" s="15"/>
      <c r="AA1057" s="15"/>
      <c r="AB1057" s="15"/>
      <c r="AC1057" s="15"/>
      <c r="AD1057" s="15"/>
      <c r="AE1057" s="15"/>
      <c r="AF1057" s="15"/>
      <c r="AG1057" s="15"/>
      <c r="AH1057" s="15"/>
      <c r="AI1057" s="15"/>
    </row>
    <row r="1058" spans="1:35">
      <c r="A1058" s="14">
        <v>1056</v>
      </c>
      <c r="B1058" s="14">
        <v>10381</v>
      </c>
      <c r="C1058" s="14" t="s">
        <v>1228</v>
      </c>
      <c r="D1058" s="14" t="s">
        <v>58</v>
      </c>
      <c r="E1058" s="15" t="str">
        <f>"1182.64"</f>
        <v>1182.64</v>
      </c>
      <c r="F1058" s="15"/>
      <c r="G1058" s="16" t="str">
        <f>"1182.64"</f>
        <v>1182.64</v>
      </c>
      <c r="H1058" s="17">
        <f t="shared" si="16"/>
        <v>1174.6400000000001</v>
      </c>
      <c r="I1058" s="18" t="s">
        <v>43</v>
      </c>
      <c r="J1058" s="15">
        <v>4</v>
      </c>
      <c r="K1058" s="15">
        <v>2016</v>
      </c>
      <c r="L1058" s="15"/>
      <c r="M1058" s="15"/>
      <c r="N1058" s="15"/>
      <c r="O1058" s="15"/>
      <c r="P1058" s="15"/>
      <c r="Q1058" s="15"/>
      <c r="R1058" s="15"/>
      <c r="S1058" s="15"/>
      <c r="T1058" s="15"/>
      <c r="U1058" s="15" t="str">
        <f>"1154.64"</f>
        <v>1154.64</v>
      </c>
      <c r="V1058" s="15"/>
      <c r="W1058" s="15"/>
      <c r="X1058" s="15"/>
      <c r="Y1058" s="15"/>
      <c r="Z1058" s="15"/>
      <c r="AA1058" s="15"/>
      <c r="AB1058" s="15"/>
      <c r="AC1058" s="15"/>
      <c r="AD1058" s="15"/>
      <c r="AE1058" s="15"/>
      <c r="AF1058" s="15"/>
      <c r="AG1058" s="15"/>
      <c r="AH1058" s="15"/>
      <c r="AI1058" s="15"/>
    </row>
    <row r="1059" spans="1:35">
      <c r="A1059" s="14">
        <v>1057</v>
      </c>
      <c r="B1059" s="14">
        <v>3991</v>
      </c>
      <c r="C1059" s="14" t="s">
        <v>1229</v>
      </c>
      <c r="D1059" s="14" t="s">
        <v>79</v>
      </c>
      <c r="E1059" s="15" t="str">
        <f>"1154.65"</f>
        <v>1154.65</v>
      </c>
      <c r="F1059" s="15"/>
      <c r="G1059" s="16" t="str">
        <f>"1182.65"</f>
        <v>1182.65</v>
      </c>
      <c r="H1059" s="17">
        <f t="shared" si="16"/>
        <v>1174.6500000000001</v>
      </c>
      <c r="I1059" s="18" t="s">
        <v>40</v>
      </c>
      <c r="J1059" s="15">
        <v>1</v>
      </c>
      <c r="K1059" s="15">
        <v>2016</v>
      </c>
      <c r="L1059" s="15" t="str">
        <f>"1154.65"</f>
        <v>1154.65</v>
      </c>
      <c r="M1059" s="15"/>
      <c r="N1059" s="15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  <c r="AB1059" s="15"/>
      <c r="AC1059" s="15"/>
      <c r="AD1059" s="15"/>
      <c r="AE1059" s="15"/>
      <c r="AF1059" s="15"/>
      <c r="AG1059" s="15"/>
      <c r="AH1059" s="15"/>
      <c r="AI1059" s="15"/>
    </row>
    <row r="1060" spans="1:35">
      <c r="A1060" s="14">
        <v>1058</v>
      </c>
      <c r="B1060" s="14">
        <v>10470</v>
      </c>
      <c r="C1060" s="14" t="s">
        <v>1230</v>
      </c>
      <c r="D1060" s="14" t="s">
        <v>58</v>
      </c>
      <c r="E1060" s="15" t="str">
        <f>"1187.60"</f>
        <v>1187.60</v>
      </c>
      <c r="F1060" s="15"/>
      <c r="G1060" s="16" t="str">
        <f>"1187.60"</f>
        <v>1187.60</v>
      </c>
      <c r="H1060" s="17">
        <f t="shared" si="16"/>
        <v>1179.5999999999999</v>
      </c>
      <c r="I1060" s="18" t="s">
        <v>43</v>
      </c>
      <c r="J1060" s="15">
        <v>4</v>
      </c>
      <c r="K1060" s="15">
        <v>2016</v>
      </c>
      <c r="L1060" s="15"/>
      <c r="M1060" s="15"/>
      <c r="N1060" s="15"/>
      <c r="O1060" s="15"/>
      <c r="P1060" s="15"/>
      <c r="Q1060" s="15"/>
      <c r="R1060" s="15"/>
      <c r="S1060" s="15"/>
      <c r="T1060" s="15"/>
      <c r="U1060" s="15" t="str">
        <f>"1159.60"</f>
        <v>1159.60</v>
      </c>
      <c r="V1060" s="15"/>
      <c r="W1060" s="15"/>
      <c r="X1060" s="15"/>
      <c r="Y1060" s="15"/>
      <c r="Z1060" s="15"/>
      <c r="AA1060" s="15"/>
      <c r="AB1060" s="15"/>
      <c r="AC1060" s="15"/>
      <c r="AD1060" s="15"/>
      <c r="AE1060" s="15"/>
      <c r="AF1060" s="15"/>
      <c r="AG1060" s="15"/>
      <c r="AH1060" s="15"/>
      <c r="AI1060" s="15"/>
    </row>
    <row r="1061" spans="1:35">
      <c r="A1061" s="14">
        <v>1059</v>
      </c>
      <c r="B1061" s="14">
        <v>10772</v>
      </c>
      <c r="C1061" s="14" t="s">
        <v>1231</v>
      </c>
      <c r="D1061" s="14" t="s">
        <v>58</v>
      </c>
      <c r="E1061" s="15" t="str">
        <f>"1195.32"</f>
        <v>1195.32</v>
      </c>
      <c r="F1061" s="15"/>
      <c r="G1061" s="16" t="str">
        <f>"1195.32"</f>
        <v>1195.32</v>
      </c>
      <c r="H1061" s="17">
        <f t="shared" si="16"/>
        <v>1187.32</v>
      </c>
      <c r="I1061" s="18" t="s">
        <v>43</v>
      </c>
      <c r="J1061" s="15">
        <v>4</v>
      </c>
      <c r="K1061" s="15">
        <v>2016</v>
      </c>
      <c r="L1061" s="15"/>
      <c r="M1061" s="15"/>
      <c r="N1061" s="15"/>
      <c r="O1061" s="15"/>
      <c r="P1061" s="15"/>
      <c r="Q1061" s="15"/>
      <c r="R1061" s="15"/>
      <c r="S1061" s="15"/>
      <c r="T1061" s="15"/>
      <c r="U1061" s="15" t="str">
        <f>"1167.32"</f>
        <v>1167.32</v>
      </c>
      <c r="V1061" s="15"/>
      <c r="W1061" s="15"/>
      <c r="X1061" s="15"/>
      <c r="Y1061" s="15"/>
      <c r="Z1061" s="15"/>
      <c r="AA1061" s="15"/>
      <c r="AB1061" s="15"/>
      <c r="AC1061" s="15"/>
      <c r="AD1061" s="15"/>
      <c r="AE1061" s="15"/>
      <c r="AF1061" s="15"/>
      <c r="AG1061" s="15"/>
      <c r="AH1061" s="15"/>
      <c r="AI1061" s="15"/>
    </row>
    <row r="1062" spans="1:35">
      <c r="A1062" s="14">
        <v>1060</v>
      </c>
      <c r="B1062" s="14">
        <v>10726</v>
      </c>
      <c r="C1062" s="14" t="s">
        <v>1232</v>
      </c>
      <c r="D1062" s="14" t="s">
        <v>58</v>
      </c>
      <c r="E1062" s="15" t="str">
        <f>"1206.63"</f>
        <v>1206.63</v>
      </c>
      <c r="F1062" s="15"/>
      <c r="G1062" s="16" t="str">
        <f>"1206.63"</f>
        <v>1206.63</v>
      </c>
      <c r="H1062" s="17">
        <f t="shared" si="16"/>
        <v>1198.6300000000001</v>
      </c>
      <c r="I1062" s="18"/>
      <c r="J1062" s="15">
        <v>5</v>
      </c>
      <c r="K1062" s="15">
        <v>2016</v>
      </c>
      <c r="L1062" s="15"/>
      <c r="M1062" s="15"/>
      <c r="N1062" s="15"/>
      <c r="O1062" s="15"/>
      <c r="P1062" s="15"/>
      <c r="Q1062" s="15"/>
      <c r="R1062" s="15"/>
      <c r="S1062" s="15"/>
      <c r="T1062" s="15"/>
      <c r="U1062" s="15" t="str">
        <f>"1877.68"</f>
        <v>1877.68</v>
      </c>
      <c r="V1062" s="15"/>
      <c r="W1062" s="15"/>
      <c r="X1062" s="15"/>
      <c r="Y1062" s="15"/>
      <c r="Z1062" s="15"/>
      <c r="AA1062" s="15"/>
      <c r="AB1062" s="15"/>
      <c r="AC1062" s="15"/>
      <c r="AD1062" s="15"/>
      <c r="AE1062" s="15"/>
      <c r="AF1062" s="15" t="str">
        <f>"535.58"</f>
        <v>535.58</v>
      </c>
      <c r="AG1062" s="15"/>
      <c r="AH1062" s="15"/>
      <c r="AI1062" s="15"/>
    </row>
    <row r="1063" spans="1:35">
      <c r="A1063" s="14">
        <v>1061</v>
      </c>
      <c r="B1063" s="14">
        <v>10788</v>
      </c>
      <c r="C1063" s="14" t="s">
        <v>1233</v>
      </c>
      <c r="D1063" s="14" t="s">
        <v>58</v>
      </c>
      <c r="E1063" s="15" t="str">
        <f>"1222.84"</f>
        <v>1222.84</v>
      </c>
      <c r="F1063" s="15"/>
      <c r="G1063" s="16" t="str">
        <f>"1222.84"</f>
        <v>1222.84</v>
      </c>
      <c r="H1063" s="17">
        <f t="shared" si="16"/>
        <v>1214.8399999999999</v>
      </c>
      <c r="I1063" s="18" t="s">
        <v>43</v>
      </c>
      <c r="J1063" s="15">
        <v>4</v>
      </c>
      <c r="K1063" s="15">
        <v>2016</v>
      </c>
      <c r="L1063" s="15"/>
      <c r="M1063" s="15"/>
      <c r="N1063" s="15"/>
      <c r="O1063" s="15"/>
      <c r="P1063" s="15"/>
      <c r="Q1063" s="15"/>
      <c r="R1063" s="15"/>
      <c r="S1063" s="15"/>
      <c r="T1063" s="15"/>
      <c r="U1063" s="15" t="str">
        <f>"1194.84"</f>
        <v>1194.84</v>
      </c>
      <c r="V1063" s="15"/>
      <c r="W1063" s="15"/>
      <c r="X1063" s="15"/>
      <c r="Y1063" s="15"/>
      <c r="Z1063" s="15"/>
      <c r="AA1063" s="15"/>
      <c r="AB1063" s="15"/>
      <c r="AC1063" s="15"/>
      <c r="AD1063" s="15"/>
      <c r="AE1063" s="15"/>
      <c r="AF1063" s="15"/>
      <c r="AG1063" s="15"/>
      <c r="AH1063" s="15"/>
      <c r="AI1063" s="15"/>
    </row>
    <row r="1064" spans="1:35">
      <c r="A1064" s="14">
        <v>1062</v>
      </c>
      <c r="B1064" s="14">
        <v>10472</v>
      </c>
      <c r="C1064" s="14" t="s">
        <v>1234</v>
      </c>
      <c r="D1064" s="14" t="s">
        <v>58</v>
      </c>
      <c r="E1064" s="15" t="str">
        <f>"1237.16"</f>
        <v>1237.16</v>
      </c>
      <c r="F1064" s="15"/>
      <c r="G1064" s="16" t="str">
        <f>"1237.16"</f>
        <v>1237.16</v>
      </c>
      <c r="H1064" s="17">
        <f t="shared" si="16"/>
        <v>1229.1600000000001</v>
      </c>
      <c r="I1064" s="18" t="s">
        <v>43</v>
      </c>
      <c r="J1064" s="15">
        <v>4</v>
      </c>
      <c r="K1064" s="15">
        <v>2016</v>
      </c>
      <c r="L1064" s="15"/>
      <c r="M1064" s="15"/>
      <c r="N1064" s="15"/>
      <c r="O1064" s="15"/>
      <c r="P1064" s="15"/>
      <c r="Q1064" s="15"/>
      <c r="R1064" s="15"/>
      <c r="S1064" s="15"/>
      <c r="T1064" s="15"/>
      <c r="U1064" s="15" t="str">
        <f>"1209.16"</f>
        <v>1209.16</v>
      </c>
      <c r="V1064" s="15"/>
      <c r="W1064" s="15"/>
      <c r="X1064" s="15"/>
      <c r="Y1064" s="15"/>
      <c r="Z1064" s="15"/>
      <c r="AA1064" s="15"/>
      <c r="AB1064" s="15"/>
      <c r="AC1064" s="15"/>
      <c r="AD1064" s="15"/>
      <c r="AE1064" s="15"/>
      <c r="AF1064" s="15"/>
      <c r="AG1064" s="15"/>
      <c r="AH1064" s="15"/>
      <c r="AI1064" s="15"/>
    </row>
    <row r="1065" spans="1:35">
      <c r="A1065" s="14">
        <v>1063</v>
      </c>
      <c r="B1065" s="14">
        <v>10831</v>
      </c>
      <c r="C1065" s="14" t="s">
        <v>1235</v>
      </c>
      <c r="D1065" s="14" t="s">
        <v>58</v>
      </c>
      <c r="E1065" s="15" t="str">
        <f>"1252.58"</f>
        <v>1252.58</v>
      </c>
      <c r="F1065" s="15"/>
      <c r="G1065" s="16" t="str">
        <f>"1252.58"</f>
        <v>1252.58</v>
      </c>
      <c r="H1065" s="17">
        <f t="shared" si="16"/>
        <v>1244.58</v>
      </c>
      <c r="I1065" s="18" t="s">
        <v>43</v>
      </c>
      <c r="J1065" s="15">
        <v>4</v>
      </c>
      <c r="K1065" s="15">
        <v>2016</v>
      </c>
      <c r="L1065" s="15"/>
      <c r="M1065" s="15"/>
      <c r="N1065" s="15"/>
      <c r="O1065" s="15"/>
      <c r="P1065" s="15"/>
      <c r="Q1065" s="15"/>
      <c r="R1065" s="15"/>
      <c r="S1065" s="15"/>
      <c r="T1065" s="15"/>
      <c r="U1065" s="15" t="str">
        <f>"1224.58"</f>
        <v>1224.58</v>
      </c>
      <c r="V1065" s="15"/>
      <c r="W1065" s="15"/>
      <c r="X1065" s="15"/>
      <c r="Y1065" s="15"/>
      <c r="Z1065" s="15"/>
      <c r="AA1065" s="15"/>
      <c r="AB1065" s="15"/>
      <c r="AC1065" s="15"/>
      <c r="AD1065" s="15"/>
      <c r="AE1065" s="15"/>
      <c r="AF1065" s="15"/>
      <c r="AG1065" s="15"/>
      <c r="AH1065" s="15"/>
      <c r="AI1065" s="15"/>
    </row>
    <row r="1066" spans="1:35">
      <c r="A1066" s="14">
        <v>1064</v>
      </c>
      <c r="B1066" s="14">
        <v>10383</v>
      </c>
      <c r="C1066" s="14" t="s">
        <v>1236</v>
      </c>
      <c r="D1066" s="14" t="s">
        <v>58</v>
      </c>
      <c r="E1066" s="15" t="str">
        <f>"272.56"</f>
        <v>272.56</v>
      </c>
      <c r="F1066" s="15"/>
      <c r="G1066" s="16" t="str">
        <f>"1259.74"</f>
        <v>1259.74</v>
      </c>
      <c r="H1066" s="17">
        <f t="shared" si="16"/>
        <v>1251.74</v>
      </c>
      <c r="I1066" s="18" t="s">
        <v>43</v>
      </c>
      <c r="J1066" s="15">
        <v>2</v>
      </c>
      <c r="K1066" s="15">
        <v>2016</v>
      </c>
      <c r="L1066" s="15" t="str">
        <f>"272.56"</f>
        <v>272.56</v>
      </c>
      <c r="M1066" s="15"/>
      <c r="N1066" s="15"/>
      <c r="O1066" s="15"/>
      <c r="P1066" s="15"/>
      <c r="Q1066" s="15"/>
      <c r="R1066" s="15"/>
      <c r="S1066" s="15"/>
      <c r="T1066" s="15"/>
      <c r="U1066" s="15" t="str">
        <f>"1231.74"</f>
        <v>1231.74</v>
      </c>
      <c r="V1066" s="15"/>
      <c r="W1066" s="15"/>
      <c r="X1066" s="15"/>
      <c r="Y1066" s="15"/>
      <c r="Z1066" s="15"/>
      <c r="AA1066" s="15"/>
      <c r="AB1066" s="15"/>
      <c r="AC1066" s="15"/>
      <c r="AD1066" s="15"/>
      <c r="AE1066" s="15"/>
      <c r="AF1066" s="15"/>
      <c r="AG1066" s="15"/>
      <c r="AH1066" s="15"/>
      <c r="AI1066" s="15"/>
    </row>
    <row r="1067" spans="1:35">
      <c r="A1067" s="14">
        <v>1065</v>
      </c>
      <c r="B1067" s="14">
        <v>10469</v>
      </c>
      <c r="C1067" s="14" t="s">
        <v>1237</v>
      </c>
      <c r="D1067" s="14" t="s">
        <v>58</v>
      </c>
      <c r="E1067" s="15" t="str">
        <f>"1295.54"</f>
        <v>1295.54</v>
      </c>
      <c r="F1067" s="15"/>
      <c r="G1067" s="16" t="str">
        <f>"1295.54"</f>
        <v>1295.54</v>
      </c>
      <c r="H1067" s="17">
        <f t="shared" si="16"/>
        <v>1287.54</v>
      </c>
      <c r="I1067" s="18" t="s">
        <v>43</v>
      </c>
      <c r="J1067" s="15">
        <v>4</v>
      </c>
      <c r="K1067" s="15">
        <v>2016</v>
      </c>
      <c r="L1067" s="15"/>
      <c r="M1067" s="15"/>
      <c r="N1067" s="15"/>
      <c r="O1067" s="15"/>
      <c r="P1067" s="15"/>
      <c r="Q1067" s="15"/>
      <c r="R1067" s="15"/>
      <c r="S1067" s="15"/>
      <c r="T1067" s="15"/>
      <c r="U1067" s="15" t="str">
        <f>"1267.54"</f>
        <v>1267.54</v>
      </c>
      <c r="V1067" s="15"/>
      <c r="W1067" s="15"/>
      <c r="X1067" s="15"/>
      <c r="Y1067" s="15"/>
      <c r="Z1067" s="15"/>
      <c r="AA1067" s="15"/>
      <c r="AB1067" s="15"/>
      <c r="AC1067" s="15"/>
      <c r="AD1067" s="15"/>
      <c r="AE1067" s="15"/>
      <c r="AF1067" s="15"/>
      <c r="AG1067" s="15"/>
      <c r="AH1067" s="15"/>
      <c r="AI1067" s="15"/>
    </row>
    <row r="1068" spans="1:35">
      <c r="A1068" s="14">
        <v>1066</v>
      </c>
      <c r="B1068" s="14">
        <v>10477</v>
      </c>
      <c r="C1068" s="14" t="s">
        <v>1238</v>
      </c>
      <c r="D1068" s="14" t="s">
        <v>58</v>
      </c>
      <c r="E1068" s="15" t="str">
        <f>"1340.70"</f>
        <v>1340.70</v>
      </c>
      <c r="F1068" s="15"/>
      <c r="G1068" s="16" t="str">
        <f>"1340.70"</f>
        <v>1340.70</v>
      </c>
      <c r="H1068" s="17">
        <f t="shared" si="16"/>
        <v>1332.7</v>
      </c>
      <c r="I1068" s="18" t="s">
        <v>43</v>
      </c>
      <c r="J1068" s="15">
        <v>4</v>
      </c>
      <c r="K1068" s="15">
        <v>2016</v>
      </c>
      <c r="L1068" s="15"/>
      <c r="M1068" s="15"/>
      <c r="N1068" s="15"/>
      <c r="O1068" s="15"/>
      <c r="P1068" s="15"/>
      <c r="Q1068" s="15"/>
      <c r="R1068" s="15"/>
      <c r="S1068" s="15"/>
      <c r="T1068" s="15"/>
      <c r="U1068" s="15" t="str">
        <f>"1312.70"</f>
        <v>1312.70</v>
      </c>
      <c r="V1068" s="15"/>
      <c r="W1068" s="15"/>
      <c r="X1068" s="15"/>
      <c r="Y1068" s="15"/>
      <c r="Z1068" s="15"/>
      <c r="AA1068" s="15"/>
      <c r="AB1068" s="15"/>
      <c r="AC1068" s="15"/>
      <c r="AD1068" s="15"/>
      <c r="AE1068" s="15"/>
      <c r="AF1068" s="15"/>
      <c r="AG1068" s="15"/>
      <c r="AH1068" s="15"/>
      <c r="AI1068" s="15"/>
    </row>
    <row r="1069" spans="1:35">
      <c r="A1069" s="14">
        <v>1067</v>
      </c>
      <c r="B1069" s="14">
        <v>10476</v>
      </c>
      <c r="C1069" s="14" t="s">
        <v>1239</v>
      </c>
      <c r="D1069" s="14" t="s">
        <v>58</v>
      </c>
      <c r="E1069" s="15" t="str">
        <f>"1367.68"</f>
        <v>1367.68</v>
      </c>
      <c r="F1069" s="15"/>
      <c r="G1069" s="16" t="str">
        <f>"1367.68"</f>
        <v>1367.68</v>
      </c>
      <c r="H1069" s="17">
        <f t="shared" si="16"/>
        <v>1359.68</v>
      </c>
      <c r="I1069" s="18" t="s">
        <v>43</v>
      </c>
      <c r="J1069" s="15">
        <v>4</v>
      </c>
      <c r="K1069" s="15">
        <v>2016</v>
      </c>
      <c r="L1069" s="15"/>
      <c r="M1069" s="15"/>
      <c r="N1069" s="15"/>
      <c r="O1069" s="15"/>
      <c r="P1069" s="15"/>
      <c r="Q1069" s="15"/>
      <c r="R1069" s="15"/>
      <c r="S1069" s="15"/>
      <c r="T1069" s="15"/>
      <c r="U1069" s="15" t="str">
        <f>"1339.68"</f>
        <v>1339.68</v>
      </c>
      <c r="V1069" s="15"/>
      <c r="W1069" s="15"/>
      <c r="X1069" s="15"/>
      <c r="Y1069" s="15"/>
      <c r="Z1069" s="15"/>
      <c r="AA1069" s="15"/>
      <c r="AB1069" s="15"/>
      <c r="AC1069" s="15"/>
      <c r="AD1069" s="15"/>
      <c r="AE1069" s="15"/>
      <c r="AF1069" s="15"/>
      <c r="AG1069" s="15"/>
      <c r="AH1069" s="15"/>
      <c r="AI1069" s="15"/>
    </row>
    <row r="1070" spans="1:35">
      <c r="A1070" s="14">
        <v>1068</v>
      </c>
      <c r="B1070" s="14">
        <v>10796</v>
      </c>
      <c r="C1070" s="14" t="s">
        <v>1240</v>
      </c>
      <c r="D1070" s="14" t="s">
        <v>58</v>
      </c>
      <c r="E1070" s="15" t="str">
        <f>"1393.56"</f>
        <v>1393.56</v>
      </c>
      <c r="F1070" s="15"/>
      <c r="G1070" s="16" t="str">
        <f>"1393.56"</f>
        <v>1393.56</v>
      </c>
      <c r="H1070" s="17">
        <f t="shared" si="16"/>
        <v>1385.56</v>
      </c>
      <c r="I1070" s="18" t="s">
        <v>43</v>
      </c>
      <c r="J1070" s="15">
        <v>4</v>
      </c>
      <c r="K1070" s="15">
        <v>2016</v>
      </c>
      <c r="L1070" s="15"/>
      <c r="M1070" s="15"/>
      <c r="N1070" s="15"/>
      <c r="O1070" s="15"/>
      <c r="P1070" s="15"/>
      <c r="Q1070" s="15"/>
      <c r="R1070" s="15"/>
      <c r="S1070" s="15"/>
      <c r="T1070" s="15"/>
      <c r="U1070" s="15" t="str">
        <f>"1365.56"</f>
        <v>1365.56</v>
      </c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F1070" s="15"/>
      <c r="AG1070" s="15"/>
      <c r="AH1070" s="15"/>
      <c r="AI1070" s="15"/>
    </row>
    <row r="1071" spans="1:35">
      <c r="A1071" s="14">
        <v>1069</v>
      </c>
      <c r="B1071" s="14">
        <v>10733</v>
      </c>
      <c r="C1071" s="14" t="s">
        <v>1241</v>
      </c>
      <c r="D1071" s="14" t="s">
        <v>58</v>
      </c>
      <c r="E1071" s="15" t="str">
        <f>"1405.68"</f>
        <v>1405.68</v>
      </c>
      <c r="F1071" s="15"/>
      <c r="G1071" s="16" t="str">
        <f>"1405.68"</f>
        <v>1405.68</v>
      </c>
      <c r="H1071" s="17">
        <f t="shared" si="16"/>
        <v>1397.68</v>
      </c>
      <c r="I1071" s="18" t="s">
        <v>43</v>
      </c>
      <c r="J1071" s="15">
        <v>4</v>
      </c>
      <c r="K1071" s="15">
        <v>2016</v>
      </c>
      <c r="L1071" s="15"/>
      <c r="M1071" s="15"/>
      <c r="N1071" s="15"/>
      <c r="O1071" s="15"/>
      <c r="P1071" s="15"/>
      <c r="Q1071" s="15"/>
      <c r="R1071" s="15"/>
      <c r="S1071" s="15"/>
      <c r="T1071" s="15"/>
      <c r="U1071" s="15" t="str">
        <f>"1377.68"</f>
        <v>1377.68</v>
      </c>
      <c r="V1071" s="15"/>
      <c r="W1071" s="15"/>
      <c r="X1071" s="15"/>
      <c r="Y1071" s="15"/>
      <c r="Z1071" s="15"/>
      <c r="AA1071" s="15"/>
      <c r="AB1071" s="15"/>
      <c r="AC1071" s="15"/>
      <c r="AD1071" s="15"/>
      <c r="AE1071" s="15"/>
      <c r="AF1071" s="15"/>
      <c r="AG1071" s="15"/>
      <c r="AH1071" s="15"/>
      <c r="AI1071" s="15"/>
    </row>
    <row r="1072" spans="1:35">
      <c r="A1072" s="14">
        <v>1070</v>
      </c>
      <c r="B1072" s="14">
        <v>10731</v>
      </c>
      <c r="C1072" s="14" t="s">
        <v>1242</v>
      </c>
      <c r="D1072" s="14" t="s">
        <v>58</v>
      </c>
      <c r="E1072" s="15" t="str">
        <f>"1411.66"</f>
        <v>1411.66</v>
      </c>
      <c r="F1072" s="15"/>
      <c r="G1072" s="16" t="str">
        <f>"1411.66"</f>
        <v>1411.66</v>
      </c>
      <c r="H1072" s="17">
        <f t="shared" si="16"/>
        <v>1403.66</v>
      </c>
      <c r="I1072" s="18"/>
      <c r="J1072" s="15">
        <v>5</v>
      </c>
      <c r="K1072" s="15">
        <v>2016</v>
      </c>
      <c r="L1072" s="15"/>
      <c r="M1072" s="15"/>
      <c r="N1072" s="15"/>
      <c r="O1072" s="15"/>
      <c r="P1072" s="15"/>
      <c r="Q1072" s="15"/>
      <c r="R1072" s="15"/>
      <c r="S1072" s="15"/>
      <c r="T1072" s="15"/>
      <c r="U1072" s="15" t="str">
        <f>"2237.26"</f>
        <v>2237.26</v>
      </c>
      <c r="V1072" s="15"/>
      <c r="W1072" s="15"/>
      <c r="X1072" s="15"/>
      <c r="Y1072" s="15"/>
      <c r="Z1072" s="15"/>
      <c r="AA1072" s="15"/>
      <c r="AB1072" s="15"/>
      <c r="AC1072" s="15"/>
      <c r="AD1072" s="15"/>
      <c r="AE1072" s="15"/>
      <c r="AF1072" s="15" t="str">
        <f>"586.05"</f>
        <v>586.05</v>
      </c>
      <c r="AG1072" s="15"/>
      <c r="AH1072" s="15"/>
      <c r="AI1072" s="15"/>
    </row>
    <row r="1073" spans="1:35">
      <c r="A1073" s="14">
        <v>1071</v>
      </c>
      <c r="B1073" s="14">
        <v>10736</v>
      </c>
      <c r="C1073" s="14" t="s">
        <v>1243</v>
      </c>
      <c r="D1073" s="14" t="s">
        <v>58</v>
      </c>
      <c r="E1073" s="15" t="str">
        <f>"1415.58"</f>
        <v>1415.58</v>
      </c>
      <c r="F1073" s="15"/>
      <c r="G1073" s="16" t="str">
        <f>"1415.58"</f>
        <v>1415.58</v>
      </c>
      <c r="H1073" s="17">
        <f t="shared" si="16"/>
        <v>1407.58</v>
      </c>
      <c r="I1073" s="18" t="s">
        <v>43</v>
      </c>
      <c r="J1073" s="15">
        <v>4</v>
      </c>
      <c r="K1073" s="15">
        <v>2016</v>
      </c>
      <c r="L1073" s="15"/>
      <c r="M1073" s="15"/>
      <c r="N1073" s="15"/>
      <c r="O1073" s="15"/>
      <c r="P1073" s="15"/>
      <c r="Q1073" s="15"/>
      <c r="R1073" s="15"/>
      <c r="S1073" s="15"/>
      <c r="T1073" s="15"/>
      <c r="U1073" s="15" t="str">
        <f>"1387.58"</f>
        <v>1387.58</v>
      </c>
      <c r="V1073" s="15"/>
      <c r="W1073" s="15"/>
      <c r="X1073" s="15"/>
      <c r="Y1073" s="15"/>
      <c r="Z1073" s="15"/>
      <c r="AA1073" s="15"/>
      <c r="AB1073" s="15"/>
      <c r="AC1073" s="15"/>
      <c r="AD1073" s="15"/>
      <c r="AE1073" s="15"/>
      <c r="AF1073" s="15"/>
      <c r="AG1073" s="15"/>
      <c r="AH1073" s="15"/>
      <c r="AI1073" s="15"/>
    </row>
    <row r="1074" spans="1:35">
      <c r="A1074" s="14">
        <v>1072</v>
      </c>
      <c r="B1074" s="14">
        <v>10794</v>
      </c>
      <c r="C1074" s="14" t="s">
        <v>1244</v>
      </c>
      <c r="D1074" s="14" t="s">
        <v>58</v>
      </c>
      <c r="E1074" s="15" t="str">
        <f>"1435.96"</f>
        <v>1435.96</v>
      </c>
      <c r="F1074" s="15"/>
      <c r="G1074" s="16" t="str">
        <f>"1435.96"</f>
        <v>1435.96</v>
      </c>
      <c r="H1074" s="17">
        <f t="shared" si="16"/>
        <v>1427.96</v>
      </c>
      <c r="I1074" s="18" t="s">
        <v>43</v>
      </c>
      <c r="J1074" s="15">
        <v>4</v>
      </c>
      <c r="K1074" s="15">
        <v>2016</v>
      </c>
      <c r="L1074" s="15"/>
      <c r="M1074" s="15"/>
      <c r="N1074" s="15"/>
      <c r="O1074" s="15"/>
      <c r="P1074" s="15"/>
      <c r="Q1074" s="15"/>
      <c r="R1074" s="15"/>
      <c r="S1074" s="15"/>
      <c r="T1074" s="15"/>
      <c r="U1074" s="15" t="str">
        <f>"1407.96"</f>
        <v>1407.96</v>
      </c>
      <c r="V1074" s="15"/>
      <c r="W1074" s="15"/>
      <c r="X1074" s="15"/>
      <c r="Y1074" s="15"/>
      <c r="Z1074" s="15"/>
      <c r="AA1074" s="15"/>
      <c r="AB1074" s="15"/>
      <c r="AC1074" s="15"/>
      <c r="AD1074" s="15"/>
      <c r="AE1074" s="15"/>
      <c r="AF1074" s="15"/>
      <c r="AG1074" s="15"/>
      <c r="AH1074" s="15"/>
      <c r="AI1074" s="15"/>
    </row>
    <row r="1075" spans="1:35">
      <c r="A1075" s="14">
        <v>1073</v>
      </c>
      <c r="B1075" s="14">
        <v>10786</v>
      </c>
      <c r="C1075" s="14" t="s">
        <v>1245</v>
      </c>
      <c r="D1075" s="14" t="s">
        <v>58</v>
      </c>
      <c r="E1075" s="15" t="str">
        <f>"1451.38"</f>
        <v>1451.38</v>
      </c>
      <c r="F1075" s="15"/>
      <c r="G1075" s="16" t="str">
        <f>"1451.38"</f>
        <v>1451.38</v>
      </c>
      <c r="H1075" s="17">
        <f t="shared" si="16"/>
        <v>1443.38</v>
      </c>
      <c r="I1075" s="18" t="s">
        <v>43</v>
      </c>
      <c r="J1075" s="15">
        <v>4</v>
      </c>
      <c r="K1075" s="15">
        <v>2016</v>
      </c>
      <c r="L1075" s="15"/>
      <c r="M1075" s="15"/>
      <c r="N1075" s="15"/>
      <c r="O1075" s="15"/>
      <c r="P1075" s="15"/>
      <c r="Q1075" s="15"/>
      <c r="R1075" s="15"/>
      <c r="S1075" s="15"/>
      <c r="T1075" s="15"/>
      <c r="U1075" s="15" t="str">
        <f>"1423.38"</f>
        <v>1423.38</v>
      </c>
      <c r="V1075" s="15"/>
      <c r="W1075" s="15"/>
      <c r="X1075" s="15"/>
      <c r="Y1075" s="15"/>
      <c r="Z1075" s="15"/>
      <c r="AA1075" s="15"/>
      <c r="AB1075" s="15"/>
      <c r="AC1075" s="15"/>
      <c r="AD1075" s="15"/>
      <c r="AE1075" s="15"/>
      <c r="AF1075" s="15"/>
      <c r="AG1075" s="15"/>
      <c r="AH1075" s="15"/>
      <c r="AI1075" s="15"/>
    </row>
    <row r="1076" spans="1:35">
      <c r="A1076" s="14">
        <v>1074</v>
      </c>
      <c r="B1076" s="14">
        <v>10734</v>
      </c>
      <c r="C1076" s="14" t="s">
        <v>1246</v>
      </c>
      <c r="D1076" s="14" t="s">
        <v>58</v>
      </c>
      <c r="E1076" s="15" t="str">
        <f>"1460.74"</f>
        <v>1460.74</v>
      </c>
      <c r="F1076" s="15"/>
      <c r="G1076" s="16" t="str">
        <f>"1460.74"</f>
        <v>1460.74</v>
      </c>
      <c r="H1076" s="17">
        <f t="shared" si="16"/>
        <v>1452.74</v>
      </c>
      <c r="I1076" s="18" t="s">
        <v>43</v>
      </c>
      <c r="J1076" s="15">
        <v>4</v>
      </c>
      <c r="K1076" s="15">
        <v>2016</v>
      </c>
      <c r="L1076" s="15"/>
      <c r="M1076" s="15"/>
      <c r="N1076" s="15"/>
      <c r="O1076" s="15"/>
      <c r="P1076" s="15"/>
      <c r="Q1076" s="15"/>
      <c r="R1076" s="15"/>
      <c r="S1076" s="15"/>
      <c r="T1076" s="15"/>
      <c r="U1076" s="15" t="str">
        <f>"1432.74"</f>
        <v>1432.74</v>
      </c>
      <c r="V1076" s="15"/>
      <c r="W1076" s="15"/>
      <c r="X1076" s="15"/>
      <c r="Y1076" s="15"/>
      <c r="Z1076" s="15"/>
      <c r="AA1076" s="15"/>
      <c r="AB1076" s="15"/>
      <c r="AC1076" s="15"/>
      <c r="AD1076" s="15"/>
      <c r="AE1076" s="15"/>
      <c r="AF1076" s="15"/>
      <c r="AG1076" s="15"/>
      <c r="AH1076" s="15"/>
      <c r="AI1076" s="15"/>
    </row>
    <row r="1077" spans="1:35">
      <c r="A1077" s="14">
        <v>1075</v>
      </c>
      <c r="B1077" s="14">
        <v>10398</v>
      </c>
      <c r="C1077" s="14" t="s">
        <v>1247</v>
      </c>
      <c r="D1077" s="14" t="s">
        <v>58</v>
      </c>
      <c r="E1077" s="15" t="str">
        <f>"1477.26"</f>
        <v>1477.26</v>
      </c>
      <c r="F1077" s="15"/>
      <c r="G1077" s="16" t="str">
        <f>"1477.26"</f>
        <v>1477.26</v>
      </c>
      <c r="H1077" s="17">
        <f t="shared" si="16"/>
        <v>1469.26</v>
      </c>
      <c r="I1077" s="18" t="s">
        <v>43</v>
      </c>
      <c r="J1077" s="15">
        <v>4</v>
      </c>
      <c r="K1077" s="15">
        <v>2016</v>
      </c>
      <c r="L1077" s="15"/>
      <c r="M1077" s="15"/>
      <c r="N1077" s="15"/>
      <c r="O1077" s="15"/>
      <c r="P1077" s="15"/>
      <c r="Q1077" s="15"/>
      <c r="R1077" s="15"/>
      <c r="S1077" s="15"/>
      <c r="T1077" s="15"/>
      <c r="U1077" s="15" t="str">
        <f>"1449.26"</f>
        <v>1449.26</v>
      </c>
      <c r="V1077" s="15"/>
      <c r="W1077" s="15"/>
      <c r="X1077" s="15"/>
      <c r="Y1077" s="15"/>
      <c r="Z1077" s="15"/>
      <c r="AA1077" s="15"/>
      <c r="AB1077" s="15"/>
      <c r="AC1077" s="15"/>
      <c r="AD1077" s="15"/>
      <c r="AE1077" s="15"/>
      <c r="AF1077" s="15"/>
      <c r="AG1077" s="15"/>
      <c r="AH1077" s="15"/>
      <c r="AI1077" s="15"/>
    </row>
    <row r="1078" spans="1:35">
      <c r="A1078" s="14">
        <v>1076</v>
      </c>
      <c r="B1078" s="14">
        <v>10200</v>
      </c>
      <c r="C1078" s="14" t="s">
        <v>1248</v>
      </c>
      <c r="D1078" s="14" t="s">
        <v>58</v>
      </c>
      <c r="E1078" s="15" t="str">
        <f>"1481.66"</f>
        <v>1481.66</v>
      </c>
      <c r="F1078" s="15"/>
      <c r="G1078" s="16" t="str">
        <f>"1481.66"</f>
        <v>1481.66</v>
      </c>
      <c r="H1078" s="17">
        <f t="shared" si="16"/>
        <v>1473.66</v>
      </c>
      <c r="I1078" s="18" t="s">
        <v>43</v>
      </c>
      <c r="J1078" s="15">
        <v>4</v>
      </c>
      <c r="K1078" s="15">
        <v>2016</v>
      </c>
      <c r="L1078" s="15"/>
      <c r="M1078" s="15"/>
      <c r="N1078" s="15"/>
      <c r="O1078" s="15"/>
      <c r="P1078" s="15"/>
      <c r="Q1078" s="15"/>
      <c r="R1078" s="15"/>
      <c r="S1078" s="15"/>
      <c r="T1078" s="15"/>
      <c r="U1078" s="15" t="str">
        <f>"1453.66"</f>
        <v>1453.66</v>
      </c>
      <c r="V1078" s="15"/>
      <c r="W1078" s="15"/>
      <c r="X1078" s="15"/>
      <c r="Y1078" s="15"/>
      <c r="Z1078" s="15"/>
      <c r="AA1078" s="15"/>
      <c r="AB1078" s="15"/>
      <c r="AC1078" s="15"/>
      <c r="AD1078" s="15"/>
      <c r="AE1078" s="15"/>
      <c r="AF1078" s="15"/>
      <c r="AG1078" s="15"/>
      <c r="AH1078" s="15"/>
      <c r="AI1078" s="15"/>
    </row>
    <row r="1079" spans="1:35">
      <c r="A1079" s="14">
        <v>1077</v>
      </c>
      <c r="B1079" s="14">
        <v>10793</v>
      </c>
      <c r="C1079" s="14" t="s">
        <v>1249</v>
      </c>
      <c r="D1079" s="14" t="s">
        <v>58</v>
      </c>
      <c r="E1079" s="15" t="str">
        <f>"1561.50"</f>
        <v>1561.50</v>
      </c>
      <c r="F1079" s="15"/>
      <c r="G1079" s="16" t="str">
        <f>"1561.50"</f>
        <v>1561.50</v>
      </c>
      <c r="H1079" s="17">
        <f t="shared" si="16"/>
        <v>1553.5</v>
      </c>
      <c r="I1079" s="18" t="s">
        <v>43</v>
      </c>
      <c r="J1079" s="15">
        <v>4</v>
      </c>
      <c r="K1079" s="15">
        <v>2016</v>
      </c>
      <c r="L1079" s="15"/>
      <c r="M1079" s="15"/>
      <c r="N1079" s="15"/>
      <c r="O1079" s="15"/>
      <c r="P1079" s="15"/>
      <c r="Q1079" s="15"/>
      <c r="R1079" s="15"/>
      <c r="S1079" s="15"/>
      <c r="T1079" s="15"/>
      <c r="U1079" s="15" t="str">
        <f>"1533.50"</f>
        <v>1533.50</v>
      </c>
      <c r="V1079" s="15"/>
      <c r="W1079" s="15"/>
      <c r="X1079" s="15"/>
      <c r="Y1079" s="15"/>
      <c r="Z1079" s="15"/>
      <c r="AA1079" s="15"/>
      <c r="AB1079" s="15"/>
      <c r="AC1079" s="15"/>
      <c r="AD1079" s="15"/>
      <c r="AE1079" s="15"/>
      <c r="AF1079" s="15"/>
      <c r="AG1079" s="15"/>
      <c r="AH1079" s="15"/>
      <c r="AI1079" s="15"/>
    </row>
    <row r="1080" spans="1:35">
      <c r="A1080" s="14">
        <v>1078</v>
      </c>
      <c r="B1080" s="14">
        <v>10820</v>
      </c>
      <c r="C1080" s="14" t="s">
        <v>1250</v>
      </c>
      <c r="D1080" s="14" t="s">
        <v>58</v>
      </c>
      <c r="E1080" s="15" t="str">
        <f>"1590.70"</f>
        <v>1590.70</v>
      </c>
      <c r="F1080" s="15"/>
      <c r="G1080" s="16" t="str">
        <f>"1590.70"</f>
        <v>1590.70</v>
      </c>
      <c r="H1080" s="17">
        <f t="shared" si="16"/>
        <v>1582.7</v>
      </c>
      <c r="I1080" s="18" t="s">
        <v>43</v>
      </c>
      <c r="J1080" s="15">
        <v>4</v>
      </c>
      <c r="K1080" s="15">
        <v>2016</v>
      </c>
      <c r="L1080" s="15"/>
      <c r="M1080" s="15"/>
      <c r="N1080" s="15"/>
      <c r="O1080" s="15"/>
      <c r="P1080" s="15"/>
      <c r="Q1080" s="15"/>
      <c r="R1080" s="15"/>
      <c r="S1080" s="15"/>
      <c r="T1080" s="15"/>
      <c r="U1080" s="15" t="str">
        <f>"1562.70"</f>
        <v>1562.70</v>
      </c>
      <c r="V1080" s="15"/>
      <c r="W1080" s="15"/>
      <c r="X1080" s="15"/>
      <c r="Y1080" s="15"/>
      <c r="Z1080" s="15"/>
      <c r="AA1080" s="15"/>
      <c r="AB1080" s="15"/>
      <c r="AC1080" s="15"/>
      <c r="AD1080" s="15"/>
      <c r="AE1080" s="15"/>
      <c r="AF1080" s="15"/>
      <c r="AG1080" s="15"/>
      <c r="AH1080" s="15"/>
      <c r="AI1080" s="15"/>
    </row>
    <row r="1081" spans="1:35">
      <c r="A1081" s="14">
        <v>1079</v>
      </c>
      <c r="B1081" s="14">
        <v>10468</v>
      </c>
      <c r="C1081" s="14" t="s">
        <v>1251</v>
      </c>
      <c r="D1081" s="14" t="s">
        <v>58</v>
      </c>
      <c r="E1081" s="15" t="str">
        <f>"1597.86"</f>
        <v>1597.86</v>
      </c>
      <c r="F1081" s="15"/>
      <c r="G1081" s="16" t="str">
        <f>"1597.86"</f>
        <v>1597.86</v>
      </c>
      <c r="H1081" s="17">
        <f t="shared" si="16"/>
        <v>1589.86</v>
      </c>
      <c r="I1081" s="18" t="s">
        <v>43</v>
      </c>
      <c r="J1081" s="15">
        <v>4</v>
      </c>
      <c r="K1081" s="15">
        <v>2016</v>
      </c>
      <c r="L1081" s="15"/>
      <c r="M1081" s="15"/>
      <c r="N1081" s="15"/>
      <c r="O1081" s="15"/>
      <c r="P1081" s="15"/>
      <c r="Q1081" s="15"/>
      <c r="R1081" s="15"/>
      <c r="S1081" s="15"/>
      <c r="T1081" s="15"/>
      <c r="U1081" s="15" t="str">
        <f>"1569.86"</f>
        <v>1569.86</v>
      </c>
      <c r="V1081" s="15"/>
      <c r="W1081" s="15"/>
      <c r="X1081" s="15"/>
      <c r="Y1081" s="15"/>
      <c r="Z1081" s="15"/>
      <c r="AA1081" s="15"/>
      <c r="AB1081" s="15"/>
      <c r="AC1081" s="15"/>
      <c r="AD1081" s="15"/>
      <c r="AE1081" s="15"/>
      <c r="AF1081" s="15"/>
      <c r="AG1081" s="15"/>
      <c r="AH1081" s="15"/>
      <c r="AI1081" s="15"/>
    </row>
    <row r="1082" spans="1:35">
      <c r="A1082" s="14">
        <v>1080</v>
      </c>
      <c r="B1082" s="14">
        <v>10460</v>
      </c>
      <c r="C1082" s="14" t="s">
        <v>1252</v>
      </c>
      <c r="D1082" s="14" t="s">
        <v>58</v>
      </c>
      <c r="E1082" s="15" t="str">
        <f>"1602.80"</f>
        <v>1602.80</v>
      </c>
      <c r="F1082" s="15"/>
      <c r="G1082" s="16" t="str">
        <f>"1602.80"</f>
        <v>1602.80</v>
      </c>
      <c r="H1082" s="17">
        <f t="shared" si="16"/>
        <v>1594.8</v>
      </c>
      <c r="I1082" s="18" t="s">
        <v>43</v>
      </c>
      <c r="J1082" s="15">
        <v>4</v>
      </c>
      <c r="K1082" s="15">
        <v>2016</v>
      </c>
      <c r="L1082" s="15"/>
      <c r="M1082" s="15"/>
      <c r="N1082" s="15"/>
      <c r="O1082" s="15"/>
      <c r="P1082" s="15"/>
      <c r="Q1082" s="15"/>
      <c r="R1082" s="15"/>
      <c r="S1082" s="15"/>
      <c r="T1082" s="15"/>
      <c r="U1082" s="15" t="str">
        <f>"1574.80"</f>
        <v>1574.80</v>
      </c>
      <c r="V1082" s="15"/>
      <c r="W1082" s="15"/>
      <c r="X1082" s="15"/>
      <c r="Y1082" s="15"/>
      <c r="Z1082" s="15"/>
      <c r="AA1082" s="15"/>
      <c r="AB1082" s="15"/>
      <c r="AC1082" s="15"/>
      <c r="AD1082" s="15"/>
      <c r="AE1082" s="15"/>
      <c r="AF1082" s="15"/>
      <c r="AG1082" s="15"/>
      <c r="AH1082" s="15"/>
      <c r="AI1082" s="15"/>
    </row>
    <row r="1083" spans="1:35">
      <c r="A1083" s="14">
        <v>1081</v>
      </c>
      <c r="B1083" s="14">
        <v>10729</v>
      </c>
      <c r="C1083" s="14" t="s">
        <v>1253</v>
      </c>
      <c r="D1083" s="14" t="s">
        <v>58</v>
      </c>
      <c r="E1083" s="15" t="str">
        <f>"1622.64"</f>
        <v>1622.64</v>
      </c>
      <c r="F1083" s="15"/>
      <c r="G1083" s="16" t="str">
        <f>"1622.64"</f>
        <v>1622.64</v>
      </c>
      <c r="H1083" s="17">
        <f t="shared" si="16"/>
        <v>1614.64</v>
      </c>
      <c r="I1083" s="18" t="s">
        <v>43</v>
      </c>
      <c r="J1083" s="15">
        <v>4</v>
      </c>
      <c r="K1083" s="15">
        <v>2016</v>
      </c>
      <c r="L1083" s="15"/>
      <c r="M1083" s="15"/>
      <c r="N1083" s="15"/>
      <c r="O1083" s="15"/>
      <c r="P1083" s="15"/>
      <c r="Q1083" s="15"/>
      <c r="R1083" s="15"/>
      <c r="S1083" s="15"/>
      <c r="T1083" s="15"/>
      <c r="U1083" s="15" t="str">
        <f>"1594.64"</f>
        <v>1594.64</v>
      </c>
      <c r="V1083" s="15"/>
      <c r="W1083" s="15"/>
      <c r="X1083" s="15"/>
      <c r="Y1083" s="15"/>
      <c r="Z1083" s="15"/>
      <c r="AA1083" s="15"/>
      <c r="AB1083" s="15"/>
      <c r="AC1083" s="15"/>
      <c r="AD1083" s="15"/>
      <c r="AE1083" s="15"/>
      <c r="AF1083" s="15"/>
      <c r="AG1083" s="15"/>
      <c r="AH1083" s="15"/>
      <c r="AI1083" s="15"/>
    </row>
    <row r="1084" spans="1:35">
      <c r="A1084" s="14">
        <v>1082</v>
      </c>
      <c r="B1084" s="14">
        <v>10795</v>
      </c>
      <c r="C1084" s="14" t="s">
        <v>1254</v>
      </c>
      <c r="D1084" s="14" t="s">
        <v>58</v>
      </c>
      <c r="E1084" s="15" t="str">
        <f>"1699.72"</f>
        <v>1699.72</v>
      </c>
      <c r="F1084" s="15"/>
      <c r="G1084" s="16" t="str">
        <f>"1699.72"</f>
        <v>1699.72</v>
      </c>
      <c r="H1084" s="17">
        <f t="shared" si="16"/>
        <v>1691.72</v>
      </c>
      <c r="I1084" s="18" t="s">
        <v>43</v>
      </c>
      <c r="J1084" s="15">
        <v>4</v>
      </c>
      <c r="K1084" s="15">
        <v>2016</v>
      </c>
      <c r="L1084" s="15"/>
      <c r="M1084" s="15"/>
      <c r="N1084" s="15"/>
      <c r="O1084" s="15"/>
      <c r="P1084" s="15"/>
      <c r="Q1084" s="15"/>
      <c r="R1084" s="15"/>
      <c r="S1084" s="15"/>
      <c r="T1084" s="15"/>
      <c r="U1084" s="15" t="str">
        <f>"1671.72"</f>
        <v>1671.72</v>
      </c>
      <c r="V1084" s="15"/>
      <c r="W1084" s="15"/>
      <c r="X1084" s="15"/>
      <c r="Y1084" s="15"/>
      <c r="Z1084" s="15"/>
      <c r="AA1084" s="15"/>
      <c r="AB1084" s="15"/>
      <c r="AC1084" s="15"/>
      <c r="AD1084" s="15"/>
      <c r="AE1084" s="15"/>
      <c r="AF1084" s="15"/>
      <c r="AG1084" s="15"/>
      <c r="AH1084" s="15"/>
      <c r="AI1084" s="15"/>
    </row>
    <row r="1085" spans="1:35">
      <c r="A1085" s="14">
        <v>1083</v>
      </c>
      <c r="B1085" s="14">
        <v>10721</v>
      </c>
      <c r="C1085" s="14" t="s">
        <v>1255</v>
      </c>
      <c r="D1085" s="14" t="s">
        <v>58</v>
      </c>
      <c r="E1085" s="15" t="str">
        <f>"1726.16"</f>
        <v>1726.16</v>
      </c>
      <c r="F1085" s="15"/>
      <c r="G1085" s="16" t="str">
        <f>"1726.16"</f>
        <v>1726.16</v>
      </c>
      <c r="H1085" s="17">
        <f t="shared" si="16"/>
        <v>1718.16</v>
      </c>
      <c r="I1085" s="18" t="s">
        <v>43</v>
      </c>
      <c r="J1085" s="15">
        <v>4</v>
      </c>
      <c r="K1085" s="15">
        <v>2016</v>
      </c>
      <c r="L1085" s="15"/>
      <c r="M1085" s="15"/>
      <c r="N1085" s="15"/>
      <c r="O1085" s="15"/>
      <c r="P1085" s="15"/>
      <c r="Q1085" s="15"/>
      <c r="R1085" s="15"/>
      <c r="S1085" s="15"/>
      <c r="T1085" s="15"/>
      <c r="U1085" s="15" t="str">
        <f>"1698.16"</f>
        <v>1698.16</v>
      </c>
      <c r="V1085" s="15"/>
      <c r="W1085" s="15"/>
      <c r="X1085" s="15"/>
      <c r="Y1085" s="15"/>
      <c r="Z1085" s="15"/>
      <c r="AA1085" s="15"/>
      <c r="AB1085" s="15"/>
      <c r="AC1085" s="15"/>
      <c r="AD1085" s="15"/>
      <c r="AE1085" s="15"/>
      <c r="AF1085" s="15"/>
      <c r="AG1085" s="15"/>
      <c r="AH1085" s="15"/>
      <c r="AI1085" s="15"/>
    </row>
    <row r="1086" spans="1:35">
      <c r="A1086" s="14">
        <v>1084</v>
      </c>
      <c r="B1086" s="14">
        <v>10725</v>
      </c>
      <c r="C1086" s="14" t="s">
        <v>1256</v>
      </c>
      <c r="D1086" s="14" t="s">
        <v>58</v>
      </c>
      <c r="E1086" s="15" t="str">
        <f>"1726.16"</f>
        <v>1726.16</v>
      </c>
      <c r="F1086" s="15"/>
      <c r="G1086" s="16" t="str">
        <f>"1726.16"</f>
        <v>1726.16</v>
      </c>
      <c r="H1086" s="17">
        <f t="shared" si="16"/>
        <v>1718.16</v>
      </c>
      <c r="I1086" s="18" t="s">
        <v>43</v>
      </c>
      <c r="J1086" s="15">
        <v>4</v>
      </c>
      <c r="K1086" s="15">
        <v>2016</v>
      </c>
      <c r="L1086" s="15"/>
      <c r="M1086" s="15"/>
      <c r="N1086" s="15"/>
      <c r="O1086" s="15"/>
      <c r="P1086" s="15"/>
      <c r="Q1086" s="15"/>
      <c r="R1086" s="15"/>
      <c r="S1086" s="15"/>
      <c r="T1086" s="15"/>
      <c r="U1086" s="15" t="str">
        <f>"1698.16"</f>
        <v>1698.16</v>
      </c>
      <c r="V1086" s="15"/>
      <c r="W1086" s="15"/>
      <c r="X1086" s="15"/>
      <c r="Y1086" s="15"/>
      <c r="Z1086" s="15"/>
      <c r="AA1086" s="15"/>
      <c r="AB1086" s="15"/>
      <c r="AC1086" s="15"/>
      <c r="AD1086" s="15"/>
      <c r="AE1086" s="15"/>
      <c r="AF1086" s="15"/>
      <c r="AG1086" s="15"/>
      <c r="AH1086" s="15"/>
      <c r="AI1086" s="15"/>
    </row>
    <row r="1087" spans="1:35">
      <c r="A1087" s="14">
        <v>1085</v>
      </c>
      <c r="B1087" s="14">
        <v>10789</v>
      </c>
      <c r="C1087" s="14" t="s">
        <v>1257</v>
      </c>
      <c r="D1087" s="14" t="s">
        <v>58</v>
      </c>
      <c r="E1087" s="15" t="str">
        <f>"1872.64"</f>
        <v>1872.64</v>
      </c>
      <c r="F1087" s="15"/>
      <c r="G1087" s="16" t="str">
        <f>"1872.64"</f>
        <v>1872.64</v>
      </c>
      <c r="H1087" s="17">
        <f t="shared" si="16"/>
        <v>1864.64</v>
      </c>
      <c r="I1087" s="18" t="s">
        <v>43</v>
      </c>
      <c r="J1087" s="15">
        <v>4</v>
      </c>
      <c r="K1087" s="15">
        <v>2016</v>
      </c>
      <c r="L1087" s="15"/>
      <c r="M1087" s="15"/>
      <c r="N1087" s="15"/>
      <c r="O1087" s="15"/>
      <c r="P1087" s="15"/>
      <c r="Q1087" s="15"/>
      <c r="R1087" s="15"/>
      <c r="S1087" s="15"/>
      <c r="T1087" s="15"/>
      <c r="U1087" s="15" t="str">
        <f>"1844.64"</f>
        <v>1844.64</v>
      </c>
      <c r="V1087" s="15"/>
      <c r="W1087" s="15"/>
      <c r="X1087" s="15"/>
      <c r="Y1087" s="15"/>
      <c r="Z1087" s="15"/>
      <c r="AA1087" s="15"/>
      <c r="AB1087" s="15"/>
      <c r="AC1087" s="15"/>
      <c r="AD1087" s="15"/>
      <c r="AE1087" s="15"/>
      <c r="AF1087" s="15"/>
      <c r="AG1087" s="15"/>
      <c r="AH1087" s="15"/>
      <c r="AI1087" s="15"/>
    </row>
    <row r="1088" spans="1:35">
      <c r="A1088" s="14">
        <v>1086</v>
      </c>
      <c r="B1088" s="14">
        <v>10780</v>
      </c>
      <c r="C1088" s="14" t="s">
        <v>1258</v>
      </c>
      <c r="D1088" s="14" t="s">
        <v>58</v>
      </c>
      <c r="E1088" s="15" t="str">
        <f>"1884.76"</f>
        <v>1884.76</v>
      </c>
      <c r="F1088" s="15"/>
      <c r="G1088" s="16" t="str">
        <f>"1884.76"</f>
        <v>1884.76</v>
      </c>
      <c r="H1088" s="17">
        <f t="shared" si="16"/>
        <v>1876.76</v>
      </c>
      <c r="I1088" s="18" t="s">
        <v>43</v>
      </c>
      <c r="J1088" s="15">
        <v>4</v>
      </c>
      <c r="K1088" s="15">
        <v>2016</v>
      </c>
      <c r="L1088" s="15"/>
      <c r="M1088" s="15"/>
      <c r="N1088" s="15"/>
      <c r="O1088" s="15"/>
      <c r="P1088" s="15"/>
      <c r="Q1088" s="15"/>
      <c r="R1088" s="15"/>
      <c r="S1088" s="15"/>
      <c r="T1088" s="15"/>
      <c r="U1088" s="15" t="str">
        <f>"1856.76"</f>
        <v>1856.76</v>
      </c>
      <c r="V1088" s="15"/>
      <c r="W1088" s="15"/>
      <c r="X1088" s="15"/>
      <c r="Y1088" s="15"/>
      <c r="Z1088" s="15"/>
      <c r="AA1088" s="15"/>
      <c r="AB1088" s="15"/>
      <c r="AC1088" s="15"/>
      <c r="AD1088" s="15"/>
      <c r="AE1088" s="15"/>
      <c r="AF1088" s="15"/>
      <c r="AG1088" s="15"/>
      <c r="AH1088" s="15"/>
      <c r="AI1088" s="15"/>
    </row>
    <row r="1089" spans="1:35">
      <c r="A1089" s="14">
        <v>1087</v>
      </c>
      <c r="B1089" s="14">
        <v>10735</v>
      </c>
      <c r="C1089" s="14" t="s">
        <v>1259</v>
      </c>
      <c r="D1089" s="14" t="s">
        <v>58</v>
      </c>
      <c r="E1089" s="15" t="str">
        <f>"1916.14"</f>
        <v>1916.14</v>
      </c>
      <c r="F1089" s="15"/>
      <c r="G1089" s="16" t="str">
        <f>"1916.14"</f>
        <v>1916.14</v>
      </c>
      <c r="H1089" s="17">
        <f t="shared" si="16"/>
        <v>1908.14</v>
      </c>
      <c r="I1089" s="18" t="s">
        <v>43</v>
      </c>
      <c r="J1089" s="15">
        <v>4</v>
      </c>
      <c r="K1089" s="15">
        <v>2016</v>
      </c>
      <c r="L1089" s="15"/>
      <c r="M1089" s="15"/>
      <c r="N1089" s="15"/>
      <c r="O1089" s="15"/>
      <c r="P1089" s="15"/>
      <c r="Q1089" s="15"/>
      <c r="R1089" s="15"/>
      <c r="S1089" s="15"/>
      <c r="T1089" s="15"/>
      <c r="U1089" s="15" t="str">
        <f>"1888.14"</f>
        <v>1888.14</v>
      </c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F1089" s="15"/>
      <c r="AG1089" s="15"/>
      <c r="AH1089" s="15"/>
      <c r="AI1089" s="15"/>
    </row>
    <row r="1090" spans="1:35">
      <c r="A1090" s="14">
        <v>1088</v>
      </c>
      <c r="B1090" s="14">
        <v>10763</v>
      </c>
      <c r="C1090" s="14" t="s">
        <v>1260</v>
      </c>
      <c r="D1090" s="14" t="s">
        <v>58</v>
      </c>
      <c r="E1090" s="15" t="str">
        <f>"2241.58"</f>
        <v>2241.58</v>
      </c>
      <c r="F1090" s="15"/>
      <c r="G1090" s="16" t="str">
        <f>"2241.58"</f>
        <v>2241.58</v>
      </c>
      <c r="H1090" s="17">
        <f t="shared" si="16"/>
        <v>2233.58</v>
      </c>
      <c r="I1090" s="18" t="s">
        <v>43</v>
      </c>
      <c r="J1090" s="15">
        <v>4</v>
      </c>
      <c r="K1090" s="15">
        <v>2016</v>
      </c>
      <c r="L1090" s="15"/>
      <c r="M1090" s="15"/>
      <c r="N1090" s="15"/>
      <c r="O1090" s="15"/>
      <c r="P1090" s="15"/>
      <c r="Q1090" s="15"/>
      <c r="R1090" s="15"/>
      <c r="S1090" s="15"/>
      <c r="T1090" s="15"/>
      <c r="U1090" s="15" t="str">
        <f>"2213.58"</f>
        <v>2213.58</v>
      </c>
      <c r="V1090" s="15"/>
      <c r="W1090" s="15"/>
      <c r="X1090" s="15"/>
      <c r="Y1090" s="15"/>
      <c r="Z1090" s="15"/>
      <c r="AA1090" s="15"/>
      <c r="AB1090" s="15"/>
      <c r="AC1090" s="15"/>
      <c r="AD1090" s="15"/>
      <c r="AE1090" s="15"/>
      <c r="AF1090" s="15"/>
      <c r="AG1090" s="15"/>
      <c r="AH1090" s="15"/>
      <c r="AI1090" s="15"/>
    </row>
    <row r="1091" spans="1:35">
      <c r="A1091" s="14">
        <v>1089</v>
      </c>
      <c r="B1091" s="14">
        <v>10798</v>
      </c>
      <c r="C1091" s="14" t="s">
        <v>1261</v>
      </c>
      <c r="D1091" s="14" t="s">
        <v>58</v>
      </c>
      <c r="E1091" s="15" t="str">
        <f>"2336.86"</f>
        <v>2336.86</v>
      </c>
      <c r="F1091" s="15"/>
      <c r="G1091" s="16" t="str">
        <f>"2336.86"</f>
        <v>2336.86</v>
      </c>
      <c r="H1091" s="17">
        <f t="shared" ref="H1091:H1094" si="17">G1091-8</f>
        <v>2328.86</v>
      </c>
      <c r="I1091" s="18" t="s">
        <v>43</v>
      </c>
      <c r="J1091" s="15">
        <v>4</v>
      </c>
      <c r="K1091" s="15">
        <v>2016</v>
      </c>
      <c r="L1091" s="15"/>
      <c r="M1091" s="15"/>
      <c r="N1091" s="15"/>
      <c r="O1091" s="15"/>
      <c r="P1091" s="15"/>
      <c r="Q1091" s="15"/>
      <c r="R1091" s="15"/>
      <c r="S1091" s="15"/>
      <c r="T1091" s="15"/>
      <c r="U1091" s="15" t="str">
        <f>"2308.86"</f>
        <v>2308.86</v>
      </c>
      <c r="V1091" s="15"/>
      <c r="W1091" s="15"/>
      <c r="X1091" s="15"/>
      <c r="Y1091" s="15"/>
      <c r="Z1091" s="15"/>
      <c r="AA1091" s="15"/>
      <c r="AB1091" s="15"/>
      <c r="AC1091" s="15"/>
      <c r="AD1091" s="15"/>
      <c r="AE1091" s="15"/>
      <c r="AF1091" s="15"/>
      <c r="AG1091" s="15"/>
      <c r="AH1091" s="15"/>
      <c r="AI1091" s="15"/>
    </row>
    <row r="1092" spans="1:35">
      <c r="A1092" s="14">
        <v>1090</v>
      </c>
      <c r="B1092" s="14">
        <v>10471</v>
      </c>
      <c r="C1092" s="14" t="s">
        <v>1262</v>
      </c>
      <c r="D1092" s="14" t="s">
        <v>58</v>
      </c>
      <c r="E1092" s="15" t="str">
        <f>"2563.18"</f>
        <v>2563.18</v>
      </c>
      <c r="F1092" s="15"/>
      <c r="G1092" s="16" t="str">
        <f>"2563.18"</f>
        <v>2563.18</v>
      </c>
      <c r="H1092" s="17">
        <f t="shared" si="17"/>
        <v>2555.1799999999998</v>
      </c>
      <c r="I1092" s="18" t="s">
        <v>43</v>
      </c>
      <c r="J1092" s="15">
        <v>4</v>
      </c>
      <c r="K1092" s="15">
        <v>2016</v>
      </c>
      <c r="L1092" s="15"/>
      <c r="M1092" s="15"/>
      <c r="N1092" s="15"/>
      <c r="O1092" s="15"/>
      <c r="P1092" s="15"/>
      <c r="Q1092" s="15"/>
      <c r="R1092" s="15"/>
      <c r="S1092" s="15"/>
      <c r="T1092" s="15"/>
      <c r="U1092" s="15" t="str">
        <f>"2535.18"</f>
        <v>2535.18</v>
      </c>
      <c r="V1092" s="15"/>
      <c r="W1092" s="15"/>
      <c r="X1092" s="15"/>
      <c r="Y1092" s="15"/>
      <c r="Z1092" s="15"/>
      <c r="AA1092" s="15"/>
      <c r="AB1092" s="15"/>
      <c r="AC1092" s="15"/>
      <c r="AD1092" s="15"/>
      <c r="AE1092" s="15"/>
      <c r="AF1092" s="15"/>
      <c r="AG1092" s="15"/>
      <c r="AH1092" s="15"/>
      <c r="AI1092" s="15"/>
    </row>
    <row r="1093" spans="1:35">
      <c r="A1093" s="14">
        <v>1091</v>
      </c>
      <c r="B1093" s="14">
        <v>10797</v>
      </c>
      <c r="C1093" s="14" t="s">
        <v>1263</v>
      </c>
      <c r="D1093" s="14" t="s">
        <v>58</v>
      </c>
      <c r="E1093" s="15" t="str">
        <f>"3159.56"</f>
        <v>3159.56</v>
      </c>
      <c r="F1093" s="15"/>
      <c r="G1093" s="16" t="str">
        <f>"3159.56"</f>
        <v>3159.56</v>
      </c>
      <c r="H1093" s="17">
        <f t="shared" si="17"/>
        <v>3151.56</v>
      </c>
      <c r="I1093" s="18" t="s">
        <v>43</v>
      </c>
      <c r="J1093" s="15">
        <v>4</v>
      </c>
      <c r="K1093" s="15">
        <v>2016</v>
      </c>
      <c r="L1093" s="15"/>
      <c r="M1093" s="15"/>
      <c r="N1093" s="15"/>
      <c r="O1093" s="15"/>
      <c r="P1093" s="15"/>
      <c r="Q1093" s="15"/>
      <c r="R1093" s="15"/>
      <c r="S1093" s="15"/>
      <c r="T1093" s="15"/>
      <c r="U1093" s="15" t="str">
        <f>"3131.56"</f>
        <v>3131.56</v>
      </c>
      <c r="V1093" s="15"/>
      <c r="W1093" s="15"/>
      <c r="X1093" s="15"/>
      <c r="Y1093" s="15"/>
      <c r="Z1093" s="15"/>
      <c r="AA1093" s="15"/>
      <c r="AB1093" s="15"/>
      <c r="AC1093" s="15"/>
      <c r="AD1093" s="15"/>
      <c r="AE1093" s="15"/>
      <c r="AF1093" s="15"/>
      <c r="AG1093" s="15"/>
      <c r="AH1093" s="15"/>
      <c r="AI1093" s="15"/>
    </row>
    <row r="1094" spans="1:35">
      <c r="A1094" s="14">
        <v>1092</v>
      </c>
      <c r="B1094" s="14">
        <v>10762</v>
      </c>
      <c r="C1094" s="14" t="s">
        <v>1264</v>
      </c>
      <c r="D1094" s="14" t="s">
        <v>58</v>
      </c>
      <c r="E1094" s="15" t="str">
        <f>"4841.84"</f>
        <v>4841.84</v>
      </c>
      <c r="F1094" s="15"/>
      <c r="G1094" s="16" t="str">
        <f>"4841.84"</f>
        <v>4841.84</v>
      </c>
      <c r="H1094" s="17">
        <f t="shared" si="17"/>
        <v>4833.84</v>
      </c>
      <c r="I1094" s="18" t="s">
        <v>43</v>
      </c>
      <c r="J1094" s="15">
        <v>4</v>
      </c>
      <c r="K1094" s="15">
        <v>2016</v>
      </c>
      <c r="L1094" s="15"/>
      <c r="M1094" s="15"/>
      <c r="N1094" s="15"/>
      <c r="O1094" s="15"/>
      <c r="P1094" s="15"/>
      <c r="Q1094" s="15"/>
      <c r="R1094" s="15"/>
      <c r="S1094" s="15"/>
      <c r="T1094" s="15"/>
      <c r="U1094" s="15" t="str">
        <f>"4813.84"</f>
        <v>4813.84</v>
      </c>
      <c r="V1094" s="15"/>
      <c r="W1094" s="15"/>
      <c r="X1094" s="15"/>
      <c r="Y1094" s="15"/>
      <c r="Z1094" s="15"/>
      <c r="AA1094" s="15"/>
      <c r="AB1094" s="15"/>
      <c r="AC1094" s="15"/>
      <c r="AD1094" s="15"/>
      <c r="AE1094" s="15"/>
      <c r="AF1094" s="15"/>
      <c r="AG1094" s="15"/>
      <c r="AH1094" s="15"/>
      <c r="AI1094" s="15"/>
    </row>
  </sheetData>
  <sheetProtection algorithmName="SHA-512" hashValue="gdgLd1Lg0c6tZt3GUHI/EKYCWCNcAlqK6Fxl7pxfNr/l888ywv5bf8rJdAsQx0ZiSZKk/rgTT31QKPUz6ALhHQ==" saltValue="OeeBW46E/I91RssVxUzMnQ==" spinCount="100000" sheet="1" objects="1" scenarios="1" formatCells="0" formatColumns="0" formatRows="0" sort="0" autoFilter="0"/>
  <autoFilter ref="A2:AI1094"/>
  <phoneticPr fontId="2"/>
  <pageMargins left="0.23622047244094491" right="0.23622047244094491" top="0.15748031496062992" bottom="0.15748031496062992" header="0.31496062992125984" footer="0.31496062992125984"/>
  <pageSetup paperSize="9" scale="30" fitToHeight="0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男子SL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</dc:creator>
  <cp:lastModifiedBy>OST</cp:lastModifiedBy>
  <dcterms:created xsi:type="dcterms:W3CDTF">2016-08-31T07:12:46Z</dcterms:created>
  <dcterms:modified xsi:type="dcterms:W3CDTF">2016-08-31T07:13:05Z</dcterms:modified>
</cp:coreProperties>
</file>