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8880" yWindow="1720" windowWidth="25040" windowHeight="17820" tabRatio="500"/>
  </bookViews>
  <sheets>
    <sheet name="男子GS" sheetId="1" r:id="rId1"/>
  </sheets>
  <definedNames>
    <definedName name="_xlnm._FilterDatabase" localSheetId="0" hidden="1">男子GS!$A$2:$AI$1253</definedName>
    <definedName name="_xlnm.Print_Titles" localSheetId="0">男子GS!$1:$2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253" i="1" l="1"/>
  <c r="U1253" i="1"/>
  <c r="G1253" i="1"/>
  <c r="E1253" i="1"/>
  <c r="K1252" i="1"/>
  <c r="G1252" i="1"/>
  <c r="E1252" i="1"/>
  <c r="Z1251" i="1"/>
  <c r="G1251" i="1"/>
  <c r="E1251" i="1"/>
  <c r="Z1250" i="1"/>
  <c r="G1250" i="1"/>
  <c r="E1250" i="1"/>
  <c r="Z1249" i="1"/>
  <c r="G1249" i="1"/>
  <c r="E1249" i="1"/>
  <c r="Z1248" i="1"/>
  <c r="G1248" i="1"/>
  <c r="E1248" i="1"/>
  <c r="K1247" i="1"/>
  <c r="G1247" i="1"/>
  <c r="E1247" i="1"/>
  <c r="X1246" i="1"/>
  <c r="G1246" i="1"/>
  <c r="E1246" i="1"/>
  <c r="Z1245" i="1"/>
  <c r="G1245" i="1"/>
  <c r="E1245" i="1"/>
  <c r="Z1244" i="1"/>
  <c r="G1244" i="1"/>
  <c r="E1244" i="1"/>
  <c r="X1243" i="1"/>
  <c r="G1243" i="1"/>
  <c r="E1243" i="1"/>
  <c r="Z1242" i="1"/>
  <c r="U1242" i="1"/>
  <c r="G1242" i="1"/>
  <c r="E1242" i="1"/>
  <c r="Z1241" i="1"/>
  <c r="U1241" i="1"/>
  <c r="G1241" i="1"/>
  <c r="E1241" i="1"/>
  <c r="K1240" i="1"/>
  <c r="G1240" i="1"/>
  <c r="E1240" i="1"/>
  <c r="R1239" i="1"/>
  <c r="G1239" i="1"/>
  <c r="E1239" i="1"/>
  <c r="K1238" i="1"/>
  <c r="G1238" i="1"/>
  <c r="E1238" i="1"/>
  <c r="AC1237" i="1"/>
  <c r="G1237" i="1"/>
  <c r="E1237" i="1"/>
  <c r="Z1236" i="1"/>
  <c r="G1236" i="1"/>
  <c r="E1236" i="1"/>
  <c r="Z1235" i="1"/>
  <c r="K1235" i="1"/>
  <c r="G1235" i="1"/>
  <c r="E1235" i="1"/>
  <c r="Z1234" i="1"/>
  <c r="K1234" i="1"/>
  <c r="G1234" i="1"/>
  <c r="E1234" i="1"/>
  <c r="AI1233" i="1"/>
  <c r="Z1233" i="1"/>
  <c r="G1233" i="1"/>
  <c r="E1233" i="1"/>
  <c r="Z1232" i="1"/>
  <c r="K1232" i="1"/>
  <c r="G1232" i="1"/>
  <c r="E1232" i="1"/>
  <c r="X1231" i="1"/>
  <c r="G1231" i="1"/>
  <c r="E1231" i="1"/>
  <c r="K1230" i="1"/>
  <c r="G1230" i="1"/>
  <c r="E1230" i="1"/>
  <c r="P1229" i="1"/>
  <c r="K1229" i="1"/>
  <c r="G1229" i="1"/>
  <c r="E1229" i="1"/>
  <c r="Z1228" i="1"/>
  <c r="G1228" i="1"/>
  <c r="E1228" i="1"/>
  <c r="K1227" i="1"/>
  <c r="G1227" i="1"/>
  <c r="E1227" i="1"/>
  <c r="Z1226" i="1"/>
  <c r="G1226" i="1"/>
  <c r="E1226" i="1"/>
  <c r="AI1225" i="1"/>
  <c r="G1225" i="1"/>
  <c r="E1225" i="1"/>
  <c r="K1224" i="1"/>
  <c r="G1224" i="1"/>
  <c r="E1224" i="1"/>
  <c r="X1223" i="1"/>
  <c r="G1223" i="1"/>
  <c r="E1223" i="1"/>
  <c r="Z1222" i="1"/>
  <c r="G1222" i="1"/>
  <c r="E1222" i="1"/>
  <c r="P1221" i="1"/>
  <c r="G1221" i="1"/>
  <c r="E1221" i="1"/>
  <c r="Z1220" i="1"/>
  <c r="K1220" i="1"/>
  <c r="G1220" i="1"/>
  <c r="E1220" i="1"/>
  <c r="R1219" i="1"/>
  <c r="P1219" i="1"/>
  <c r="G1219" i="1"/>
  <c r="E1219" i="1"/>
  <c r="X1218" i="1"/>
  <c r="G1218" i="1"/>
  <c r="E1218" i="1"/>
  <c r="Z1217" i="1"/>
  <c r="K1217" i="1"/>
  <c r="G1217" i="1"/>
  <c r="E1217" i="1"/>
  <c r="K1216" i="1"/>
  <c r="G1216" i="1"/>
  <c r="E1216" i="1"/>
  <c r="K1215" i="1"/>
  <c r="G1215" i="1"/>
  <c r="E1215" i="1"/>
  <c r="K1214" i="1"/>
  <c r="G1214" i="1"/>
  <c r="E1214" i="1"/>
  <c r="R1213" i="1"/>
  <c r="P1213" i="1"/>
  <c r="G1213" i="1"/>
  <c r="E1213" i="1"/>
  <c r="Z1212" i="1"/>
  <c r="G1212" i="1"/>
  <c r="E1212" i="1"/>
  <c r="Z1211" i="1"/>
  <c r="G1211" i="1"/>
  <c r="E1211" i="1"/>
  <c r="K1210" i="1"/>
  <c r="G1210" i="1"/>
  <c r="E1210" i="1"/>
  <c r="R1209" i="1"/>
  <c r="P1209" i="1"/>
  <c r="K1209" i="1"/>
  <c r="G1209" i="1"/>
  <c r="E1209" i="1"/>
  <c r="K1208" i="1"/>
  <c r="G1208" i="1"/>
  <c r="E1208" i="1"/>
  <c r="Z1207" i="1"/>
  <c r="G1207" i="1"/>
  <c r="E1207" i="1"/>
  <c r="R1206" i="1"/>
  <c r="P1206" i="1"/>
  <c r="G1206" i="1"/>
  <c r="E1206" i="1"/>
  <c r="K1205" i="1"/>
  <c r="G1205" i="1"/>
  <c r="E1205" i="1"/>
  <c r="AC1204" i="1"/>
  <c r="X1204" i="1"/>
  <c r="G1204" i="1"/>
  <c r="E1204" i="1"/>
  <c r="Z1203" i="1"/>
  <c r="U1203" i="1"/>
  <c r="G1203" i="1"/>
  <c r="E1203" i="1"/>
  <c r="Z1202" i="1"/>
  <c r="U1202" i="1"/>
  <c r="G1202" i="1"/>
  <c r="E1202" i="1"/>
  <c r="Z1201" i="1"/>
  <c r="K1201" i="1"/>
  <c r="G1201" i="1"/>
  <c r="E1201" i="1"/>
  <c r="Z1200" i="1"/>
  <c r="G1200" i="1"/>
  <c r="E1200" i="1"/>
  <c r="Z1199" i="1"/>
  <c r="U1199" i="1"/>
  <c r="K1199" i="1"/>
  <c r="G1199" i="1"/>
  <c r="E1199" i="1"/>
  <c r="X1198" i="1"/>
  <c r="G1198" i="1"/>
  <c r="E1198" i="1"/>
  <c r="AC1197" i="1"/>
  <c r="X1197" i="1"/>
  <c r="G1197" i="1"/>
  <c r="E1197" i="1"/>
  <c r="Z1196" i="1"/>
  <c r="K1196" i="1"/>
  <c r="G1196" i="1"/>
  <c r="E1196" i="1"/>
  <c r="R1195" i="1"/>
  <c r="G1195" i="1"/>
  <c r="E1195" i="1"/>
  <c r="Z1194" i="1"/>
  <c r="G1194" i="1"/>
  <c r="E1194" i="1"/>
  <c r="X1193" i="1"/>
  <c r="K1193" i="1"/>
  <c r="G1193" i="1"/>
  <c r="E1193" i="1"/>
  <c r="Z1192" i="1"/>
  <c r="K1192" i="1"/>
  <c r="G1192" i="1"/>
  <c r="E1192" i="1"/>
  <c r="AI1191" i="1"/>
  <c r="Z1191" i="1"/>
  <c r="G1191" i="1"/>
  <c r="E1191" i="1"/>
  <c r="AI1190" i="1"/>
  <c r="Z1190" i="1"/>
  <c r="G1190" i="1"/>
  <c r="E1190" i="1"/>
  <c r="K1189" i="1"/>
  <c r="G1189" i="1"/>
  <c r="E1189" i="1"/>
  <c r="Z1188" i="1"/>
  <c r="U1188" i="1"/>
  <c r="G1188" i="1"/>
  <c r="E1188" i="1"/>
  <c r="K1187" i="1"/>
  <c r="G1187" i="1"/>
  <c r="E1187" i="1"/>
  <c r="X1186" i="1"/>
  <c r="K1186" i="1"/>
  <c r="G1186" i="1"/>
  <c r="E1186" i="1"/>
  <c r="R1185" i="1"/>
  <c r="G1185" i="1"/>
  <c r="E1185" i="1"/>
  <c r="AI1184" i="1"/>
  <c r="Z1184" i="1"/>
  <c r="K1184" i="1"/>
  <c r="G1184" i="1"/>
  <c r="E1184" i="1"/>
  <c r="K1183" i="1"/>
  <c r="G1183" i="1"/>
  <c r="E1183" i="1"/>
  <c r="P1182" i="1"/>
  <c r="G1182" i="1"/>
  <c r="E1182" i="1"/>
  <c r="AI1181" i="1"/>
  <c r="Z1181" i="1"/>
  <c r="K1181" i="1"/>
  <c r="G1181" i="1"/>
  <c r="E1181" i="1"/>
  <c r="Z1180" i="1"/>
  <c r="K1180" i="1"/>
  <c r="G1180" i="1"/>
  <c r="E1180" i="1"/>
  <c r="AH1179" i="1"/>
  <c r="AC1179" i="1"/>
  <c r="G1179" i="1"/>
  <c r="E1179" i="1"/>
  <c r="AC1178" i="1"/>
  <c r="G1178" i="1"/>
  <c r="E1178" i="1"/>
  <c r="Z1177" i="1"/>
  <c r="K1177" i="1"/>
  <c r="G1177" i="1"/>
  <c r="E1177" i="1"/>
  <c r="AB1176" i="1"/>
  <c r="K1176" i="1"/>
  <c r="G1176" i="1"/>
  <c r="E1176" i="1"/>
  <c r="X1175" i="1"/>
  <c r="K1175" i="1"/>
  <c r="G1175" i="1"/>
  <c r="E1175" i="1"/>
  <c r="AI1174" i="1"/>
  <c r="Z1174" i="1"/>
  <c r="K1174" i="1"/>
  <c r="G1174" i="1"/>
  <c r="E1174" i="1"/>
  <c r="K1173" i="1"/>
  <c r="G1173" i="1"/>
  <c r="E1173" i="1"/>
  <c r="Z1172" i="1"/>
  <c r="G1172" i="1"/>
  <c r="E1172" i="1"/>
  <c r="AC1171" i="1"/>
  <c r="X1171" i="1"/>
  <c r="G1171" i="1"/>
  <c r="E1171" i="1"/>
  <c r="AI1170" i="1"/>
  <c r="Z1170" i="1"/>
  <c r="G1170" i="1"/>
  <c r="E1170" i="1"/>
  <c r="AI1169" i="1"/>
  <c r="Z1169" i="1"/>
  <c r="G1169" i="1"/>
  <c r="E1169" i="1"/>
  <c r="P1168" i="1"/>
  <c r="K1168" i="1"/>
  <c r="G1168" i="1"/>
  <c r="E1168" i="1"/>
  <c r="AC1167" i="1"/>
  <c r="X1167" i="1"/>
  <c r="G1167" i="1"/>
  <c r="E1167" i="1"/>
  <c r="Z1166" i="1"/>
  <c r="K1166" i="1"/>
  <c r="G1166" i="1"/>
  <c r="E1166" i="1"/>
  <c r="AI1165" i="1"/>
  <c r="Z1165" i="1"/>
  <c r="G1165" i="1"/>
  <c r="E1165" i="1"/>
  <c r="K1164" i="1"/>
  <c r="G1164" i="1"/>
  <c r="E1164" i="1"/>
  <c r="K1163" i="1"/>
  <c r="G1163" i="1"/>
  <c r="E1163" i="1"/>
  <c r="Z1162" i="1"/>
  <c r="G1162" i="1"/>
  <c r="E1162" i="1"/>
  <c r="Z1161" i="1"/>
  <c r="U1161" i="1"/>
  <c r="G1161" i="1"/>
  <c r="E1161" i="1"/>
  <c r="K1160" i="1"/>
  <c r="G1160" i="1"/>
  <c r="E1160" i="1"/>
  <c r="AC1159" i="1"/>
  <c r="G1159" i="1"/>
  <c r="E1159" i="1"/>
  <c r="Z1158" i="1"/>
  <c r="K1158" i="1"/>
  <c r="G1158" i="1"/>
  <c r="E1158" i="1"/>
  <c r="P1157" i="1"/>
  <c r="K1157" i="1"/>
  <c r="G1157" i="1"/>
  <c r="E1157" i="1"/>
  <c r="AC1156" i="1"/>
  <c r="X1156" i="1"/>
  <c r="G1156" i="1"/>
  <c r="E1156" i="1"/>
  <c r="X1155" i="1"/>
  <c r="G1155" i="1"/>
  <c r="E1155" i="1"/>
  <c r="Z1154" i="1"/>
  <c r="K1154" i="1"/>
  <c r="G1154" i="1"/>
  <c r="E1154" i="1"/>
  <c r="AI1153" i="1"/>
  <c r="Z1153" i="1"/>
  <c r="K1153" i="1"/>
  <c r="G1153" i="1"/>
  <c r="E1153" i="1"/>
  <c r="AC1152" i="1"/>
  <c r="X1152" i="1"/>
  <c r="G1152" i="1"/>
  <c r="E1152" i="1"/>
  <c r="Z1151" i="1"/>
  <c r="K1151" i="1"/>
  <c r="G1151" i="1"/>
  <c r="E1151" i="1"/>
  <c r="AC1150" i="1"/>
  <c r="X1150" i="1"/>
  <c r="G1150" i="1"/>
  <c r="E1150" i="1"/>
  <c r="X1149" i="1"/>
  <c r="K1149" i="1"/>
  <c r="G1149" i="1"/>
  <c r="E1149" i="1"/>
  <c r="K1148" i="1"/>
  <c r="G1148" i="1"/>
  <c r="E1148" i="1"/>
  <c r="Z1147" i="1"/>
  <c r="K1147" i="1"/>
  <c r="G1147" i="1"/>
  <c r="E1147" i="1"/>
  <c r="AC1146" i="1"/>
  <c r="X1146" i="1"/>
  <c r="G1146" i="1"/>
  <c r="E1146" i="1"/>
  <c r="Z1145" i="1"/>
  <c r="G1145" i="1"/>
  <c r="E1145" i="1"/>
  <c r="Z1144" i="1"/>
  <c r="K1144" i="1"/>
  <c r="G1144" i="1"/>
  <c r="E1144" i="1"/>
  <c r="Z1143" i="1"/>
  <c r="K1143" i="1"/>
  <c r="G1143" i="1"/>
  <c r="E1143" i="1"/>
  <c r="AI1142" i="1"/>
  <c r="Z1142" i="1"/>
  <c r="K1142" i="1"/>
  <c r="G1142" i="1"/>
  <c r="E1142" i="1"/>
  <c r="Z1141" i="1"/>
  <c r="K1141" i="1"/>
  <c r="G1141" i="1"/>
  <c r="E1141" i="1"/>
  <c r="P1140" i="1"/>
  <c r="G1140" i="1"/>
  <c r="E1140" i="1"/>
  <c r="AI1139" i="1"/>
  <c r="Z1139" i="1"/>
  <c r="G1139" i="1"/>
  <c r="E1139" i="1"/>
  <c r="K1138" i="1"/>
  <c r="G1138" i="1"/>
  <c r="E1138" i="1"/>
  <c r="Z1137" i="1"/>
  <c r="K1137" i="1"/>
  <c r="G1137" i="1"/>
  <c r="E1137" i="1"/>
  <c r="X1136" i="1"/>
  <c r="K1136" i="1"/>
  <c r="G1136" i="1"/>
  <c r="E1136" i="1"/>
  <c r="K1135" i="1"/>
  <c r="G1135" i="1"/>
  <c r="E1135" i="1"/>
  <c r="AA1134" i="1"/>
  <c r="K1134" i="1"/>
  <c r="G1134" i="1"/>
  <c r="E1134" i="1"/>
  <c r="K1133" i="1"/>
  <c r="G1133" i="1"/>
  <c r="E1133" i="1"/>
  <c r="P1132" i="1"/>
  <c r="G1132" i="1"/>
  <c r="E1132" i="1"/>
  <c r="Z1131" i="1"/>
  <c r="G1131" i="1"/>
  <c r="E1131" i="1"/>
  <c r="X1130" i="1"/>
  <c r="G1130" i="1"/>
  <c r="E1130" i="1"/>
  <c r="Z1129" i="1"/>
  <c r="G1129" i="1"/>
  <c r="E1129" i="1"/>
  <c r="AC1128" i="1"/>
  <c r="X1128" i="1"/>
  <c r="G1128" i="1"/>
  <c r="E1128" i="1"/>
  <c r="Z1127" i="1"/>
  <c r="U1127" i="1"/>
  <c r="K1127" i="1"/>
  <c r="G1127" i="1"/>
  <c r="E1127" i="1"/>
  <c r="K1126" i="1"/>
  <c r="G1126" i="1"/>
  <c r="E1126" i="1"/>
  <c r="AI1125" i="1"/>
  <c r="Z1125" i="1"/>
  <c r="K1125" i="1"/>
  <c r="G1125" i="1"/>
  <c r="E1125" i="1"/>
  <c r="K1124" i="1"/>
  <c r="G1124" i="1"/>
  <c r="E1124" i="1"/>
  <c r="Z1123" i="1"/>
  <c r="G1123" i="1"/>
  <c r="E1123" i="1"/>
  <c r="Z1122" i="1"/>
  <c r="G1122" i="1"/>
  <c r="E1122" i="1"/>
  <c r="Q1121" i="1"/>
  <c r="G1121" i="1"/>
  <c r="E1121" i="1"/>
  <c r="K1120" i="1"/>
  <c r="G1120" i="1"/>
  <c r="E1120" i="1"/>
  <c r="X1119" i="1"/>
  <c r="G1119" i="1"/>
  <c r="E1119" i="1"/>
  <c r="R1118" i="1"/>
  <c r="P1118" i="1"/>
  <c r="K1118" i="1"/>
  <c r="G1118" i="1"/>
  <c r="E1118" i="1"/>
  <c r="Z1117" i="1"/>
  <c r="G1117" i="1"/>
  <c r="E1117" i="1"/>
  <c r="R1116" i="1"/>
  <c r="P1116" i="1"/>
  <c r="G1116" i="1"/>
  <c r="E1116" i="1"/>
  <c r="Z1115" i="1"/>
  <c r="K1115" i="1"/>
  <c r="G1115" i="1"/>
  <c r="E1115" i="1"/>
  <c r="K1114" i="1"/>
  <c r="G1114" i="1"/>
  <c r="E1114" i="1"/>
  <c r="X1113" i="1"/>
  <c r="K1113" i="1"/>
  <c r="G1113" i="1"/>
  <c r="E1113" i="1"/>
  <c r="K1112" i="1"/>
  <c r="G1112" i="1"/>
  <c r="E1112" i="1"/>
  <c r="X1111" i="1"/>
  <c r="G1111" i="1"/>
  <c r="E1111" i="1"/>
  <c r="Z1110" i="1"/>
  <c r="K1110" i="1"/>
  <c r="G1110" i="1"/>
  <c r="E1110" i="1"/>
  <c r="AI1109" i="1"/>
  <c r="Z1109" i="1"/>
  <c r="G1109" i="1"/>
  <c r="E1109" i="1"/>
  <c r="AI1108" i="1"/>
  <c r="Z1108" i="1"/>
  <c r="G1108" i="1"/>
  <c r="E1108" i="1"/>
  <c r="Z1107" i="1"/>
  <c r="G1107" i="1"/>
  <c r="E1107" i="1"/>
  <c r="AI1106" i="1"/>
  <c r="Z1106" i="1"/>
  <c r="G1106" i="1"/>
  <c r="E1106" i="1"/>
  <c r="Z1105" i="1"/>
  <c r="G1105" i="1"/>
  <c r="E1105" i="1"/>
  <c r="K1104" i="1"/>
  <c r="G1104" i="1"/>
  <c r="E1104" i="1"/>
  <c r="AI1103" i="1"/>
  <c r="AG1103" i="1"/>
  <c r="Z1103" i="1"/>
  <c r="G1103" i="1"/>
  <c r="E1103" i="1"/>
  <c r="K1102" i="1"/>
  <c r="G1102" i="1"/>
  <c r="E1102" i="1"/>
  <c r="AC1101" i="1"/>
  <c r="K1101" i="1"/>
  <c r="G1101" i="1"/>
  <c r="E1101" i="1"/>
  <c r="R1100" i="1"/>
  <c r="P1100" i="1"/>
  <c r="G1100" i="1"/>
  <c r="E1100" i="1"/>
  <c r="AI1099" i="1"/>
  <c r="G1099" i="1"/>
  <c r="E1099" i="1"/>
  <c r="P1098" i="1"/>
  <c r="G1098" i="1"/>
  <c r="E1098" i="1"/>
  <c r="Z1097" i="1"/>
  <c r="K1097" i="1"/>
  <c r="G1097" i="1"/>
  <c r="E1097" i="1"/>
  <c r="K1096" i="1"/>
  <c r="G1096" i="1"/>
  <c r="E1096" i="1"/>
  <c r="AI1095" i="1"/>
  <c r="Z1095" i="1"/>
  <c r="K1095" i="1"/>
  <c r="G1095" i="1"/>
  <c r="E1095" i="1"/>
  <c r="AC1094" i="1"/>
  <c r="K1094" i="1"/>
  <c r="G1094" i="1"/>
  <c r="E1094" i="1"/>
  <c r="X1093" i="1"/>
  <c r="G1093" i="1"/>
  <c r="E1093" i="1"/>
  <c r="Z1092" i="1"/>
  <c r="U1092" i="1"/>
  <c r="G1092" i="1"/>
  <c r="E1092" i="1"/>
  <c r="AC1091" i="1"/>
  <c r="G1091" i="1"/>
  <c r="E1091" i="1"/>
  <c r="AC1090" i="1"/>
  <c r="X1090" i="1"/>
  <c r="K1090" i="1"/>
  <c r="G1090" i="1"/>
  <c r="E1090" i="1"/>
  <c r="V1089" i="1"/>
  <c r="G1089" i="1"/>
  <c r="E1089" i="1"/>
  <c r="K1088" i="1"/>
  <c r="G1088" i="1"/>
  <c r="E1088" i="1"/>
  <c r="AI1087" i="1"/>
  <c r="Z1087" i="1"/>
  <c r="K1087" i="1"/>
  <c r="G1087" i="1"/>
  <c r="E1087" i="1"/>
  <c r="K1086" i="1"/>
  <c r="G1086" i="1"/>
  <c r="E1086" i="1"/>
  <c r="AB1085" i="1"/>
  <c r="K1085" i="1"/>
  <c r="G1085" i="1"/>
  <c r="E1085" i="1"/>
  <c r="Z1084" i="1"/>
  <c r="K1084" i="1"/>
  <c r="G1084" i="1"/>
  <c r="E1084" i="1"/>
  <c r="Z1083" i="1"/>
  <c r="K1083" i="1"/>
  <c r="G1083" i="1"/>
  <c r="E1083" i="1"/>
  <c r="AA1082" i="1"/>
  <c r="G1082" i="1"/>
  <c r="E1082" i="1"/>
  <c r="AI1081" i="1"/>
  <c r="Z1081" i="1"/>
  <c r="K1081" i="1"/>
  <c r="G1081" i="1"/>
  <c r="E1081" i="1"/>
  <c r="Z1080" i="1"/>
  <c r="G1080" i="1"/>
  <c r="E1080" i="1"/>
  <c r="AC1079" i="1"/>
  <c r="X1079" i="1"/>
  <c r="G1079" i="1"/>
  <c r="E1079" i="1"/>
  <c r="W1078" i="1"/>
  <c r="K1078" i="1"/>
  <c r="G1078" i="1"/>
  <c r="E1078" i="1"/>
  <c r="AI1077" i="1"/>
  <c r="Z1077" i="1"/>
  <c r="K1077" i="1"/>
  <c r="G1077" i="1"/>
  <c r="E1077" i="1"/>
  <c r="AA1076" i="1"/>
  <c r="K1076" i="1"/>
  <c r="G1076" i="1"/>
  <c r="E1076" i="1"/>
  <c r="Z1075" i="1"/>
  <c r="G1075" i="1"/>
  <c r="E1075" i="1"/>
  <c r="AC1074" i="1"/>
  <c r="X1074" i="1"/>
  <c r="K1074" i="1"/>
  <c r="G1074" i="1"/>
  <c r="E1074" i="1"/>
  <c r="K1073" i="1"/>
  <c r="G1073" i="1"/>
  <c r="E1073" i="1"/>
  <c r="Z1072" i="1"/>
  <c r="U1072" i="1"/>
  <c r="K1072" i="1"/>
  <c r="G1072" i="1"/>
  <c r="E1072" i="1"/>
  <c r="AC1071" i="1"/>
  <c r="X1071" i="1"/>
  <c r="K1071" i="1"/>
  <c r="G1071" i="1"/>
  <c r="E1071" i="1"/>
  <c r="R1070" i="1"/>
  <c r="G1070" i="1"/>
  <c r="E1070" i="1"/>
  <c r="Z1069" i="1"/>
  <c r="K1069" i="1"/>
  <c r="G1069" i="1"/>
  <c r="E1069" i="1"/>
  <c r="K1068" i="1"/>
  <c r="G1068" i="1"/>
  <c r="E1068" i="1"/>
  <c r="Z1067" i="1"/>
  <c r="K1067" i="1"/>
  <c r="G1067" i="1"/>
  <c r="E1067" i="1"/>
  <c r="AI1066" i="1"/>
  <c r="T1066" i="1"/>
  <c r="P1066" i="1"/>
  <c r="G1066" i="1"/>
  <c r="E1066" i="1"/>
  <c r="K1065" i="1"/>
  <c r="G1065" i="1"/>
  <c r="E1065" i="1"/>
  <c r="AC1064" i="1"/>
  <c r="X1064" i="1"/>
  <c r="G1064" i="1"/>
  <c r="E1064" i="1"/>
  <c r="P1063" i="1"/>
  <c r="K1063" i="1"/>
  <c r="G1063" i="1"/>
  <c r="E1063" i="1"/>
  <c r="X1062" i="1"/>
  <c r="K1062" i="1"/>
  <c r="G1062" i="1"/>
  <c r="E1062" i="1"/>
  <c r="X1061" i="1"/>
  <c r="K1061" i="1"/>
  <c r="G1061" i="1"/>
  <c r="E1061" i="1"/>
  <c r="P1060" i="1"/>
  <c r="K1060" i="1"/>
  <c r="G1060" i="1"/>
  <c r="E1060" i="1"/>
  <c r="Z1059" i="1"/>
  <c r="K1059" i="1"/>
  <c r="G1059" i="1"/>
  <c r="E1059" i="1"/>
  <c r="AH1058" i="1"/>
  <c r="G1058" i="1"/>
  <c r="E1058" i="1"/>
  <c r="AC1057" i="1"/>
  <c r="K1057" i="1"/>
  <c r="G1057" i="1"/>
  <c r="E1057" i="1"/>
  <c r="AC1056" i="1"/>
  <c r="X1056" i="1"/>
  <c r="K1056" i="1"/>
  <c r="G1056" i="1"/>
  <c r="E1056" i="1"/>
  <c r="Z1055" i="1"/>
  <c r="G1055" i="1"/>
  <c r="E1055" i="1"/>
  <c r="AC1054" i="1"/>
  <c r="G1054" i="1"/>
  <c r="E1054" i="1"/>
  <c r="X1053" i="1"/>
  <c r="K1053" i="1"/>
  <c r="G1053" i="1"/>
  <c r="E1053" i="1"/>
  <c r="P1052" i="1"/>
  <c r="G1052" i="1"/>
  <c r="E1052" i="1"/>
  <c r="X1051" i="1"/>
  <c r="K1051" i="1"/>
  <c r="G1051" i="1"/>
  <c r="E1051" i="1"/>
  <c r="AC1050" i="1"/>
  <c r="X1050" i="1"/>
  <c r="K1050" i="1"/>
  <c r="G1050" i="1"/>
  <c r="E1050" i="1"/>
  <c r="K1049" i="1"/>
  <c r="G1049" i="1"/>
  <c r="E1049" i="1"/>
  <c r="X1048" i="1"/>
  <c r="K1048" i="1"/>
  <c r="G1048" i="1"/>
  <c r="E1048" i="1"/>
  <c r="AC1047" i="1"/>
  <c r="X1047" i="1"/>
  <c r="K1047" i="1"/>
  <c r="G1047" i="1"/>
  <c r="E1047" i="1"/>
  <c r="AC1046" i="1"/>
  <c r="X1046" i="1"/>
  <c r="K1046" i="1"/>
  <c r="G1046" i="1"/>
  <c r="E1046" i="1"/>
  <c r="R1045" i="1"/>
  <c r="P1045" i="1"/>
  <c r="G1045" i="1"/>
  <c r="E1045" i="1"/>
  <c r="K1044" i="1"/>
  <c r="G1044" i="1"/>
  <c r="E1044" i="1"/>
  <c r="K1043" i="1"/>
  <c r="G1043" i="1"/>
  <c r="E1043" i="1"/>
  <c r="AA1042" i="1"/>
  <c r="K1042" i="1"/>
  <c r="G1042" i="1"/>
  <c r="E1042" i="1"/>
  <c r="AI1041" i="1"/>
  <c r="Z1041" i="1"/>
  <c r="G1041" i="1"/>
  <c r="E1041" i="1"/>
  <c r="K1040" i="1"/>
  <c r="G1040" i="1"/>
  <c r="E1040" i="1"/>
  <c r="Z1039" i="1"/>
  <c r="K1039" i="1"/>
  <c r="G1039" i="1"/>
  <c r="E1039" i="1"/>
  <c r="Z1038" i="1"/>
  <c r="G1038" i="1"/>
  <c r="E1038" i="1"/>
  <c r="AC1037" i="1"/>
  <c r="K1037" i="1"/>
  <c r="G1037" i="1"/>
  <c r="E1037" i="1"/>
  <c r="AC1036" i="1"/>
  <c r="G1036" i="1"/>
  <c r="E1036" i="1"/>
  <c r="K1035" i="1"/>
  <c r="G1035" i="1"/>
  <c r="E1035" i="1"/>
  <c r="AI1034" i="1"/>
  <c r="Z1034" i="1"/>
  <c r="U1034" i="1"/>
  <c r="G1034" i="1"/>
  <c r="E1034" i="1"/>
  <c r="AH1033" i="1"/>
  <c r="AC1033" i="1"/>
  <c r="K1033" i="1"/>
  <c r="G1033" i="1"/>
  <c r="E1033" i="1"/>
  <c r="Z1032" i="1"/>
  <c r="K1032" i="1"/>
  <c r="G1032" i="1"/>
  <c r="E1032" i="1"/>
  <c r="K1031" i="1"/>
  <c r="G1031" i="1"/>
  <c r="E1031" i="1"/>
  <c r="X1030" i="1"/>
  <c r="K1030" i="1"/>
  <c r="G1030" i="1"/>
  <c r="E1030" i="1"/>
  <c r="K1029" i="1"/>
  <c r="G1029" i="1"/>
  <c r="E1029" i="1"/>
  <c r="AC1028" i="1"/>
  <c r="K1028" i="1"/>
  <c r="G1028" i="1"/>
  <c r="E1028" i="1"/>
  <c r="AB1027" i="1"/>
  <c r="K1027" i="1"/>
  <c r="G1027" i="1"/>
  <c r="E1027" i="1"/>
  <c r="Z1026" i="1"/>
  <c r="K1026" i="1"/>
  <c r="G1026" i="1"/>
  <c r="E1026" i="1"/>
  <c r="Z1025" i="1"/>
  <c r="G1025" i="1"/>
  <c r="E1025" i="1"/>
  <c r="AG1024" i="1"/>
  <c r="K1024" i="1"/>
  <c r="G1024" i="1"/>
  <c r="E1024" i="1"/>
  <c r="P1023" i="1"/>
  <c r="K1023" i="1"/>
  <c r="G1023" i="1"/>
  <c r="E1023" i="1"/>
  <c r="K1022" i="1"/>
  <c r="G1022" i="1"/>
  <c r="E1022" i="1"/>
  <c r="AI1021" i="1"/>
  <c r="Z1021" i="1"/>
  <c r="K1021" i="1"/>
  <c r="G1021" i="1"/>
  <c r="E1021" i="1"/>
  <c r="AH1020" i="1"/>
  <c r="K1020" i="1"/>
  <c r="G1020" i="1"/>
  <c r="E1020" i="1"/>
  <c r="AC1019" i="1"/>
  <c r="X1019" i="1"/>
  <c r="K1019" i="1"/>
  <c r="G1019" i="1"/>
  <c r="E1019" i="1"/>
  <c r="AI1018" i="1"/>
  <c r="AG1018" i="1"/>
  <c r="Z1018" i="1"/>
  <c r="K1018" i="1"/>
  <c r="G1018" i="1"/>
  <c r="E1018" i="1"/>
  <c r="K1017" i="1"/>
  <c r="G1017" i="1"/>
  <c r="E1017" i="1"/>
  <c r="AI1016" i="1"/>
  <c r="Z1016" i="1"/>
  <c r="K1016" i="1"/>
  <c r="G1016" i="1"/>
  <c r="E1016" i="1"/>
  <c r="AI1015" i="1"/>
  <c r="Z1015" i="1"/>
  <c r="K1015" i="1"/>
  <c r="G1015" i="1"/>
  <c r="E1015" i="1"/>
  <c r="AI1014" i="1"/>
  <c r="Z1014" i="1"/>
  <c r="K1014" i="1"/>
  <c r="G1014" i="1"/>
  <c r="E1014" i="1"/>
  <c r="K1013" i="1"/>
  <c r="G1013" i="1"/>
  <c r="E1013" i="1"/>
  <c r="Z1012" i="1"/>
  <c r="G1012" i="1"/>
  <c r="E1012" i="1"/>
  <c r="X1011" i="1"/>
  <c r="G1011" i="1"/>
  <c r="E1011" i="1"/>
  <c r="R1010" i="1"/>
  <c r="P1010" i="1"/>
  <c r="G1010" i="1"/>
  <c r="E1010" i="1"/>
  <c r="AA1009" i="1"/>
  <c r="Z1009" i="1"/>
  <c r="G1009" i="1"/>
  <c r="E1009" i="1"/>
  <c r="Z1008" i="1"/>
  <c r="G1008" i="1"/>
  <c r="E1008" i="1"/>
  <c r="Z1007" i="1"/>
  <c r="K1007" i="1"/>
  <c r="G1007" i="1"/>
  <c r="E1007" i="1"/>
  <c r="AI1006" i="1"/>
  <c r="Z1006" i="1"/>
  <c r="K1006" i="1"/>
  <c r="G1006" i="1"/>
  <c r="E1006" i="1"/>
  <c r="AI1005" i="1"/>
  <c r="Z1005" i="1"/>
  <c r="K1005" i="1"/>
  <c r="G1005" i="1"/>
  <c r="E1005" i="1"/>
  <c r="K1004" i="1"/>
  <c r="G1004" i="1"/>
  <c r="E1004" i="1"/>
  <c r="K1003" i="1"/>
  <c r="G1003" i="1"/>
  <c r="E1003" i="1"/>
  <c r="Z1002" i="1"/>
  <c r="K1002" i="1"/>
  <c r="G1002" i="1"/>
  <c r="E1002" i="1"/>
  <c r="AC1001" i="1"/>
  <c r="G1001" i="1"/>
  <c r="E1001" i="1"/>
  <c r="K1000" i="1"/>
  <c r="G1000" i="1"/>
  <c r="E1000" i="1"/>
  <c r="AC999" i="1"/>
  <c r="K999" i="1"/>
  <c r="G999" i="1"/>
  <c r="E999" i="1"/>
  <c r="Z998" i="1"/>
  <c r="K998" i="1"/>
  <c r="G998" i="1"/>
  <c r="E998" i="1"/>
  <c r="AC997" i="1"/>
  <c r="K997" i="1"/>
  <c r="G997" i="1"/>
  <c r="E997" i="1"/>
  <c r="K996" i="1"/>
  <c r="G996" i="1"/>
  <c r="E996" i="1"/>
  <c r="AH995" i="1"/>
  <c r="AC995" i="1"/>
  <c r="X995" i="1"/>
  <c r="K995" i="1"/>
  <c r="G995" i="1"/>
  <c r="E995" i="1"/>
  <c r="K994" i="1"/>
  <c r="E994" i="1"/>
  <c r="Z993" i="1"/>
  <c r="K993" i="1"/>
  <c r="G993" i="1"/>
  <c r="E993" i="1"/>
  <c r="Z992" i="1"/>
  <c r="G992" i="1"/>
  <c r="E992" i="1"/>
  <c r="AC991" i="1"/>
  <c r="K991" i="1"/>
  <c r="G991" i="1"/>
  <c r="E991" i="1"/>
  <c r="K990" i="1"/>
  <c r="G990" i="1"/>
  <c r="E990" i="1"/>
  <c r="AG989" i="1"/>
  <c r="K989" i="1"/>
  <c r="G989" i="1"/>
  <c r="E989" i="1"/>
  <c r="Z988" i="1"/>
  <c r="K988" i="1"/>
  <c r="G988" i="1"/>
  <c r="E988" i="1"/>
  <c r="Z987" i="1"/>
  <c r="K987" i="1"/>
  <c r="G987" i="1"/>
  <c r="E987" i="1"/>
  <c r="AC986" i="1"/>
  <c r="K986" i="1"/>
  <c r="G986" i="1"/>
  <c r="E986" i="1"/>
  <c r="AB985" i="1"/>
  <c r="G985" i="1"/>
  <c r="E985" i="1"/>
  <c r="AB984" i="1"/>
  <c r="K984" i="1"/>
  <c r="G984" i="1"/>
  <c r="E984" i="1"/>
  <c r="K983" i="1"/>
  <c r="G983" i="1"/>
  <c r="E983" i="1"/>
  <c r="Z982" i="1"/>
  <c r="U982" i="1"/>
  <c r="G982" i="1"/>
  <c r="E982" i="1"/>
  <c r="X981" i="1"/>
  <c r="K981" i="1"/>
  <c r="G981" i="1"/>
  <c r="E981" i="1"/>
  <c r="Z980" i="1"/>
  <c r="K980" i="1"/>
  <c r="G980" i="1"/>
  <c r="E980" i="1"/>
  <c r="K979" i="1"/>
  <c r="G979" i="1"/>
  <c r="E979" i="1"/>
  <c r="K978" i="1"/>
  <c r="G978" i="1"/>
  <c r="E978" i="1"/>
  <c r="AG977" i="1"/>
  <c r="K977" i="1"/>
  <c r="G977" i="1"/>
  <c r="E977" i="1"/>
  <c r="AH976" i="1"/>
  <c r="AC976" i="1"/>
  <c r="X976" i="1"/>
  <c r="G976" i="1"/>
  <c r="E976" i="1"/>
  <c r="K975" i="1"/>
  <c r="G975" i="1"/>
  <c r="E975" i="1"/>
  <c r="K974" i="1"/>
  <c r="G974" i="1"/>
  <c r="E974" i="1"/>
  <c r="R973" i="1"/>
  <c r="P973" i="1"/>
  <c r="G973" i="1"/>
  <c r="E973" i="1"/>
  <c r="K972" i="1"/>
  <c r="G972" i="1"/>
  <c r="E972" i="1"/>
  <c r="K971" i="1"/>
  <c r="G971" i="1"/>
  <c r="E971" i="1"/>
  <c r="S970" i="1"/>
  <c r="G970" i="1"/>
  <c r="E970" i="1"/>
  <c r="AH969" i="1"/>
  <c r="AG969" i="1"/>
  <c r="AA969" i="1"/>
  <c r="K969" i="1"/>
  <c r="G969" i="1"/>
  <c r="E969" i="1"/>
  <c r="AG968" i="1"/>
  <c r="W968" i="1"/>
  <c r="K968" i="1"/>
  <c r="G968" i="1"/>
  <c r="E968" i="1"/>
  <c r="AG967" i="1"/>
  <c r="AF967" i="1"/>
  <c r="AE967" i="1"/>
  <c r="AB967" i="1"/>
  <c r="K967" i="1"/>
  <c r="G967" i="1"/>
  <c r="E967" i="1"/>
  <c r="AB966" i="1"/>
  <c r="K966" i="1"/>
  <c r="G966" i="1"/>
  <c r="E966" i="1"/>
  <c r="Z965" i="1"/>
  <c r="G965" i="1"/>
  <c r="E965" i="1"/>
  <c r="R964" i="1"/>
  <c r="P964" i="1"/>
  <c r="K964" i="1"/>
  <c r="G964" i="1"/>
  <c r="E964" i="1"/>
  <c r="AB963" i="1"/>
  <c r="K963" i="1"/>
  <c r="G963" i="1"/>
  <c r="E963" i="1"/>
  <c r="AG962" i="1"/>
  <c r="G962" i="1"/>
  <c r="E962" i="1"/>
  <c r="AG961" i="1"/>
  <c r="K961" i="1"/>
  <c r="G961" i="1"/>
  <c r="E961" i="1"/>
  <c r="T960" i="1"/>
  <c r="S960" i="1"/>
  <c r="P960" i="1"/>
  <c r="K960" i="1"/>
  <c r="G960" i="1"/>
  <c r="E960" i="1"/>
  <c r="AC959" i="1"/>
  <c r="K959" i="1"/>
  <c r="G959" i="1"/>
  <c r="E959" i="1"/>
  <c r="Z958" i="1"/>
  <c r="K958" i="1"/>
  <c r="G958" i="1"/>
  <c r="E958" i="1"/>
  <c r="Y957" i="1"/>
  <c r="X957" i="1"/>
  <c r="K957" i="1"/>
  <c r="G957" i="1"/>
  <c r="E957" i="1"/>
  <c r="AF956" i="1"/>
  <c r="AE956" i="1"/>
  <c r="K956" i="1"/>
  <c r="G956" i="1"/>
  <c r="E956" i="1"/>
  <c r="AI955" i="1"/>
  <c r="Z955" i="1"/>
  <c r="K955" i="1"/>
  <c r="G955" i="1"/>
  <c r="E955" i="1"/>
  <c r="K954" i="1"/>
  <c r="G954" i="1"/>
  <c r="E954" i="1"/>
  <c r="AC953" i="1"/>
  <c r="X953" i="1"/>
  <c r="K953" i="1"/>
  <c r="G953" i="1"/>
  <c r="E953" i="1"/>
  <c r="AA952" i="1"/>
  <c r="G952" i="1"/>
  <c r="E952" i="1"/>
  <c r="AC951" i="1"/>
  <c r="K951" i="1"/>
  <c r="G951" i="1"/>
  <c r="E951" i="1"/>
  <c r="Z950" i="1"/>
  <c r="G950" i="1"/>
  <c r="E950" i="1"/>
  <c r="AI949" i="1"/>
  <c r="Z949" i="1"/>
  <c r="K949" i="1"/>
  <c r="G949" i="1"/>
  <c r="E949" i="1"/>
  <c r="AA948" i="1"/>
  <c r="K948" i="1"/>
  <c r="G948" i="1"/>
  <c r="E948" i="1"/>
  <c r="K947" i="1"/>
  <c r="G947" i="1"/>
  <c r="E947" i="1"/>
  <c r="T946" i="1"/>
  <c r="P946" i="1"/>
  <c r="G946" i="1"/>
  <c r="E946" i="1"/>
  <c r="R945" i="1"/>
  <c r="P945" i="1"/>
  <c r="K945" i="1"/>
  <c r="G945" i="1"/>
  <c r="E945" i="1"/>
  <c r="W944" i="1"/>
  <c r="K944" i="1"/>
  <c r="G944" i="1"/>
  <c r="E944" i="1"/>
  <c r="Z943" i="1"/>
  <c r="K943" i="1"/>
  <c r="G943" i="1"/>
  <c r="E943" i="1"/>
  <c r="K942" i="1"/>
  <c r="G942" i="1"/>
  <c r="E942" i="1"/>
  <c r="AI941" i="1"/>
  <c r="Z941" i="1"/>
  <c r="K941" i="1"/>
  <c r="G941" i="1"/>
  <c r="E941" i="1"/>
  <c r="K940" i="1"/>
  <c r="G940" i="1"/>
  <c r="E940" i="1"/>
  <c r="AH939" i="1"/>
  <c r="K939" i="1"/>
  <c r="G939" i="1"/>
  <c r="E939" i="1"/>
  <c r="Y938" i="1"/>
  <c r="X938" i="1"/>
  <c r="K938" i="1"/>
  <c r="G938" i="1"/>
  <c r="E938" i="1"/>
  <c r="Y937" i="1"/>
  <c r="X937" i="1"/>
  <c r="K937" i="1"/>
  <c r="G937" i="1"/>
  <c r="E937" i="1"/>
  <c r="AC936" i="1"/>
  <c r="X936" i="1"/>
  <c r="K936" i="1"/>
  <c r="G936" i="1"/>
  <c r="E936" i="1"/>
  <c r="AA935" i="1"/>
  <c r="G935" i="1"/>
  <c r="E935" i="1"/>
  <c r="P934" i="1"/>
  <c r="K934" i="1"/>
  <c r="G934" i="1"/>
  <c r="E934" i="1"/>
  <c r="AC933" i="1"/>
  <c r="X933" i="1"/>
  <c r="K933" i="1"/>
  <c r="G933" i="1"/>
  <c r="E933" i="1"/>
  <c r="AC932" i="1"/>
  <c r="X932" i="1"/>
  <c r="K932" i="1"/>
  <c r="G932" i="1"/>
  <c r="E932" i="1"/>
  <c r="AC931" i="1"/>
  <c r="X931" i="1"/>
  <c r="K931" i="1"/>
  <c r="G931" i="1"/>
  <c r="E931" i="1"/>
  <c r="AG930" i="1"/>
  <c r="K930" i="1"/>
  <c r="G930" i="1"/>
  <c r="E930" i="1"/>
  <c r="R929" i="1"/>
  <c r="P929" i="1"/>
  <c r="G929" i="1"/>
  <c r="E929" i="1"/>
  <c r="K928" i="1"/>
  <c r="G928" i="1"/>
  <c r="E928" i="1"/>
  <c r="R927" i="1"/>
  <c r="P927" i="1"/>
  <c r="G927" i="1"/>
  <c r="E927" i="1"/>
  <c r="AH926" i="1"/>
  <c r="G926" i="1"/>
  <c r="E926" i="1"/>
  <c r="AA925" i="1"/>
  <c r="K925" i="1"/>
  <c r="G925" i="1"/>
  <c r="E925" i="1"/>
  <c r="Z924" i="1"/>
  <c r="U924" i="1"/>
  <c r="G924" i="1"/>
  <c r="E924" i="1"/>
  <c r="K923" i="1"/>
  <c r="G923" i="1"/>
  <c r="E923" i="1"/>
  <c r="AB922" i="1"/>
  <c r="K922" i="1"/>
  <c r="G922" i="1"/>
  <c r="E922" i="1"/>
  <c r="Z921" i="1"/>
  <c r="K921" i="1"/>
  <c r="G921" i="1"/>
  <c r="E921" i="1"/>
  <c r="W920" i="1"/>
  <c r="K920" i="1"/>
  <c r="G920" i="1"/>
  <c r="E920" i="1"/>
  <c r="W919" i="1"/>
  <c r="K919" i="1"/>
  <c r="G919" i="1"/>
  <c r="E919" i="1"/>
  <c r="Y918" i="1"/>
  <c r="X918" i="1"/>
  <c r="K918" i="1"/>
  <c r="G918" i="1"/>
  <c r="E918" i="1"/>
  <c r="Z917" i="1"/>
  <c r="K917" i="1"/>
  <c r="G917" i="1"/>
  <c r="E917" i="1"/>
  <c r="Z916" i="1"/>
  <c r="U916" i="1"/>
  <c r="K916" i="1"/>
  <c r="G916" i="1"/>
  <c r="E916" i="1"/>
  <c r="AB915" i="1"/>
  <c r="W915" i="1"/>
  <c r="K915" i="1"/>
  <c r="G915" i="1"/>
  <c r="E915" i="1"/>
  <c r="K914" i="1"/>
  <c r="G914" i="1"/>
  <c r="E914" i="1"/>
  <c r="Z913" i="1"/>
  <c r="G913" i="1"/>
  <c r="E913" i="1"/>
  <c r="AC912" i="1"/>
  <c r="X912" i="1"/>
  <c r="K912" i="1"/>
  <c r="G912" i="1"/>
  <c r="E912" i="1"/>
  <c r="AD911" i="1"/>
  <c r="AC911" i="1"/>
  <c r="X911" i="1"/>
  <c r="G911" i="1"/>
  <c r="E911" i="1"/>
  <c r="AI910" i="1"/>
  <c r="Z910" i="1"/>
  <c r="G910" i="1"/>
  <c r="E910" i="1"/>
  <c r="Z909" i="1"/>
  <c r="K909" i="1"/>
  <c r="G909" i="1"/>
  <c r="E909" i="1"/>
  <c r="Z908" i="1"/>
  <c r="K908" i="1"/>
  <c r="G908" i="1"/>
  <c r="E908" i="1"/>
  <c r="AH907" i="1"/>
  <c r="G907" i="1"/>
  <c r="E907" i="1"/>
  <c r="K906" i="1"/>
  <c r="G906" i="1"/>
  <c r="E906" i="1"/>
  <c r="AB905" i="1"/>
  <c r="K905" i="1"/>
  <c r="G905" i="1"/>
  <c r="E905" i="1"/>
  <c r="AI904" i="1"/>
  <c r="Z904" i="1"/>
  <c r="Q904" i="1"/>
  <c r="K904" i="1"/>
  <c r="G904" i="1"/>
  <c r="E904" i="1"/>
  <c r="K903" i="1"/>
  <c r="G903" i="1"/>
  <c r="E903" i="1"/>
  <c r="Y902" i="1"/>
  <c r="X902" i="1"/>
  <c r="K902" i="1"/>
  <c r="G902" i="1"/>
  <c r="E902" i="1"/>
  <c r="AD901" i="1"/>
  <c r="AC901" i="1"/>
  <c r="X901" i="1"/>
  <c r="K901" i="1"/>
  <c r="G901" i="1"/>
  <c r="E901" i="1"/>
  <c r="AI900" i="1"/>
  <c r="Z900" i="1"/>
  <c r="G900" i="1"/>
  <c r="E900" i="1"/>
  <c r="AB899" i="1"/>
  <c r="K899" i="1"/>
  <c r="G899" i="1"/>
  <c r="E899" i="1"/>
  <c r="AD898" i="1"/>
  <c r="AC898" i="1"/>
  <c r="X898" i="1"/>
  <c r="K898" i="1"/>
  <c r="G898" i="1"/>
  <c r="E898" i="1"/>
  <c r="K897" i="1"/>
  <c r="G897" i="1"/>
  <c r="E897" i="1"/>
  <c r="AA896" i="1"/>
  <c r="G896" i="1"/>
  <c r="E896" i="1"/>
  <c r="AI895" i="1"/>
  <c r="AG895" i="1"/>
  <c r="Z895" i="1"/>
  <c r="G895" i="1"/>
  <c r="E895" i="1"/>
  <c r="AD894" i="1"/>
  <c r="AC894" i="1"/>
  <c r="X894" i="1"/>
  <c r="K894" i="1"/>
  <c r="G894" i="1"/>
  <c r="E894" i="1"/>
  <c r="R893" i="1"/>
  <c r="P893" i="1"/>
  <c r="K893" i="1"/>
  <c r="G893" i="1"/>
  <c r="E893" i="1"/>
  <c r="K892" i="1"/>
  <c r="G892" i="1"/>
  <c r="E892" i="1"/>
  <c r="AH891" i="1"/>
  <c r="G891" i="1"/>
  <c r="E891" i="1"/>
  <c r="K890" i="1"/>
  <c r="G890" i="1"/>
  <c r="E890" i="1"/>
  <c r="Z889" i="1"/>
  <c r="G889" i="1"/>
  <c r="E889" i="1"/>
  <c r="AB888" i="1"/>
  <c r="K888" i="1"/>
  <c r="G888" i="1"/>
  <c r="E888" i="1"/>
  <c r="K887" i="1"/>
  <c r="G887" i="1"/>
  <c r="E887" i="1"/>
  <c r="K886" i="1"/>
  <c r="G886" i="1"/>
  <c r="E886" i="1"/>
  <c r="R885" i="1"/>
  <c r="G885" i="1"/>
  <c r="E885" i="1"/>
  <c r="Z884" i="1"/>
  <c r="K884" i="1"/>
  <c r="G884" i="1"/>
  <c r="E884" i="1"/>
  <c r="K883" i="1"/>
  <c r="G883" i="1"/>
  <c r="E883" i="1"/>
  <c r="K882" i="1"/>
  <c r="G882" i="1"/>
  <c r="E882" i="1"/>
  <c r="K881" i="1"/>
  <c r="G881" i="1"/>
  <c r="E881" i="1"/>
  <c r="Y880" i="1"/>
  <c r="K880" i="1"/>
  <c r="G880" i="1"/>
  <c r="E880" i="1"/>
  <c r="Z879" i="1"/>
  <c r="K879" i="1"/>
  <c r="G879" i="1"/>
  <c r="E879" i="1"/>
  <c r="Z878" i="1"/>
  <c r="K878" i="1"/>
  <c r="G878" i="1"/>
  <c r="E878" i="1"/>
  <c r="AH877" i="1"/>
  <c r="AC877" i="1"/>
  <c r="X877" i="1"/>
  <c r="G877" i="1"/>
  <c r="E877" i="1"/>
  <c r="Z876" i="1"/>
  <c r="U876" i="1"/>
  <c r="K876" i="1"/>
  <c r="G876" i="1"/>
  <c r="E876" i="1"/>
  <c r="AH875" i="1"/>
  <c r="AD875" i="1"/>
  <c r="AC875" i="1"/>
  <c r="X875" i="1"/>
  <c r="K875" i="1"/>
  <c r="G875" i="1"/>
  <c r="E875" i="1"/>
  <c r="K874" i="1"/>
  <c r="G874" i="1"/>
  <c r="E874" i="1"/>
  <c r="V873" i="1"/>
  <c r="G873" i="1"/>
  <c r="E873" i="1"/>
  <c r="AD872" i="1"/>
  <c r="AC872" i="1"/>
  <c r="X872" i="1"/>
  <c r="K872" i="1"/>
  <c r="G872" i="1"/>
  <c r="E872" i="1"/>
  <c r="AG871" i="1"/>
  <c r="K871" i="1"/>
  <c r="G871" i="1"/>
  <c r="E871" i="1"/>
  <c r="K870" i="1"/>
  <c r="G870" i="1"/>
  <c r="E870" i="1"/>
  <c r="AH869" i="1"/>
  <c r="K869" i="1"/>
  <c r="G869" i="1"/>
  <c r="E869" i="1"/>
  <c r="R868" i="1"/>
  <c r="P868" i="1"/>
  <c r="K868" i="1"/>
  <c r="G868" i="1"/>
  <c r="E868" i="1"/>
  <c r="AI867" i="1"/>
  <c r="AG867" i="1"/>
  <c r="Z867" i="1"/>
  <c r="U867" i="1"/>
  <c r="K867" i="1"/>
  <c r="G867" i="1"/>
  <c r="E867" i="1"/>
  <c r="K866" i="1"/>
  <c r="G866" i="1"/>
  <c r="E866" i="1"/>
  <c r="AA865" i="1"/>
  <c r="G865" i="1"/>
  <c r="E865" i="1"/>
  <c r="AB864" i="1"/>
  <c r="W864" i="1"/>
  <c r="K864" i="1"/>
  <c r="G864" i="1"/>
  <c r="E864" i="1"/>
  <c r="Z863" i="1"/>
  <c r="U863" i="1"/>
  <c r="K863" i="1"/>
  <c r="G863" i="1"/>
  <c r="E863" i="1"/>
  <c r="Z862" i="1"/>
  <c r="U862" i="1"/>
  <c r="K862" i="1"/>
  <c r="G862" i="1"/>
  <c r="E862" i="1"/>
  <c r="K861" i="1"/>
  <c r="G861" i="1"/>
  <c r="E861" i="1"/>
  <c r="AB860" i="1"/>
  <c r="W860" i="1"/>
  <c r="K860" i="1"/>
  <c r="G860" i="1"/>
  <c r="E860" i="1"/>
  <c r="AA859" i="1"/>
  <c r="G859" i="1"/>
  <c r="E859" i="1"/>
  <c r="AB858" i="1"/>
  <c r="K858" i="1"/>
  <c r="G858" i="1"/>
  <c r="E858" i="1"/>
  <c r="AI857" i="1"/>
  <c r="Z857" i="1"/>
  <c r="U857" i="1"/>
  <c r="K857" i="1"/>
  <c r="G857" i="1"/>
  <c r="E857" i="1"/>
  <c r="AC856" i="1"/>
  <c r="X856" i="1"/>
  <c r="K856" i="1"/>
  <c r="G856" i="1"/>
  <c r="E856" i="1"/>
  <c r="AH855" i="1"/>
  <c r="AF855" i="1"/>
  <c r="AE855" i="1"/>
  <c r="AD855" i="1"/>
  <c r="AC855" i="1"/>
  <c r="X855" i="1"/>
  <c r="K855" i="1"/>
  <c r="G855" i="1"/>
  <c r="E855" i="1"/>
  <c r="U854" i="1"/>
  <c r="K854" i="1"/>
  <c r="G854" i="1"/>
  <c r="E854" i="1"/>
  <c r="AE853" i="1"/>
  <c r="V853" i="1"/>
  <c r="G853" i="1"/>
  <c r="E853" i="1"/>
  <c r="K852" i="1"/>
  <c r="G852" i="1"/>
  <c r="E852" i="1"/>
  <c r="R851" i="1"/>
  <c r="K851" i="1"/>
  <c r="G851" i="1"/>
  <c r="E851" i="1"/>
  <c r="K850" i="1"/>
  <c r="G850" i="1"/>
  <c r="E850" i="1"/>
  <c r="K849" i="1"/>
  <c r="G849" i="1"/>
  <c r="E849" i="1"/>
  <c r="Z848" i="1"/>
  <c r="U848" i="1"/>
  <c r="K848" i="1"/>
  <c r="G848" i="1"/>
  <c r="E848" i="1"/>
  <c r="AD847" i="1"/>
  <c r="AC847" i="1"/>
  <c r="Y847" i="1"/>
  <c r="X847" i="1"/>
  <c r="K847" i="1"/>
  <c r="G847" i="1"/>
  <c r="E847" i="1"/>
  <c r="AC846" i="1"/>
  <c r="Y846" i="1"/>
  <c r="X846" i="1"/>
  <c r="K846" i="1"/>
  <c r="G846" i="1"/>
  <c r="E846" i="1"/>
  <c r="AD845" i="1"/>
  <c r="AC845" i="1"/>
  <c r="X845" i="1"/>
  <c r="K845" i="1"/>
  <c r="G845" i="1"/>
  <c r="E845" i="1"/>
  <c r="AH844" i="1"/>
  <c r="Y844" i="1"/>
  <c r="X844" i="1"/>
  <c r="K844" i="1"/>
  <c r="G844" i="1"/>
  <c r="E844" i="1"/>
  <c r="Z843" i="1"/>
  <c r="K843" i="1"/>
  <c r="G843" i="1"/>
  <c r="E843" i="1"/>
  <c r="AB842" i="1"/>
  <c r="W842" i="1"/>
  <c r="K842" i="1"/>
  <c r="G842" i="1"/>
  <c r="E842" i="1"/>
  <c r="V841" i="1"/>
  <c r="G841" i="1"/>
  <c r="E841" i="1"/>
  <c r="K840" i="1"/>
  <c r="G840" i="1"/>
  <c r="E840" i="1"/>
  <c r="Z839" i="1"/>
  <c r="G839" i="1"/>
  <c r="E839" i="1"/>
  <c r="K838" i="1"/>
  <c r="G838" i="1"/>
  <c r="E838" i="1"/>
  <c r="AB837" i="1"/>
  <c r="K837" i="1"/>
  <c r="G837" i="1"/>
  <c r="E837" i="1"/>
  <c r="Z836" i="1"/>
  <c r="U836" i="1"/>
  <c r="K836" i="1"/>
  <c r="G836" i="1"/>
  <c r="E836" i="1"/>
  <c r="K835" i="1"/>
  <c r="G835" i="1"/>
  <c r="E835" i="1"/>
  <c r="Y834" i="1"/>
  <c r="X834" i="1"/>
  <c r="K834" i="1"/>
  <c r="G834" i="1"/>
  <c r="E834" i="1"/>
  <c r="K833" i="1"/>
  <c r="G833" i="1"/>
  <c r="E833" i="1"/>
  <c r="K832" i="1"/>
  <c r="G832" i="1"/>
  <c r="E832" i="1"/>
  <c r="K831" i="1"/>
  <c r="G831" i="1"/>
  <c r="E831" i="1"/>
  <c r="AD830" i="1"/>
  <c r="AC830" i="1"/>
  <c r="Y830" i="1"/>
  <c r="X830" i="1"/>
  <c r="K830" i="1"/>
  <c r="G830" i="1"/>
  <c r="E830" i="1"/>
  <c r="AI829" i="1"/>
  <c r="Z829" i="1"/>
  <c r="G829" i="1"/>
  <c r="E829" i="1"/>
  <c r="Z828" i="1"/>
  <c r="K828" i="1"/>
  <c r="G828" i="1"/>
  <c r="E828" i="1"/>
  <c r="AH827" i="1"/>
  <c r="AD827" i="1"/>
  <c r="AC827" i="1"/>
  <c r="X827" i="1"/>
  <c r="K827" i="1"/>
  <c r="G827" i="1"/>
  <c r="E827" i="1"/>
  <c r="Y826" i="1"/>
  <c r="X826" i="1"/>
  <c r="K826" i="1"/>
  <c r="G826" i="1"/>
  <c r="E826" i="1"/>
  <c r="K825" i="1"/>
  <c r="G825" i="1"/>
  <c r="E825" i="1"/>
  <c r="U824" i="1"/>
  <c r="Q824" i="1"/>
  <c r="G824" i="1"/>
  <c r="E824" i="1"/>
  <c r="AB823" i="1"/>
  <c r="K823" i="1"/>
  <c r="G823" i="1"/>
  <c r="E823" i="1"/>
  <c r="AA822" i="1"/>
  <c r="G822" i="1"/>
  <c r="E822" i="1"/>
  <c r="Z821" i="1"/>
  <c r="K821" i="1"/>
  <c r="G821" i="1"/>
  <c r="E821" i="1"/>
  <c r="P820" i="1"/>
  <c r="K820" i="1"/>
  <c r="G820" i="1"/>
  <c r="E820" i="1"/>
  <c r="Z819" i="1"/>
  <c r="K819" i="1"/>
  <c r="G819" i="1"/>
  <c r="E819" i="1"/>
  <c r="AI818" i="1"/>
  <c r="Z818" i="1"/>
  <c r="K818" i="1"/>
  <c r="G818" i="1"/>
  <c r="E818" i="1"/>
  <c r="K817" i="1"/>
  <c r="G817" i="1"/>
  <c r="E817" i="1"/>
  <c r="K816" i="1"/>
  <c r="G816" i="1"/>
  <c r="E816" i="1"/>
  <c r="K815" i="1"/>
  <c r="G815" i="1"/>
  <c r="E815" i="1"/>
  <c r="AI814" i="1"/>
  <c r="AG814" i="1"/>
  <c r="Z814" i="1"/>
  <c r="K814" i="1"/>
  <c r="G814" i="1"/>
  <c r="E814" i="1"/>
  <c r="Z813" i="1"/>
  <c r="U813" i="1"/>
  <c r="G813" i="1"/>
  <c r="E813" i="1"/>
  <c r="P812" i="1"/>
  <c r="K812" i="1"/>
  <c r="G812" i="1"/>
  <c r="E812" i="1"/>
  <c r="K811" i="1"/>
  <c r="G811" i="1"/>
  <c r="E811" i="1"/>
  <c r="Y810" i="1"/>
  <c r="X810" i="1"/>
  <c r="K810" i="1"/>
  <c r="G810" i="1"/>
  <c r="E810" i="1"/>
  <c r="Z809" i="1"/>
  <c r="K809" i="1"/>
  <c r="G809" i="1"/>
  <c r="E809" i="1"/>
  <c r="P808" i="1"/>
  <c r="G808" i="1"/>
  <c r="E808" i="1"/>
  <c r="Y807" i="1"/>
  <c r="X807" i="1"/>
  <c r="K807" i="1"/>
  <c r="G807" i="1"/>
  <c r="E807" i="1"/>
  <c r="W806" i="1"/>
  <c r="K806" i="1"/>
  <c r="G806" i="1"/>
  <c r="E806" i="1"/>
  <c r="AD805" i="1"/>
  <c r="AC805" i="1"/>
  <c r="K805" i="1"/>
  <c r="G805" i="1"/>
  <c r="E805" i="1"/>
  <c r="K804" i="1"/>
  <c r="G804" i="1"/>
  <c r="E804" i="1"/>
  <c r="Z803" i="1"/>
  <c r="U803" i="1"/>
  <c r="K803" i="1"/>
  <c r="G803" i="1"/>
  <c r="E803" i="1"/>
  <c r="AA802" i="1"/>
  <c r="K802" i="1"/>
  <c r="G802" i="1"/>
  <c r="E802" i="1"/>
  <c r="Y801" i="1"/>
  <c r="X801" i="1"/>
  <c r="K801" i="1"/>
  <c r="G801" i="1"/>
  <c r="E801" i="1"/>
  <c r="AG800" i="1"/>
  <c r="K800" i="1"/>
  <c r="G800" i="1"/>
  <c r="E800" i="1"/>
  <c r="AI799" i="1"/>
  <c r="Z799" i="1"/>
  <c r="G799" i="1"/>
  <c r="E799" i="1"/>
  <c r="Z798" i="1"/>
  <c r="K798" i="1"/>
  <c r="G798" i="1"/>
  <c r="E798" i="1"/>
  <c r="X797" i="1"/>
  <c r="K797" i="1"/>
  <c r="G797" i="1"/>
  <c r="E797" i="1"/>
  <c r="K796" i="1"/>
  <c r="G796" i="1"/>
  <c r="E796" i="1"/>
  <c r="AD795" i="1"/>
  <c r="AC795" i="1"/>
  <c r="X795" i="1"/>
  <c r="G795" i="1"/>
  <c r="E795" i="1"/>
  <c r="AG794" i="1"/>
  <c r="AA794" i="1"/>
  <c r="K794" i="1"/>
  <c r="G794" i="1"/>
  <c r="E794" i="1"/>
  <c r="AH793" i="1"/>
  <c r="AC793" i="1"/>
  <c r="X793" i="1"/>
  <c r="K793" i="1"/>
  <c r="G793" i="1"/>
  <c r="E793" i="1"/>
  <c r="K792" i="1"/>
  <c r="G792" i="1"/>
  <c r="E792" i="1"/>
  <c r="P791" i="1"/>
  <c r="G791" i="1"/>
  <c r="E791" i="1"/>
  <c r="AD790" i="1"/>
  <c r="AC790" i="1"/>
  <c r="Y790" i="1"/>
  <c r="X790" i="1"/>
  <c r="K790" i="1"/>
  <c r="G790" i="1"/>
  <c r="E790" i="1"/>
  <c r="AA789" i="1"/>
  <c r="G789" i="1"/>
  <c r="E789" i="1"/>
  <c r="AI788" i="1"/>
  <c r="Z788" i="1"/>
  <c r="K788" i="1"/>
  <c r="G788" i="1"/>
  <c r="E788" i="1"/>
  <c r="K787" i="1"/>
  <c r="G787" i="1"/>
  <c r="E787" i="1"/>
  <c r="AD786" i="1"/>
  <c r="AC786" i="1"/>
  <c r="Y786" i="1"/>
  <c r="X786" i="1"/>
  <c r="K786" i="1"/>
  <c r="G786" i="1"/>
  <c r="E786" i="1"/>
  <c r="W785" i="1"/>
  <c r="K785" i="1"/>
  <c r="G785" i="1"/>
  <c r="E785" i="1"/>
  <c r="AF784" i="1"/>
  <c r="AE784" i="1"/>
  <c r="K784" i="1"/>
  <c r="G784" i="1"/>
  <c r="E784" i="1"/>
  <c r="Y783" i="1"/>
  <c r="X783" i="1"/>
  <c r="K783" i="1"/>
  <c r="G783" i="1"/>
  <c r="E783" i="1"/>
  <c r="AD782" i="1"/>
  <c r="AC782" i="1"/>
  <c r="Y782" i="1"/>
  <c r="X782" i="1"/>
  <c r="G782" i="1"/>
  <c r="E782" i="1"/>
  <c r="Y781" i="1"/>
  <c r="K781" i="1"/>
  <c r="G781" i="1"/>
  <c r="E781" i="1"/>
  <c r="T780" i="1"/>
  <c r="S780" i="1"/>
  <c r="P780" i="1"/>
  <c r="K780" i="1"/>
  <c r="G780" i="1"/>
  <c r="E780" i="1"/>
  <c r="Z779" i="1"/>
  <c r="G779" i="1"/>
  <c r="E779" i="1"/>
  <c r="R778" i="1"/>
  <c r="P778" i="1"/>
  <c r="K778" i="1"/>
  <c r="G778" i="1"/>
  <c r="E778" i="1"/>
  <c r="AG777" i="1"/>
  <c r="AF777" i="1"/>
  <c r="AE777" i="1"/>
  <c r="AB777" i="1"/>
  <c r="V777" i="1"/>
  <c r="K777" i="1"/>
  <c r="G777" i="1"/>
  <c r="E777" i="1"/>
  <c r="AI776" i="1"/>
  <c r="R776" i="1"/>
  <c r="P776" i="1"/>
  <c r="K776" i="1"/>
  <c r="G776" i="1"/>
  <c r="E776" i="1"/>
  <c r="Z775" i="1"/>
  <c r="G775" i="1"/>
  <c r="E775" i="1"/>
  <c r="K774" i="1"/>
  <c r="G774" i="1"/>
  <c r="E774" i="1"/>
  <c r="AA773" i="1"/>
  <c r="P773" i="1"/>
  <c r="G773" i="1"/>
  <c r="E773" i="1"/>
  <c r="Y772" i="1"/>
  <c r="X772" i="1"/>
  <c r="K772" i="1"/>
  <c r="G772" i="1"/>
  <c r="E772" i="1"/>
  <c r="K771" i="1"/>
  <c r="G771" i="1"/>
  <c r="E771" i="1"/>
  <c r="K770" i="1"/>
  <c r="G770" i="1"/>
  <c r="E770" i="1"/>
  <c r="Z769" i="1"/>
  <c r="U769" i="1"/>
  <c r="K769" i="1"/>
  <c r="G769" i="1"/>
  <c r="E769" i="1"/>
  <c r="K768" i="1"/>
  <c r="G768" i="1"/>
  <c r="E768" i="1"/>
  <c r="Y767" i="1"/>
  <c r="K767" i="1"/>
  <c r="G767" i="1"/>
  <c r="E767" i="1"/>
  <c r="AH766" i="1"/>
  <c r="K766" i="1"/>
  <c r="G766" i="1"/>
  <c r="E766" i="1"/>
  <c r="AB765" i="1"/>
  <c r="G765" i="1"/>
  <c r="E765" i="1"/>
  <c r="AI764" i="1"/>
  <c r="Z764" i="1"/>
  <c r="K764" i="1"/>
  <c r="G764" i="1"/>
  <c r="E764" i="1"/>
  <c r="AA763" i="1"/>
  <c r="K763" i="1"/>
  <c r="G763" i="1"/>
  <c r="E763" i="1"/>
  <c r="K762" i="1"/>
  <c r="G762" i="1"/>
  <c r="E762" i="1"/>
  <c r="K761" i="1"/>
  <c r="G761" i="1"/>
  <c r="E761" i="1"/>
  <c r="AG760" i="1"/>
  <c r="K760" i="1"/>
  <c r="G760" i="1"/>
  <c r="E760" i="1"/>
  <c r="K759" i="1"/>
  <c r="G759" i="1"/>
  <c r="E759" i="1"/>
  <c r="K758" i="1"/>
  <c r="G758" i="1"/>
  <c r="E758" i="1"/>
  <c r="AH757" i="1"/>
  <c r="AF757" i="1"/>
  <c r="AE757" i="1"/>
  <c r="AD757" i="1"/>
  <c r="AC757" i="1"/>
  <c r="X757" i="1"/>
  <c r="K757" i="1"/>
  <c r="G757" i="1"/>
  <c r="E757" i="1"/>
  <c r="K756" i="1"/>
  <c r="G756" i="1"/>
  <c r="E756" i="1"/>
  <c r="Y755" i="1"/>
  <c r="X755" i="1"/>
  <c r="K755" i="1"/>
  <c r="G755" i="1"/>
  <c r="E755" i="1"/>
  <c r="K754" i="1"/>
  <c r="G754" i="1"/>
  <c r="E754" i="1"/>
  <c r="K753" i="1"/>
  <c r="G753" i="1"/>
  <c r="E753" i="1"/>
  <c r="K752" i="1"/>
  <c r="G752" i="1"/>
  <c r="E752" i="1"/>
  <c r="K751" i="1"/>
  <c r="G751" i="1"/>
  <c r="E751" i="1"/>
  <c r="AH750" i="1"/>
  <c r="AD750" i="1"/>
  <c r="AC750" i="1"/>
  <c r="Y750" i="1"/>
  <c r="X750" i="1"/>
  <c r="K750" i="1"/>
  <c r="G750" i="1"/>
  <c r="E750" i="1"/>
  <c r="P749" i="1"/>
  <c r="K749" i="1"/>
  <c r="G749" i="1"/>
  <c r="E749" i="1"/>
  <c r="AA748" i="1"/>
  <c r="V748" i="1"/>
  <c r="K748" i="1"/>
  <c r="G748" i="1"/>
  <c r="E748" i="1"/>
  <c r="K747" i="1"/>
  <c r="G747" i="1"/>
  <c r="E747" i="1"/>
  <c r="W746" i="1"/>
  <c r="K746" i="1"/>
  <c r="G746" i="1"/>
  <c r="E746" i="1"/>
  <c r="AG745" i="1"/>
  <c r="AD745" i="1"/>
  <c r="AC745" i="1"/>
  <c r="X745" i="1"/>
  <c r="G745" i="1"/>
  <c r="E745" i="1"/>
  <c r="K744" i="1"/>
  <c r="G744" i="1"/>
  <c r="E744" i="1"/>
  <c r="AB743" i="1"/>
  <c r="W743" i="1"/>
  <c r="K743" i="1"/>
  <c r="G743" i="1"/>
  <c r="E743" i="1"/>
  <c r="X742" i="1"/>
  <c r="K742" i="1"/>
  <c r="G742" i="1"/>
  <c r="E742" i="1"/>
  <c r="AI741" i="1"/>
  <c r="Z741" i="1"/>
  <c r="K741" i="1"/>
  <c r="G741" i="1"/>
  <c r="E741" i="1"/>
  <c r="AB740" i="1"/>
  <c r="K740" i="1"/>
  <c r="G740" i="1"/>
  <c r="E740" i="1"/>
  <c r="AA739" i="1"/>
  <c r="K739" i="1"/>
  <c r="G739" i="1"/>
  <c r="E739" i="1"/>
  <c r="AC738" i="1"/>
  <c r="Y738" i="1"/>
  <c r="X738" i="1"/>
  <c r="K738" i="1"/>
  <c r="G738" i="1"/>
  <c r="E738" i="1"/>
  <c r="Y737" i="1"/>
  <c r="K737" i="1"/>
  <c r="G737" i="1"/>
  <c r="E737" i="1"/>
  <c r="AD736" i="1"/>
  <c r="AC736" i="1"/>
  <c r="X736" i="1"/>
  <c r="K736" i="1"/>
  <c r="G736" i="1"/>
  <c r="E736" i="1"/>
  <c r="AD735" i="1"/>
  <c r="AC735" i="1"/>
  <c r="X735" i="1"/>
  <c r="K735" i="1"/>
  <c r="G735" i="1"/>
  <c r="E735" i="1"/>
  <c r="K734" i="1"/>
  <c r="G734" i="1"/>
  <c r="E734" i="1"/>
  <c r="AI733" i="1"/>
  <c r="Z733" i="1"/>
  <c r="K733" i="1"/>
  <c r="G733" i="1"/>
  <c r="E733" i="1"/>
  <c r="AH732" i="1"/>
  <c r="K732" i="1"/>
  <c r="G732" i="1"/>
  <c r="E732" i="1"/>
  <c r="AH731" i="1"/>
  <c r="AD731" i="1"/>
  <c r="AC731" i="1"/>
  <c r="Y731" i="1"/>
  <c r="X731" i="1"/>
  <c r="K731" i="1"/>
  <c r="G731" i="1"/>
  <c r="E731" i="1"/>
  <c r="AH730" i="1"/>
  <c r="AD730" i="1"/>
  <c r="AC730" i="1"/>
  <c r="Y730" i="1"/>
  <c r="X730" i="1"/>
  <c r="G730" i="1"/>
  <c r="E730" i="1"/>
  <c r="AD729" i="1"/>
  <c r="AC729" i="1"/>
  <c r="X729" i="1"/>
  <c r="K729" i="1"/>
  <c r="G729" i="1"/>
  <c r="E729" i="1"/>
  <c r="AI728" i="1"/>
  <c r="Z728" i="1"/>
  <c r="K728" i="1"/>
  <c r="G728" i="1"/>
  <c r="E728" i="1"/>
  <c r="AF727" i="1"/>
  <c r="Z727" i="1"/>
  <c r="U727" i="1"/>
  <c r="K727" i="1"/>
  <c r="G727" i="1"/>
  <c r="E727" i="1"/>
  <c r="AI726" i="1"/>
  <c r="T726" i="1"/>
  <c r="P726" i="1"/>
  <c r="K726" i="1"/>
  <c r="G726" i="1"/>
  <c r="E726" i="1"/>
  <c r="AD725" i="1"/>
  <c r="AC725" i="1"/>
  <c r="Y725" i="1"/>
  <c r="X725" i="1"/>
  <c r="K725" i="1"/>
  <c r="G725" i="1"/>
  <c r="E725" i="1"/>
  <c r="AA724" i="1"/>
  <c r="V724" i="1"/>
  <c r="K724" i="1"/>
  <c r="G724" i="1"/>
  <c r="E724" i="1"/>
  <c r="W723" i="1"/>
  <c r="K723" i="1"/>
  <c r="G723" i="1"/>
  <c r="E723" i="1"/>
  <c r="Z722" i="1"/>
  <c r="U722" i="1"/>
  <c r="K722" i="1"/>
  <c r="G722" i="1"/>
  <c r="E722" i="1"/>
  <c r="AH721" i="1"/>
  <c r="AD721" i="1"/>
  <c r="AC721" i="1"/>
  <c r="X721" i="1"/>
  <c r="K721" i="1"/>
  <c r="G721" i="1"/>
  <c r="E721" i="1"/>
  <c r="Z720" i="1"/>
  <c r="K720" i="1"/>
  <c r="G720" i="1"/>
  <c r="E720" i="1"/>
  <c r="AA719" i="1"/>
  <c r="Z719" i="1"/>
  <c r="Q719" i="1"/>
  <c r="G719" i="1"/>
  <c r="E719" i="1"/>
  <c r="Y718" i="1"/>
  <c r="K718" i="1"/>
  <c r="G718" i="1"/>
  <c r="E718" i="1"/>
  <c r="AH717" i="1"/>
  <c r="AD717" i="1"/>
  <c r="AC717" i="1"/>
  <c r="K717" i="1"/>
  <c r="G717" i="1"/>
  <c r="E717" i="1"/>
  <c r="AB716" i="1"/>
  <c r="W716" i="1"/>
  <c r="K716" i="1"/>
  <c r="G716" i="1"/>
  <c r="E716" i="1"/>
  <c r="Z715" i="1"/>
  <c r="U715" i="1"/>
  <c r="Q715" i="1"/>
  <c r="K715" i="1"/>
  <c r="G715" i="1"/>
  <c r="E715" i="1"/>
  <c r="R714" i="1"/>
  <c r="P714" i="1"/>
  <c r="K714" i="1"/>
  <c r="G714" i="1"/>
  <c r="E714" i="1"/>
  <c r="K713" i="1"/>
  <c r="G713" i="1"/>
  <c r="E713" i="1"/>
  <c r="K712" i="1"/>
  <c r="G712" i="1"/>
  <c r="E712" i="1"/>
  <c r="Z711" i="1"/>
  <c r="Q711" i="1"/>
  <c r="K711" i="1"/>
  <c r="G711" i="1"/>
  <c r="E711" i="1"/>
  <c r="T710" i="1"/>
  <c r="S710" i="1"/>
  <c r="P710" i="1"/>
  <c r="K710" i="1"/>
  <c r="G710" i="1"/>
  <c r="E710" i="1"/>
  <c r="AD709" i="1"/>
  <c r="AC709" i="1"/>
  <c r="X709" i="1"/>
  <c r="K709" i="1"/>
  <c r="G709" i="1"/>
  <c r="E709" i="1"/>
  <c r="AB708" i="1"/>
  <c r="K708" i="1"/>
  <c r="G708" i="1"/>
  <c r="E708" i="1"/>
  <c r="Z707" i="1"/>
  <c r="G707" i="1"/>
  <c r="E707" i="1"/>
  <c r="K706" i="1"/>
  <c r="G706" i="1"/>
  <c r="E706" i="1"/>
  <c r="U705" i="1"/>
  <c r="Q705" i="1"/>
  <c r="K705" i="1"/>
  <c r="G705" i="1"/>
  <c r="E705" i="1"/>
  <c r="K704" i="1"/>
  <c r="G704" i="1"/>
  <c r="E704" i="1"/>
  <c r="AH703" i="1"/>
  <c r="AF703" i="1"/>
  <c r="AE703" i="1"/>
  <c r="AB703" i="1"/>
  <c r="K703" i="1"/>
  <c r="G703" i="1"/>
  <c r="E703" i="1"/>
  <c r="AD702" i="1"/>
  <c r="AC702" i="1"/>
  <c r="Y702" i="1"/>
  <c r="X702" i="1"/>
  <c r="K702" i="1"/>
  <c r="G702" i="1"/>
  <c r="E702" i="1"/>
  <c r="Y701" i="1"/>
  <c r="X701" i="1"/>
  <c r="K701" i="1"/>
  <c r="G701" i="1"/>
  <c r="E701" i="1"/>
  <c r="K700" i="1"/>
  <c r="G700" i="1"/>
  <c r="E700" i="1"/>
  <c r="K699" i="1"/>
  <c r="G699" i="1"/>
  <c r="E699" i="1"/>
  <c r="AG698" i="1"/>
  <c r="Z698" i="1"/>
  <c r="Q698" i="1"/>
  <c r="K698" i="1"/>
  <c r="G698" i="1"/>
  <c r="E698" i="1"/>
  <c r="W697" i="1"/>
  <c r="K697" i="1"/>
  <c r="G697" i="1"/>
  <c r="E697" i="1"/>
  <c r="AH696" i="1"/>
  <c r="Y696" i="1"/>
  <c r="X696" i="1"/>
  <c r="K696" i="1"/>
  <c r="G696" i="1"/>
  <c r="E696" i="1"/>
  <c r="R695" i="1"/>
  <c r="P695" i="1"/>
  <c r="K695" i="1"/>
  <c r="G695" i="1"/>
  <c r="E695" i="1"/>
  <c r="K694" i="1"/>
  <c r="G694" i="1"/>
  <c r="E694" i="1"/>
  <c r="AH693" i="1"/>
  <c r="AD693" i="1"/>
  <c r="AC693" i="1"/>
  <c r="Y693" i="1"/>
  <c r="X693" i="1"/>
  <c r="K693" i="1"/>
  <c r="G693" i="1"/>
  <c r="E693" i="1"/>
  <c r="K692" i="1"/>
  <c r="G692" i="1"/>
  <c r="E692" i="1"/>
  <c r="AD691" i="1"/>
  <c r="AC691" i="1"/>
  <c r="Y691" i="1"/>
  <c r="X691" i="1"/>
  <c r="K691" i="1"/>
  <c r="G691" i="1"/>
  <c r="E691" i="1"/>
  <c r="T690" i="1"/>
  <c r="S690" i="1"/>
  <c r="K690" i="1"/>
  <c r="G690" i="1"/>
  <c r="E690" i="1"/>
  <c r="AH689" i="1"/>
  <c r="K689" i="1"/>
  <c r="G689" i="1"/>
  <c r="E689" i="1"/>
  <c r="T688" i="1"/>
  <c r="S688" i="1"/>
  <c r="K688" i="1"/>
  <c r="G688" i="1"/>
  <c r="E688" i="1"/>
  <c r="K687" i="1"/>
  <c r="G687" i="1"/>
  <c r="E687" i="1"/>
  <c r="Y686" i="1"/>
  <c r="X686" i="1"/>
  <c r="K686" i="1"/>
  <c r="G686" i="1"/>
  <c r="E686" i="1"/>
  <c r="AH685" i="1"/>
  <c r="AD685" i="1"/>
  <c r="AC685" i="1"/>
  <c r="X685" i="1"/>
  <c r="G685" i="1"/>
  <c r="E685" i="1"/>
  <c r="AB684" i="1"/>
  <c r="W684" i="1"/>
  <c r="K684" i="1"/>
  <c r="G684" i="1"/>
  <c r="E684" i="1"/>
  <c r="K683" i="1"/>
  <c r="G683" i="1"/>
  <c r="E683" i="1"/>
  <c r="AA682" i="1"/>
  <c r="O682" i="1"/>
  <c r="M682" i="1"/>
  <c r="K682" i="1"/>
  <c r="G682" i="1"/>
  <c r="E682" i="1"/>
  <c r="AA681" i="1"/>
  <c r="V681" i="1"/>
  <c r="G681" i="1"/>
  <c r="E681" i="1"/>
  <c r="K680" i="1"/>
  <c r="G680" i="1"/>
  <c r="E680" i="1"/>
  <c r="K679" i="1"/>
  <c r="G679" i="1"/>
  <c r="E679" i="1"/>
  <c r="K678" i="1"/>
  <c r="G678" i="1"/>
  <c r="E678" i="1"/>
  <c r="K677" i="1"/>
  <c r="G677" i="1"/>
  <c r="E677" i="1"/>
  <c r="K676" i="1"/>
  <c r="G676" i="1"/>
  <c r="E676" i="1"/>
  <c r="AD675" i="1"/>
  <c r="AC675" i="1"/>
  <c r="Y675" i="1"/>
  <c r="X675" i="1"/>
  <c r="K675" i="1"/>
  <c r="G675" i="1"/>
  <c r="E675" i="1"/>
  <c r="AH674" i="1"/>
  <c r="AG674" i="1"/>
  <c r="K674" i="1"/>
  <c r="G674" i="1"/>
  <c r="E674" i="1"/>
  <c r="K673" i="1"/>
  <c r="G673" i="1"/>
  <c r="E673" i="1"/>
  <c r="V672" i="1"/>
  <c r="K672" i="1"/>
  <c r="G672" i="1"/>
  <c r="E672" i="1"/>
  <c r="AG671" i="1"/>
  <c r="G671" i="1"/>
  <c r="E671" i="1"/>
  <c r="AD670" i="1"/>
  <c r="AC670" i="1"/>
  <c r="Y670" i="1"/>
  <c r="X670" i="1"/>
  <c r="K670" i="1"/>
  <c r="G670" i="1"/>
  <c r="E670" i="1"/>
  <c r="Z669" i="1"/>
  <c r="K669" i="1"/>
  <c r="G669" i="1"/>
  <c r="E669" i="1"/>
  <c r="AF668" i="1"/>
  <c r="AE668" i="1"/>
  <c r="K668" i="1"/>
  <c r="G668" i="1"/>
  <c r="E668" i="1"/>
  <c r="AB667" i="1"/>
  <c r="K667" i="1"/>
  <c r="G667" i="1"/>
  <c r="E667" i="1"/>
  <c r="AG666" i="1"/>
  <c r="K666" i="1"/>
  <c r="G666" i="1"/>
  <c r="E666" i="1"/>
  <c r="AD665" i="1"/>
  <c r="AC665" i="1"/>
  <c r="Y665" i="1"/>
  <c r="X665" i="1"/>
  <c r="K665" i="1"/>
  <c r="G665" i="1"/>
  <c r="E665" i="1"/>
  <c r="Z664" i="1"/>
  <c r="K664" i="1"/>
  <c r="G664" i="1"/>
  <c r="E664" i="1"/>
  <c r="V663" i="1"/>
  <c r="G663" i="1"/>
  <c r="E663" i="1"/>
  <c r="K662" i="1"/>
  <c r="G662" i="1"/>
  <c r="E662" i="1"/>
  <c r="Z661" i="1"/>
  <c r="K661" i="1"/>
  <c r="G661" i="1"/>
  <c r="E661" i="1"/>
  <c r="AB660" i="1"/>
  <c r="K660" i="1"/>
  <c r="G660" i="1"/>
  <c r="E660" i="1"/>
  <c r="K659" i="1"/>
  <c r="G659" i="1"/>
  <c r="E659" i="1"/>
  <c r="K658" i="1"/>
  <c r="G658" i="1"/>
  <c r="E658" i="1"/>
  <c r="AI657" i="1"/>
  <c r="Z657" i="1"/>
  <c r="U657" i="1"/>
  <c r="K657" i="1"/>
  <c r="G657" i="1"/>
  <c r="E657" i="1"/>
  <c r="K656" i="1"/>
  <c r="G656" i="1"/>
  <c r="E656" i="1"/>
  <c r="AB655" i="1"/>
  <c r="K655" i="1"/>
  <c r="G655" i="1"/>
  <c r="E655" i="1"/>
  <c r="AD654" i="1"/>
  <c r="AC654" i="1"/>
  <c r="Y654" i="1"/>
  <c r="X654" i="1"/>
  <c r="K654" i="1"/>
  <c r="G654" i="1"/>
  <c r="E654" i="1"/>
  <c r="AA653" i="1"/>
  <c r="N653" i="1"/>
  <c r="L653" i="1"/>
  <c r="K653" i="1"/>
  <c r="G653" i="1"/>
  <c r="E653" i="1"/>
  <c r="K652" i="1"/>
  <c r="G652" i="1"/>
  <c r="E652" i="1"/>
  <c r="AI651" i="1"/>
  <c r="Q651" i="1"/>
  <c r="K651" i="1"/>
  <c r="G651" i="1"/>
  <c r="E651" i="1"/>
  <c r="K650" i="1"/>
  <c r="G650" i="1"/>
  <c r="E650" i="1"/>
  <c r="Z649" i="1"/>
  <c r="G649" i="1"/>
  <c r="E649" i="1"/>
  <c r="K648" i="1"/>
  <c r="G648" i="1"/>
  <c r="E648" i="1"/>
  <c r="K647" i="1"/>
  <c r="G647" i="1"/>
  <c r="E647" i="1"/>
  <c r="R646" i="1"/>
  <c r="P646" i="1"/>
  <c r="K646" i="1"/>
  <c r="G646" i="1"/>
  <c r="E646" i="1"/>
  <c r="AB645" i="1"/>
  <c r="G645" i="1"/>
  <c r="E645" i="1"/>
  <c r="AF644" i="1"/>
  <c r="G644" i="1"/>
  <c r="E644" i="1"/>
  <c r="AG643" i="1"/>
  <c r="K643" i="1"/>
  <c r="G643" i="1"/>
  <c r="E643" i="1"/>
  <c r="K642" i="1"/>
  <c r="G642" i="1"/>
  <c r="E642" i="1"/>
  <c r="AB641" i="1"/>
  <c r="K641" i="1"/>
  <c r="G641" i="1"/>
  <c r="E641" i="1"/>
  <c r="AG640" i="1"/>
  <c r="K640" i="1"/>
  <c r="G640" i="1"/>
  <c r="E640" i="1"/>
  <c r="AH639" i="1"/>
  <c r="AA639" i="1"/>
  <c r="V639" i="1"/>
  <c r="K639" i="1"/>
  <c r="G639" i="1"/>
  <c r="E639" i="1"/>
  <c r="AD638" i="1"/>
  <c r="AC638" i="1"/>
  <c r="X638" i="1"/>
  <c r="K638" i="1"/>
  <c r="G638" i="1"/>
  <c r="E638" i="1"/>
  <c r="AH637" i="1"/>
  <c r="AG637" i="1"/>
  <c r="K637" i="1"/>
  <c r="G637" i="1"/>
  <c r="E637" i="1"/>
  <c r="K636" i="1"/>
  <c r="G636" i="1"/>
  <c r="E636" i="1"/>
  <c r="AD635" i="1"/>
  <c r="AC635" i="1"/>
  <c r="X635" i="1"/>
  <c r="K635" i="1"/>
  <c r="G635" i="1"/>
  <c r="E635" i="1"/>
  <c r="T634" i="1"/>
  <c r="S634" i="1"/>
  <c r="P634" i="1"/>
  <c r="K634" i="1"/>
  <c r="G634" i="1"/>
  <c r="E634" i="1"/>
  <c r="AH633" i="1"/>
  <c r="AD633" i="1"/>
  <c r="AC633" i="1"/>
  <c r="X633" i="1"/>
  <c r="K633" i="1"/>
  <c r="G633" i="1"/>
  <c r="E633" i="1"/>
  <c r="AD632" i="1"/>
  <c r="AC632" i="1"/>
  <c r="X632" i="1"/>
  <c r="K632" i="1"/>
  <c r="G632" i="1"/>
  <c r="E632" i="1"/>
  <c r="Z631" i="1"/>
  <c r="K631" i="1"/>
  <c r="G631" i="1"/>
  <c r="E631" i="1"/>
  <c r="AG630" i="1"/>
  <c r="V630" i="1"/>
  <c r="M630" i="1"/>
  <c r="K630" i="1"/>
  <c r="G630" i="1"/>
  <c r="E630" i="1"/>
  <c r="K629" i="1"/>
  <c r="G629" i="1"/>
  <c r="E629" i="1"/>
  <c r="K628" i="1"/>
  <c r="G628" i="1"/>
  <c r="E628" i="1"/>
  <c r="W627" i="1"/>
  <c r="K627" i="1"/>
  <c r="G627" i="1"/>
  <c r="E627" i="1"/>
  <c r="AE626" i="1"/>
  <c r="K626" i="1"/>
  <c r="G626" i="1"/>
  <c r="E626" i="1"/>
  <c r="AD625" i="1"/>
  <c r="AC625" i="1"/>
  <c r="Y625" i="1"/>
  <c r="X625" i="1"/>
  <c r="K625" i="1"/>
  <c r="G625" i="1"/>
  <c r="E625" i="1"/>
  <c r="U624" i="1"/>
  <c r="Q624" i="1"/>
  <c r="G624" i="1"/>
  <c r="E624" i="1"/>
  <c r="AB623" i="1"/>
  <c r="W623" i="1"/>
  <c r="K623" i="1"/>
  <c r="G623" i="1"/>
  <c r="E623" i="1"/>
  <c r="AG622" i="1"/>
  <c r="K622" i="1"/>
  <c r="G622" i="1"/>
  <c r="E622" i="1"/>
  <c r="K621" i="1"/>
  <c r="G621" i="1"/>
  <c r="E621" i="1"/>
  <c r="AG620" i="1"/>
  <c r="K620" i="1"/>
  <c r="G620" i="1"/>
  <c r="E620" i="1"/>
  <c r="W619" i="1"/>
  <c r="K619" i="1"/>
  <c r="G619" i="1"/>
  <c r="E619" i="1"/>
  <c r="AB618" i="1"/>
  <c r="V618" i="1"/>
  <c r="K618" i="1"/>
  <c r="G618" i="1"/>
  <c r="E618" i="1"/>
  <c r="K617" i="1"/>
  <c r="G617" i="1"/>
  <c r="E617" i="1"/>
  <c r="AD616" i="1"/>
  <c r="AC616" i="1"/>
  <c r="Y616" i="1"/>
  <c r="X616" i="1"/>
  <c r="K616" i="1"/>
  <c r="G616" i="1"/>
  <c r="E616" i="1"/>
  <c r="Z615" i="1"/>
  <c r="U615" i="1"/>
  <c r="Q615" i="1"/>
  <c r="K615" i="1"/>
  <c r="G615" i="1"/>
  <c r="E615" i="1"/>
  <c r="AB614" i="1"/>
  <c r="G614" i="1"/>
  <c r="E614" i="1"/>
  <c r="K613" i="1"/>
  <c r="G613" i="1"/>
  <c r="E613" i="1"/>
  <c r="AA612" i="1"/>
  <c r="K612" i="1"/>
  <c r="G612" i="1"/>
  <c r="E612" i="1"/>
  <c r="AD611" i="1"/>
  <c r="AC611" i="1"/>
  <c r="X611" i="1"/>
  <c r="K611" i="1"/>
  <c r="G611" i="1"/>
  <c r="E611" i="1"/>
  <c r="AG610" i="1"/>
  <c r="G610" i="1"/>
  <c r="E610" i="1"/>
  <c r="K609" i="1"/>
  <c r="G609" i="1"/>
  <c r="E609" i="1"/>
  <c r="K608" i="1"/>
  <c r="G608" i="1"/>
  <c r="E608" i="1"/>
  <c r="K607" i="1"/>
  <c r="G607" i="1"/>
  <c r="E607" i="1"/>
  <c r="K606" i="1"/>
  <c r="G606" i="1"/>
  <c r="E606" i="1"/>
  <c r="P605" i="1"/>
  <c r="K605" i="1"/>
  <c r="G605" i="1"/>
  <c r="E605" i="1"/>
  <c r="Z604" i="1"/>
  <c r="K604" i="1"/>
  <c r="G604" i="1"/>
  <c r="E604" i="1"/>
  <c r="U603" i="1"/>
  <c r="K603" i="1"/>
  <c r="G603" i="1"/>
  <c r="E603" i="1"/>
  <c r="AA602" i="1"/>
  <c r="K602" i="1"/>
  <c r="G602" i="1"/>
  <c r="E602" i="1"/>
  <c r="K601" i="1"/>
  <c r="G601" i="1"/>
  <c r="E601" i="1"/>
  <c r="K600" i="1"/>
  <c r="G600" i="1"/>
  <c r="E600" i="1"/>
  <c r="AG599" i="1"/>
  <c r="AA599" i="1"/>
  <c r="V599" i="1"/>
  <c r="K599" i="1"/>
  <c r="G599" i="1"/>
  <c r="E599" i="1"/>
  <c r="AA598" i="1"/>
  <c r="V598" i="1"/>
  <c r="K598" i="1"/>
  <c r="G598" i="1"/>
  <c r="E598" i="1"/>
  <c r="AD597" i="1"/>
  <c r="AC597" i="1"/>
  <c r="Y597" i="1"/>
  <c r="X597" i="1"/>
  <c r="K597" i="1"/>
  <c r="G597" i="1"/>
  <c r="E597" i="1"/>
  <c r="AA596" i="1"/>
  <c r="M596" i="1"/>
  <c r="K596" i="1"/>
  <c r="G596" i="1"/>
  <c r="E596" i="1"/>
  <c r="AD595" i="1"/>
  <c r="Y595" i="1"/>
  <c r="K595" i="1"/>
  <c r="G595" i="1"/>
  <c r="E595" i="1"/>
  <c r="AB594" i="1"/>
  <c r="K594" i="1"/>
  <c r="G594" i="1"/>
  <c r="E594" i="1"/>
  <c r="W593" i="1"/>
  <c r="G593" i="1"/>
  <c r="E593" i="1"/>
  <c r="K592" i="1"/>
  <c r="G592" i="1"/>
  <c r="E592" i="1"/>
  <c r="AG591" i="1"/>
  <c r="AA591" i="1"/>
  <c r="V591" i="1"/>
  <c r="K591" i="1"/>
  <c r="G591" i="1"/>
  <c r="E591" i="1"/>
  <c r="AG590" i="1"/>
  <c r="AD590" i="1"/>
  <c r="Y590" i="1"/>
  <c r="N590" i="1"/>
  <c r="L590" i="1"/>
  <c r="K590" i="1"/>
  <c r="G590" i="1"/>
  <c r="E590" i="1"/>
  <c r="V589" i="1"/>
  <c r="G589" i="1"/>
  <c r="E589" i="1"/>
  <c r="K588" i="1"/>
  <c r="G588" i="1"/>
  <c r="E588" i="1"/>
  <c r="R587" i="1"/>
  <c r="K587" i="1"/>
  <c r="G587" i="1"/>
  <c r="E587" i="1"/>
  <c r="AF586" i="1"/>
  <c r="AE586" i="1"/>
  <c r="K586" i="1"/>
  <c r="G586" i="1"/>
  <c r="E586" i="1"/>
  <c r="Z585" i="1"/>
  <c r="K585" i="1"/>
  <c r="G585" i="1"/>
  <c r="E585" i="1"/>
  <c r="AD584" i="1"/>
  <c r="AC584" i="1"/>
  <c r="Y584" i="1"/>
  <c r="X584" i="1"/>
  <c r="K584" i="1"/>
  <c r="G584" i="1"/>
  <c r="E584" i="1"/>
  <c r="AA583" i="1"/>
  <c r="K583" i="1"/>
  <c r="G583" i="1"/>
  <c r="E583" i="1"/>
  <c r="Y582" i="1"/>
  <c r="K582" i="1"/>
  <c r="G582" i="1"/>
  <c r="E582" i="1"/>
  <c r="AD581" i="1"/>
  <c r="Y581" i="1"/>
  <c r="K581" i="1"/>
  <c r="G581" i="1"/>
  <c r="E581" i="1"/>
  <c r="AD580" i="1"/>
  <c r="AC580" i="1"/>
  <c r="Y580" i="1"/>
  <c r="X580" i="1"/>
  <c r="K580" i="1"/>
  <c r="G580" i="1"/>
  <c r="E580" i="1"/>
  <c r="AE579" i="1"/>
  <c r="K579" i="1"/>
  <c r="G579" i="1"/>
  <c r="E579" i="1"/>
  <c r="Y578" i="1"/>
  <c r="K578" i="1"/>
  <c r="G578" i="1"/>
  <c r="E578" i="1"/>
  <c r="K577" i="1"/>
  <c r="G577" i="1"/>
  <c r="E577" i="1"/>
  <c r="W576" i="1"/>
  <c r="K576" i="1"/>
  <c r="G576" i="1"/>
  <c r="E576" i="1"/>
  <c r="N575" i="1"/>
  <c r="L575" i="1"/>
  <c r="K575" i="1"/>
  <c r="G575" i="1"/>
  <c r="E575" i="1"/>
  <c r="AB574" i="1"/>
  <c r="K574" i="1"/>
  <c r="G574" i="1"/>
  <c r="E574" i="1"/>
  <c r="AA573" i="1"/>
  <c r="K573" i="1"/>
  <c r="G573" i="1"/>
  <c r="E573" i="1"/>
  <c r="K572" i="1"/>
  <c r="G572" i="1"/>
  <c r="E572" i="1"/>
  <c r="AH571" i="1"/>
  <c r="Y571" i="1"/>
  <c r="X571" i="1"/>
  <c r="N571" i="1"/>
  <c r="L571" i="1"/>
  <c r="K571" i="1"/>
  <c r="G571" i="1"/>
  <c r="E571" i="1"/>
  <c r="Z570" i="1"/>
  <c r="K570" i="1"/>
  <c r="G570" i="1"/>
  <c r="E570" i="1"/>
  <c r="AF569" i="1"/>
  <c r="AE569" i="1"/>
  <c r="V569" i="1"/>
  <c r="K569" i="1"/>
  <c r="G569" i="1"/>
  <c r="E569" i="1"/>
  <c r="Y568" i="1"/>
  <c r="X568" i="1"/>
  <c r="K568" i="1"/>
  <c r="G568" i="1"/>
  <c r="E568" i="1"/>
  <c r="AD567" i="1"/>
  <c r="AC567" i="1"/>
  <c r="Y567" i="1"/>
  <c r="X567" i="1"/>
  <c r="K567" i="1"/>
  <c r="G567" i="1"/>
  <c r="E567" i="1"/>
  <c r="P566" i="1"/>
  <c r="K566" i="1"/>
  <c r="G566" i="1"/>
  <c r="E566" i="1"/>
  <c r="K565" i="1"/>
  <c r="G565" i="1"/>
  <c r="E565" i="1"/>
  <c r="Y564" i="1"/>
  <c r="K564" i="1"/>
  <c r="G564" i="1"/>
  <c r="E564" i="1"/>
  <c r="K563" i="1"/>
  <c r="G563" i="1"/>
  <c r="E563" i="1"/>
  <c r="AH562" i="1"/>
  <c r="K562" i="1"/>
  <c r="G562" i="1"/>
  <c r="E562" i="1"/>
  <c r="AG561" i="1"/>
  <c r="K561" i="1"/>
  <c r="G561" i="1"/>
  <c r="E561" i="1"/>
  <c r="AG560" i="1"/>
  <c r="G560" i="1"/>
  <c r="E560" i="1"/>
  <c r="AB559" i="1"/>
  <c r="K559" i="1"/>
  <c r="G559" i="1"/>
  <c r="E559" i="1"/>
  <c r="R558" i="1"/>
  <c r="P558" i="1"/>
  <c r="K558" i="1"/>
  <c r="G558" i="1"/>
  <c r="E558" i="1"/>
  <c r="K557" i="1"/>
  <c r="G557" i="1"/>
  <c r="E557" i="1"/>
  <c r="Z556" i="1"/>
  <c r="K556" i="1"/>
  <c r="G556" i="1"/>
  <c r="E556" i="1"/>
  <c r="V555" i="1"/>
  <c r="K555" i="1"/>
  <c r="G555" i="1"/>
  <c r="E555" i="1"/>
  <c r="Y554" i="1"/>
  <c r="X554" i="1"/>
  <c r="K554" i="1"/>
  <c r="G554" i="1"/>
  <c r="E554" i="1"/>
  <c r="AB553" i="1"/>
  <c r="K553" i="1"/>
  <c r="G553" i="1"/>
  <c r="E553" i="1"/>
  <c r="AD552" i="1"/>
  <c r="AC552" i="1"/>
  <c r="Y552" i="1"/>
  <c r="X552" i="1"/>
  <c r="K552" i="1"/>
  <c r="G552" i="1"/>
  <c r="E552" i="1"/>
  <c r="Z551" i="1"/>
  <c r="K551" i="1"/>
  <c r="G551" i="1"/>
  <c r="E551" i="1"/>
  <c r="K550" i="1"/>
  <c r="G550" i="1"/>
  <c r="E550" i="1"/>
  <c r="AA549" i="1"/>
  <c r="V549" i="1"/>
  <c r="K549" i="1"/>
  <c r="G549" i="1"/>
  <c r="E549" i="1"/>
  <c r="AH548" i="1"/>
  <c r="AB548" i="1"/>
  <c r="G548" i="1"/>
  <c r="E548" i="1"/>
  <c r="AH547" i="1"/>
  <c r="AD547" i="1"/>
  <c r="AC547" i="1"/>
  <c r="AA547" i="1"/>
  <c r="Y547" i="1"/>
  <c r="X547" i="1"/>
  <c r="K547" i="1"/>
  <c r="G547" i="1"/>
  <c r="E547" i="1"/>
  <c r="K546" i="1"/>
  <c r="G546" i="1"/>
  <c r="E546" i="1"/>
  <c r="AH545" i="1"/>
  <c r="V545" i="1"/>
  <c r="K545" i="1"/>
  <c r="G545" i="1"/>
  <c r="E545" i="1"/>
  <c r="K544" i="1"/>
  <c r="G544" i="1"/>
  <c r="E544" i="1"/>
  <c r="K543" i="1"/>
  <c r="G543" i="1"/>
  <c r="E543" i="1"/>
  <c r="AG542" i="1"/>
  <c r="K542" i="1"/>
  <c r="G542" i="1"/>
  <c r="E542" i="1"/>
  <c r="AG541" i="1"/>
  <c r="Z541" i="1"/>
  <c r="U541" i="1"/>
  <c r="N541" i="1"/>
  <c r="L541" i="1"/>
  <c r="K541" i="1"/>
  <c r="G541" i="1"/>
  <c r="E541" i="1"/>
  <c r="T540" i="1"/>
  <c r="S540" i="1"/>
  <c r="P540" i="1"/>
  <c r="K540" i="1"/>
  <c r="G540" i="1"/>
  <c r="E540" i="1"/>
  <c r="AB539" i="1"/>
  <c r="W539" i="1"/>
  <c r="K539" i="1"/>
  <c r="G539" i="1"/>
  <c r="E539" i="1"/>
  <c r="AA538" i="1"/>
  <c r="V538" i="1"/>
  <c r="K538" i="1"/>
  <c r="G538" i="1"/>
  <c r="E538" i="1"/>
  <c r="AG537" i="1"/>
  <c r="AF537" i="1"/>
  <c r="AE537" i="1"/>
  <c r="V537" i="1"/>
  <c r="K537" i="1"/>
  <c r="G537" i="1"/>
  <c r="E537" i="1"/>
  <c r="N536" i="1"/>
  <c r="L536" i="1"/>
  <c r="K536" i="1"/>
  <c r="G536" i="1"/>
  <c r="E536" i="1"/>
  <c r="AG535" i="1"/>
  <c r="K535" i="1"/>
  <c r="G535" i="1"/>
  <c r="E535" i="1"/>
  <c r="K534" i="1"/>
  <c r="G534" i="1"/>
  <c r="E534" i="1"/>
  <c r="Z533" i="1"/>
  <c r="K533" i="1"/>
  <c r="G533" i="1"/>
  <c r="E533" i="1"/>
  <c r="K532" i="1"/>
  <c r="G532" i="1"/>
  <c r="E532" i="1"/>
  <c r="T531" i="1"/>
  <c r="P531" i="1"/>
  <c r="K531" i="1"/>
  <c r="G531" i="1"/>
  <c r="E531" i="1"/>
  <c r="Z530" i="1"/>
  <c r="G530" i="1"/>
  <c r="E530" i="1"/>
  <c r="AD529" i="1"/>
  <c r="AC529" i="1"/>
  <c r="X529" i="1"/>
  <c r="U529" i="1"/>
  <c r="K529" i="1"/>
  <c r="G529" i="1"/>
  <c r="E529" i="1"/>
  <c r="P528" i="1"/>
  <c r="K528" i="1"/>
  <c r="G528" i="1"/>
  <c r="E528" i="1"/>
  <c r="K527" i="1"/>
  <c r="G527" i="1"/>
  <c r="E527" i="1"/>
  <c r="K526" i="1"/>
  <c r="G526" i="1"/>
  <c r="E526" i="1"/>
  <c r="K525" i="1"/>
  <c r="G525" i="1"/>
  <c r="E525" i="1"/>
  <c r="AF524" i="1"/>
  <c r="AE524" i="1"/>
  <c r="AD524" i="1"/>
  <c r="Y524" i="1"/>
  <c r="N524" i="1"/>
  <c r="L524" i="1"/>
  <c r="K524" i="1"/>
  <c r="G524" i="1"/>
  <c r="E524" i="1"/>
  <c r="AF523" i="1"/>
  <c r="V523" i="1"/>
  <c r="K523" i="1"/>
  <c r="G523" i="1"/>
  <c r="E523" i="1"/>
  <c r="K522" i="1"/>
  <c r="G522" i="1"/>
  <c r="E522" i="1"/>
  <c r="Y521" i="1"/>
  <c r="X521" i="1"/>
  <c r="N521" i="1"/>
  <c r="L521" i="1"/>
  <c r="K521" i="1"/>
  <c r="G521" i="1"/>
  <c r="E521" i="1"/>
  <c r="Z520" i="1"/>
  <c r="Q520" i="1"/>
  <c r="K520" i="1"/>
  <c r="G520" i="1"/>
  <c r="E520" i="1"/>
  <c r="Z519" i="1"/>
  <c r="U519" i="1"/>
  <c r="K519" i="1"/>
  <c r="G519" i="1"/>
  <c r="E519" i="1"/>
  <c r="AF518" i="1"/>
  <c r="AE518" i="1"/>
  <c r="K518" i="1"/>
  <c r="G518" i="1"/>
  <c r="E518" i="1"/>
  <c r="T517" i="1"/>
  <c r="S517" i="1"/>
  <c r="P517" i="1"/>
  <c r="G517" i="1"/>
  <c r="E517" i="1"/>
  <c r="AD516" i="1"/>
  <c r="Y516" i="1"/>
  <c r="K516" i="1"/>
  <c r="G516" i="1"/>
  <c r="E516" i="1"/>
  <c r="AG515" i="1"/>
  <c r="K515" i="1"/>
  <c r="G515" i="1"/>
  <c r="E515" i="1"/>
  <c r="K514" i="1"/>
  <c r="G514" i="1"/>
  <c r="E514" i="1"/>
  <c r="K513" i="1"/>
  <c r="G513" i="1"/>
  <c r="E513" i="1"/>
  <c r="K512" i="1"/>
  <c r="G512" i="1"/>
  <c r="E512" i="1"/>
  <c r="K511" i="1"/>
  <c r="G511" i="1"/>
  <c r="E511" i="1"/>
  <c r="AD510" i="1"/>
  <c r="AC510" i="1"/>
  <c r="Y510" i="1"/>
  <c r="X510" i="1"/>
  <c r="K510" i="1"/>
  <c r="G510" i="1"/>
  <c r="E510" i="1"/>
  <c r="AD509" i="1"/>
  <c r="AC509" i="1"/>
  <c r="Y509" i="1"/>
  <c r="X509" i="1"/>
  <c r="K509" i="1"/>
  <c r="G509" i="1"/>
  <c r="E509" i="1"/>
  <c r="P508" i="1"/>
  <c r="K508" i="1"/>
  <c r="G508" i="1"/>
  <c r="E508" i="1"/>
  <c r="V507" i="1"/>
  <c r="G507" i="1"/>
  <c r="E507" i="1"/>
  <c r="K506" i="1"/>
  <c r="G506" i="1"/>
  <c r="E506" i="1"/>
  <c r="AD505" i="1"/>
  <c r="AC505" i="1"/>
  <c r="K505" i="1"/>
  <c r="G505" i="1"/>
  <c r="E505" i="1"/>
  <c r="AD504" i="1"/>
  <c r="AC504" i="1"/>
  <c r="Y504" i="1"/>
  <c r="X504" i="1"/>
  <c r="K504" i="1"/>
  <c r="G504" i="1"/>
  <c r="E504" i="1"/>
  <c r="K503" i="1"/>
  <c r="G503" i="1"/>
  <c r="E503" i="1"/>
  <c r="AB502" i="1"/>
  <c r="V502" i="1"/>
  <c r="O502" i="1"/>
  <c r="M502" i="1"/>
  <c r="K502" i="1"/>
  <c r="G502" i="1"/>
  <c r="E502" i="1"/>
  <c r="K501" i="1"/>
  <c r="G501" i="1"/>
  <c r="E501" i="1"/>
  <c r="K500" i="1"/>
  <c r="G500" i="1"/>
  <c r="E500" i="1"/>
  <c r="AG499" i="1"/>
  <c r="V499" i="1"/>
  <c r="K499" i="1"/>
  <c r="G499" i="1"/>
  <c r="E499" i="1"/>
  <c r="K498" i="1"/>
  <c r="G498" i="1"/>
  <c r="E498" i="1"/>
  <c r="AD497" i="1"/>
  <c r="AC497" i="1"/>
  <c r="Y497" i="1"/>
  <c r="X497" i="1"/>
  <c r="K497" i="1"/>
  <c r="G497" i="1"/>
  <c r="E497" i="1"/>
  <c r="AB496" i="1"/>
  <c r="K496" i="1"/>
  <c r="G496" i="1"/>
  <c r="E496" i="1"/>
  <c r="AG495" i="1"/>
  <c r="AA495" i="1"/>
  <c r="K495" i="1"/>
  <c r="G495" i="1"/>
  <c r="E495" i="1"/>
  <c r="AD494" i="1"/>
  <c r="AC494" i="1"/>
  <c r="Y494" i="1"/>
  <c r="X494" i="1"/>
  <c r="U494" i="1"/>
  <c r="G494" i="1"/>
  <c r="E494" i="1"/>
  <c r="AD493" i="1"/>
  <c r="AC493" i="1"/>
  <c r="Y493" i="1"/>
  <c r="X493" i="1"/>
  <c r="K493" i="1"/>
  <c r="G493" i="1"/>
  <c r="E493" i="1"/>
  <c r="AH492" i="1"/>
  <c r="AD492" i="1"/>
  <c r="AC492" i="1"/>
  <c r="Y492" i="1"/>
  <c r="X492" i="1"/>
  <c r="K492" i="1"/>
  <c r="G492" i="1"/>
  <c r="E492" i="1"/>
  <c r="K491" i="1"/>
  <c r="G491" i="1"/>
  <c r="E491" i="1"/>
  <c r="AB490" i="1"/>
  <c r="W490" i="1"/>
  <c r="K490" i="1"/>
  <c r="G490" i="1"/>
  <c r="E490" i="1"/>
  <c r="AF489" i="1"/>
  <c r="AA489" i="1"/>
  <c r="G489" i="1"/>
  <c r="E489" i="1"/>
  <c r="K488" i="1"/>
  <c r="G488" i="1"/>
  <c r="E488" i="1"/>
  <c r="K487" i="1"/>
  <c r="G487" i="1"/>
  <c r="E487" i="1"/>
  <c r="AD486" i="1"/>
  <c r="AC486" i="1"/>
  <c r="Y486" i="1"/>
  <c r="X486" i="1"/>
  <c r="K486" i="1"/>
  <c r="G486" i="1"/>
  <c r="E486" i="1"/>
  <c r="K485" i="1"/>
  <c r="G485" i="1"/>
  <c r="E485" i="1"/>
  <c r="AA484" i="1"/>
  <c r="K484" i="1"/>
  <c r="G484" i="1"/>
  <c r="E484" i="1"/>
  <c r="T483" i="1"/>
  <c r="P483" i="1"/>
  <c r="K483" i="1"/>
  <c r="G483" i="1"/>
  <c r="E483" i="1"/>
  <c r="AG482" i="1"/>
  <c r="K482" i="1"/>
  <c r="G482" i="1"/>
  <c r="E482" i="1"/>
  <c r="AC481" i="1"/>
  <c r="Y481" i="1"/>
  <c r="X481" i="1"/>
  <c r="K481" i="1"/>
  <c r="G481" i="1"/>
  <c r="E481" i="1"/>
  <c r="K480" i="1"/>
  <c r="G480" i="1"/>
  <c r="E480" i="1"/>
  <c r="K479" i="1"/>
  <c r="G479" i="1"/>
  <c r="E479" i="1"/>
  <c r="K478" i="1"/>
  <c r="G478" i="1"/>
  <c r="E478" i="1"/>
  <c r="AB477" i="1"/>
  <c r="V477" i="1"/>
  <c r="K477" i="1"/>
  <c r="G477" i="1"/>
  <c r="E477" i="1"/>
  <c r="AD476" i="1"/>
  <c r="AC476" i="1"/>
  <c r="Y476" i="1"/>
  <c r="X476" i="1"/>
  <c r="K476" i="1"/>
  <c r="G476" i="1"/>
  <c r="E476" i="1"/>
  <c r="AI475" i="1"/>
  <c r="AA475" i="1"/>
  <c r="Z475" i="1"/>
  <c r="U475" i="1"/>
  <c r="Q475" i="1"/>
  <c r="K475" i="1"/>
  <c r="G475" i="1"/>
  <c r="E475" i="1"/>
  <c r="AF474" i="1"/>
  <c r="AE474" i="1"/>
  <c r="AA474" i="1"/>
  <c r="O474" i="1"/>
  <c r="M474" i="1"/>
  <c r="K474" i="1"/>
  <c r="G474" i="1"/>
  <c r="E474" i="1"/>
  <c r="K473" i="1"/>
  <c r="G473" i="1"/>
  <c r="E473" i="1"/>
  <c r="AG472" i="1"/>
  <c r="AA472" i="1"/>
  <c r="K472" i="1"/>
  <c r="G472" i="1"/>
  <c r="E472" i="1"/>
  <c r="Z471" i="1"/>
  <c r="U471" i="1"/>
  <c r="L471" i="1"/>
  <c r="K471" i="1"/>
  <c r="G471" i="1"/>
  <c r="E471" i="1"/>
  <c r="K470" i="1"/>
  <c r="G470" i="1"/>
  <c r="E470" i="1"/>
  <c r="T469" i="1"/>
  <c r="S469" i="1"/>
  <c r="P469" i="1"/>
  <c r="K469" i="1"/>
  <c r="G469" i="1"/>
  <c r="E469" i="1"/>
  <c r="K468" i="1"/>
  <c r="G468" i="1"/>
  <c r="E468" i="1"/>
  <c r="K467" i="1"/>
  <c r="G467" i="1"/>
  <c r="E467" i="1"/>
  <c r="AB466" i="1"/>
  <c r="W466" i="1"/>
  <c r="K466" i="1"/>
  <c r="G466" i="1"/>
  <c r="E466" i="1"/>
  <c r="W465" i="1"/>
  <c r="K465" i="1"/>
  <c r="G465" i="1"/>
  <c r="E465" i="1"/>
  <c r="AF464" i="1"/>
  <c r="AE464" i="1"/>
  <c r="K464" i="1"/>
  <c r="G464" i="1"/>
  <c r="E464" i="1"/>
  <c r="AH463" i="1"/>
  <c r="G463" i="1"/>
  <c r="E463" i="1"/>
  <c r="K462" i="1"/>
  <c r="G462" i="1"/>
  <c r="E462" i="1"/>
  <c r="AG461" i="1"/>
  <c r="K461" i="1"/>
  <c r="G461" i="1"/>
  <c r="E461" i="1"/>
  <c r="K460" i="1"/>
  <c r="G460" i="1"/>
  <c r="E460" i="1"/>
  <c r="AA459" i="1"/>
  <c r="O459" i="1"/>
  <c r="M459" i="1"/>
  <c r="K459" i="1"/>
  <c r="G459" i="1"/>
  <c r="E459" i="1"/>
  <c r="K458" i="1"/>
  <c r="G458" i="1"/>
  <c r="E458" i="1"/>
  <c r="AE457" i="1"/>
  <c r="K457" i="1"/>
  <c r="G457" i="1"/>
  <c r="E457" i="1"/>
  <c r="AG456" i="1"/>
  <c r="W456" i="1"/>
  <c r="K456" i="1"/>
  <c r="G456" i="1"/>
  <c r="E456" i="1"/>
  <c r="AH455" i="1"/>
  <c r="K455" i="1"/>
  <c r="G455" i="1"/>
  <c r="E455" i="1"/>
  <c r="AD454" i="1"/>
  <c r="AC454" i="1"/>
  <c r="Y454" i="1"/>
  <c r="X454" i="1"/>
  <c r="K454" i="1"/>
  <c r="G454" i="1"/>
  <c r="E454" i="1"/>
  <c r="AD453" i="1"/>
  <c r="AC453" i="1"/>
  <c r="Y453" i="1"/>
  <c r="X453" i="1"/>
  <c r="K453" i="1"/>
  <c r="G453" i="1"/>
  <c r="E453" i="1"/>
  <c r="K452" i="1"/>
  <c r="G452" i="1"/>
  <c r="E452" i="1"/>
  <c r="K451" i="1"/>
  <c r="G451" i="1"/>
  <c r="E451" i="1"/>
  <c r="K450" i="1"/>
  <c r="G450" i="1"/>
  <c r="E450" i="1"/>
  <c r="AA449" i="1"/>
  <c r="K449" i="1"/>
  <c r="G449" i="1"/>
  <c r="E449" i="1"/>
  <c r="AB448" i="1"/>
  <c r="K448" i="1"/>
  <c r="G448" i="1"/>
  <c r="E448" i="1"/>
  <c r="K447" i="1"/>
  <c r="G447" i="1"/>
  <c r="E447" i="1"/>
  <c r="K446" i="1"/>
  <c r="G446" i="1"/>
  <c r="E446" i="1"/>
  <c r="Y445" i="1"/>
  <c r="K445" i="1"/>
  <c r="G445" i="1"/>
  <c r="E445" i="1"/>
  <c r="AB444" i="1"/>
  <c r="K444" i="1"/>
  <c r="G444" i="1"/>
  <c r="E444" i="1"/>
  <c r="AD443" i="1"/>
  <c r="Y443" i="1"/>
  <c r="K443" i="1"/>
  <c r="G443" i="1"/>
  <c r="E443" i="1"/>
  <c r="K442" i="1"/>
  <c r="E442" i="1"/>
  <c r="K441" i="1"/>
  <c r="G441" i="1"/>
  <c r="E441" i="1"/>
  <c r="AD440" i="1"/>
  <c r="Y440" i="1"/>
  <c r="L440" i="1"/>
  <c r="K440" i="1"/>
  <c r="G440" i="1"/>
  <c r="E440" i="1"/>
  <c r="AF439" i="1"/>
  <c r="AE439" i="1"/>
  <c r="K439" i="1"/>
  <c r="G439" i="1"/>
  <c r="E439" i="1"/>
  <c r="R438" i="1"/>
  <c r="P438" i="1"/>
  <c r="K438" i="1"/>
  <c r="G438" i="1"/>
  <c r="E438" i="1"/>
  <c r="V437" i="1"/>
  <c r="K437" i="1"/>
  <c r="G437" i="1"/>
  <c r="E437" i="1"/>
  <c r="Z436" i="1"/>
  <c r="U436" i="1"/>
  <c r="Q436" i="1"/>
  <c r="K436" i="1"/>
  <c r="G436" i="1"/>
  <c r="E436" i="1"/>
  <c r="AH435" i="1"/>
  <c r="G435" i="1"/>
  <c r="E435" i="1"/>
  <c r="AG434" i="1"/>
  <c r="Z434" i="1"/>
  <c r="G434" i="1"/>
  <c r="E434" i="1"/>
  <c r="K433" i="1"/>
  <c r="G433" i="1"/>
  <c r="E433" i="1"/>
  <c r="V432" i="1"/>
  <c r="K432" i="1"/>
  <c r="G432" i="1"/>
  <c r="E432" i="1"/>
  <c r="AH431" i="1"/>
  <c r="G431" i="1"/>
  <c r="E431" i="1"/>
  <c r="AH430" i="1"/>
  <c r="AG430" i="1"/>
  <c r="AB430" i="1"/>
  <c r="V430" i="1"/>
  <c r="K430" i="1"/>
  <c r="G430" i="1"/>
  <c r="E430" i="1"/>
  <c r="AD429" i="1"/>
  <c r="AC429" i="1"/>
  <c r="X429" i="1"/>
  <c r="K429" i="1"/>
  <c r="G429" i="1"/>
  <c r="E429" i="1"/>
  <c r="K428" i="1"/>
  <c r="G428" i="1"/>
  <c r="E428" i="1"/>
  <c r="K427" i="1"/>
  <c r="G427" i="1"/>
  <c r="E427" i="1"/>
  <c r="AH426" i="1"/>
  <c r="AG426" i="1"/>
  <c r="O426" i="1"/>
  <c r="M426" i="1"/>
  <c r="K426" i="1"/>
  <c r="G426" i="1"/>
  <c r="E426" i="1"/>
  <c r="AG425" i="1"/>
  <c r="AE425" i="1"/>
  <c r="K425" i="1"/>
  <c r="G425" i="1"/>
  <c r="E425" i="1"/>
  <c r="AH424" i="1"/>
  <c r="AG424" i="1"/>
  <c r="AD424" i="1"/>
  <c r="AC424" i="1"/>
  <c r="X424" i="1"/>
  <c r="K424" i="1"/>
  <c r="G424" i="1"/>
  <c r="E424" i="1"/>
  <c r="Z423" i="1"/>
  <c r="U423" i="1"/>
  <c r="Q423" i="1"/>
  <c r="K423" i="1"/>
  <c r="G423" i="1"/>
  <c r="E423" i="1"/>
  <c r="AG422" i="1"/>
  <c r="G422" i="1"/>
  <c r="E422" i="1"/>
  <c r="AA421" i="1"/>
  <c r="V421" i="1"/>
  <c r="K421" i="1"/>
  <c r="G421" i="1"/>
  <c r="E421" i="1"/>
  <c r="K420" i="1"/>
  <c r="G420" i="1"/>
  <c r="E420" i="1"/>
  <c r="AA419" i="1"/>
  <c r="V419" i="1"/>
  <c r="K419" i="1"/>
  <c r="G419" i="1"/>
  <c r="E419" i="1"/>
  <c r="K418" i="1"/>
  <c r="G418" i="1"/>
  <c r="E418" i="1"/>
  <c r="V417" i="1"/>
  <c r="G417" i="1"/>
  <c r="E417" i="1"/>
  <c r="AD416" i="1"/>
  <c r="AC416" i="1"/>
  <c r="Y416" i="1"/>
  <c r="X416" i="1"/>
  <c r="K416" i="1"/>
  <c r="G416" i="1"/>
  <c r="E416" i="1"/>
  <c r="AE415" i="1"/>
  <c r="AA415" i="1"/>
  <c r="K415" i="1"/>
  <c r="G415" i="1"/>
  <c r="E415" i="1"/>
  <c r="AF414" i="1"/>
  <c r="AE414" i="1"/>
  <c r="K414" i="1"/>
  <c r="G414" i="1"/>
  <c r="E414" i="1"/>
  <c r="AI413" i="1"/>
  <c r="AG413" i="1"/>
  <c r="Z413" i="1"/>
  <c r="K413" i="1"/>
  <c r="G413" i="1"/>
  <c r="E413" i="1"/>
  <c r="AD412" i="1"/>
  <c r="AC412" i="1"/>
  <c r="Y412" i="1"/>
  <c r="X412" i="1"/>
  <c r="K412" i="1"/>
  <c r="G412" i="1"/>
  <c r="E412" i="1"/>
  <c r="AG411" i="1"/>
  <c r="AA411" i="1"/>
  <c r="V411" i="1"/>
  <c r="K411" i="1"/>
  <c r="G411" i="1"/>
  <c r="E411" i="1"/>
  <c r="AD410" i="1"/>
  <c r="Y410" i="1"/>
  <c r="N410" i="1"/>
  <c r="L410" i="1"/>
  <c r="K410" i="1"/>
  <c r="G410" i="1"/>
  <c r="E410" i="1"/>
  <c r="AG409" i="1"/>
  <c r="V409" i="1"/>
  <c r="G409" i="1"/>
  <c r="E409" i="1"/>
  <c r="AH408" i="1"/>
  <c r="AG408" i="1"/>
  <c r="AF408" i="1"/>
  <c r="AE408" i="1"/>
  <c r="K408" i="1"/>
  <c r="G408" i="1"/>
  <c r="E408" i="1"/>
  <c r="K407" i="1"/>
  <c r="G407" i="1"/>
  <c r="E407" i="1"/>
  <c r="AG406" i="1"/>
  <c r="AE406" i="1"/>
  <c r="AA406" i="1"/>
  <c r="O406" i="1"/>
  <c r="M406" i="1"/>
  <c r="K406" i="1"/>
  <c r="G406" i="1"/>
  <c r="E406" i="1"/>
  <c r="K405" i="1"/>
  <c r="G405" i="1"/>
  <c r="E405" i="1"/>
  <c r="AF404" i="1"/>
  <c r="AE404" i="1"/>
  <c r="V404" i="1"/>
  <c r="K404" i="1"/>
  <c r="G404" i="1"/>
  <c r="E404" i="1"/>
  <c r="K403" i="1"/>
  <c r="G403" i="1"/>
  <c r="E403" i="1"/>
  <c r="AF402" i="1"/>
  <c r="O402" i="1"/>
  <c r="M402" i="1"/>
  <c r="K402" i="1"/>
  <c r="G402" i="1"/>
  <c r="E402" i="1"/>
  <c r="AF401" i="1"/>
  <c r="AE401" i="1"/>
  <c r="V401" i="1"/>
  <c r="K401" i="1"/>
  <c r="G401" i="1"/>
  <c r="E401" i="1"/>
  <c r="K400" i="1"/>
  <c r="G400" i="1"/>
  <c r="E400" i="1"/>
  <c r="AB399" i="1"/>
  <c r="W399" i="1"/>
  <c r="K399" i="1"/>
  <c r="G399" i="1"/>
  <c r="E399" i="1"/>
  <c r="AG398" i="1"/>
  <c r="V398" i="1"/>
  <c r="K398" i="1"/>
  <c r="G398" i="1"/>
  <c r="E398" i="1"/>
  <c r="AF397" i="1"/>
  <c r="AE397" i="1"/>
  <c r="K397" i="1"/>
  <c r="G397" i="1"/>
  <c r="E397" i="1"/>
  <c r="K396" i="1"/>
  <c r="G396" i="1"/>
  <c r="E396" i="1"/>
  <c r="AG395" i="1"/>
  <c r="Z395" i="1"/>
  <c r="U395" i="1"/>
  <c r="Q395" i="1"/>
  <c r="G395" i="1"/>
  <c r="E395" i="1"/>
  <c r="AH394" i="1"/>
  <c r="AG394" i="1"/>
  <c r="Y394" i="1"/>
  <c r="V394" i="1"/>
  <c r="K394" i="1"/>
  <c r="G394" i="1"/>
  <c r="E394" i="1"/>
  <c r="AD393" i="1"/>
  <c r="Y393" i="1"/>
  <c r="K393" i="1"/>
  <c r="G393" i="1"/>
  <c r="E393" i="1"/>
  <c r="AE392" i="1"/>
  <c r="V392" i="1"/>
  <c r="K392" i="1"/>
  <c r="G392" i="1"/>
  <c r="E392" i="1"/>
  <c r="AE391" i="1"/>
  <c r="K391" i="1"/>
  <c r="G391" i="1"/>
  <c r="E391" i="1"/>
  <c r="AB390" i="1"/>
  <c r="W390" i="1"/>
  <c r="K390" i="1"/>
  <c r="G390" i="1"/>
  <c r="E390" i="1"/>
  <c r="AG389" i="1"/>
  <c r="V389" i="1"/>
  <c r="K389" i="1"/>
  <c r="G389" i="1"/>
  <c r="E389" i="1"/>
  <c r="Y388" i="1"/>
  <c r="K388" i="1"/>
  <c r="G388" i="1"/>
  <c r="E388" i="1"/>
  <c r="AH387" i="1"/>
  <c r="AG387" i="1"/>
  <c r="AF387" i="1"/>
  <c r="AE387" i="1"/>
  <c r="K387" i="1"/>
  <c r="G387" i="1"/>
  <c r="E387" i="1"/>
  <c r="AD386" i="1"/>
  <c r="Y386" i="1"/>
  <c r="K386" i="1"/>
  <c r="G386" i="1"/>
  <c r="E386" i="1"/>
  <c r="AF385" i="1"/>
  <c r="AE385" i="1"/>
  <c r="K385" i="1"/>
  <c r="G385" i="1"/>
  <c r="E385" i="1"/>
  <c r="AH384" i="1"/>
  <c r="V384" i="1"/>
  <c r="O384" i="1"/>
  <c r="M384" i="1"/>
  <c r="K384" i="1"/>
  <c r="G384" i="1"/>
  <c r="E384" i="1"/>
  <c r="K383" i="1"/>
  <c r="G383" i="1"/>
  <c r="E383" i="1"/>
  <c r="AD382" i="1"/>
  <c r="AC382" i="1"/>
  <c r="Y382" i="1"/>
  <c r="X382" i="1"/>
  <c r="K382" i="1"/>
  <c r="G382" i="1"/>
  <c r="E382" i="1"/>
  <c r="AG381" i="1"/>
  <c r="AF381" i="1"/>
  <c r="AE381" i="1"/>
  <c r="V381" i="1"/>
  <c r="K381" i="1"/>
  <c r="G381" i="1"/>
  <c r="E381" i="1"/>
  <c r="AG380" i="1"/>
  <c r="V380" i="1"/>
  <c r="K380" i="1"/>
  <c r="G380" i="1"/>
  <c r="E380" i="1"/>
  <c r="AG379" i="1"/>
  <c r="AA379" i="1"/>
  <c r="K379" i="1"/>
  <c r="G379" i="1"/>
  <c r="E379" i="1"/>
  <c r="K378" i="1"/>
  <c r="G378" i="1"/>
  <c r="E378" i="1"/>
  <c r="AF377" i="1"/>
  <c r="AE377" i="1"/>
  <c r="V377" i="1"/>
  <c r="K377" i="1"/>
  <c r="G377" i="1"/>
  <c r="E377" i="1"/>
  <c r="K376" i="1"/>
  <c r="G376" i="1"/>
  <c r="E376" i="1"/>
  <c r="K375" i="1"/>
  <c r="G375" i="1"/>
  <c r="E375" i="1"/>
  <c r="K374" i="1"/>
  <c r="G374" i="1"/>
  <c r="E374" i="1"/>
  <c r="AI373" i="1"/>
  <c r="Z373" i="1"/>
  <c r="U373" i="1"/>
  <c r="Q373" i="1"/>
  <c r="K373" i="1"/>
  <c r="G373" i="1"/>
  <c r="E373" i="1"/>
  <c r="V372" i="1"/>
  <c r="O372" i="1"/>
  <c r="M372" i="1"/>
  <c r="K372" i="1"/>
  <c r="G372" i="1"/>
  <c r="E372" i="1"/>
  <c r="AD371" i="1"/>
  <c r="AC371" i="1"/>
  <c r="Y371" i="1"/>
  <c r="X371" i="1"/>
  <c r="K371" i="1"/>
  <c r="G371" i="1"/>
  <c r="E371" i="1"/>
  <c r="Z370" i="1"/>
  <c r="U370" i="1"/>
  <c r="Q370" i="1"/>
  <c r="G370" i="1"/>
  <c r="E370" i="1"/>
  <c r="AA369" i="1"/>
  <c r="K369" i="1"/>
  <c r="G369" i="1"/>
  <c r="E369" i="1"/>
  <c r="AH368" i="1"/>
  <c r="AG368" i="1"/>
  <c r="AF368" i="1"/>
  <c r="AE368" i="1"/>
  <c r="K368" i="1"/>
  <c r="G368" i="1"/>
  <c r="E368" i="1"/>
  <c r="AF367" i="1"/>
  <c r="AE367" i="1"/>
  <c r="K367" i="1"/>
  <c r="G367" i="1"/>
  <c r="E367" i="1"/>
  <c r="U366" i="1"/>
  <c r="Q366" i="1"/>
  <c r="K366" i="1"/>
  <c r="G366" i="1"/>
  <c r="E366" i="1"/>
  <c r="Z365" i="1"/>
  <c r="K365" i="1"/>
  <c r="G365" i="1"/>
  <c r="E365" i="1"/>
  <c r="K364" i="1"/>
  <c r="G364" i="1"/>
  <c r="E364" i="1"/>
  <c r="W363" i="1"/>
  <c r="K363" i="1"/>
  <c r="G363" i="1"/>
  <c r="E363" i="1"/>
  <c r="AD362" i="1"/>
  <c r="Y362" i="1"/>
  <c r="N362" i="1"/>
  <c r="L362" i="1"/>
  <c r="K362" i="1"/>
  <c r="G362" i="1"/>
  <c r="E362" i="1"/>
  <c r="AG361" i="1"/>
  <c r="K361" i="1"/>
  <c r="G361" i="1"/>
  <c r="E361" i="1"/>
  <c r="K360" i="1"/>
  <c r="G360" i="1"/>
  <c r="E360" i="1"/>
  <c r="AB359" i="1"/>
  <c r="K359" i="1"/>
  <c r="G359" i="1"/>
  <c r="E359" i="1"/>
  <c r="AD358" i="1"/>
  <c r="AC358" i="1"/>
  <c r="X358" i="1"/>
  <c r="K358" i="1"/>
  <c r="G358" i="1"/>
  <c r="E358" i="1"/>
  <c r="W357" i="1"/>
  <c r="G357" i="1"/>
  <c r="E357" i="1"/>
  <c r="AH356" i="1"/>
  <c r="AB356" i="1"/>
  <c r="K356" i="1"/>
  <c r="G356" i="1"/>
  <c r="E356" i="1"/>
  <c r="V355" i="1"/>
  <c r="K355" i="1"/>
  <c r="G355" i="1"/>
  <c r="E355" i="1"/>
  <c r="K354" i="1"/>
  <c r="G354" i="1"/>
  <c r="E354" i="1"/>
  <c r="AF353" i="1"/>
  <c r="AE353" i="1"/>
  <c r="AA353" i="1"/>
  <c r="V353" i="1"/>
  <c r="K353" i="1"/>
  <c r="G353" i="1"/>
  <c r="E353" i="1"/>
  <c r="K352" i="1"/>
  <c r="G352" i="1"/>
  <c r="E352" i="1"/>
  <c r="K351" i="1"/>
  <c r="G351" i="1"/>
  <c r="E351" i="1"/>
  <c r="AG350" i="1"/>
  <c r="Z350" i="1"/>
  <c r="U350" i="1"/>
  <c r="Q350" i="1"/>
  <c r="K350" i="1"/>
  <c r="G350" i="1"/>
  <c r="E350" i="1"/>
  <c r="K349" i="1"/>
  <c r="G349" i="1"/>
  <c r="E349" i="1"/>
  <c r="AB348" i="1"/>
  <c r="W348" i="1"/>
  <c r="K348" i="1"/>
  <c r="G348" i="1"/>
  <c r="E348" i="1"/>
  <c r="K347" i="1"/>
  <c r="G347" i="1"/>
  <c r="E347" i="1"/>
  <c r="K346" i="1"/>
  <c r="G346" i="1"/>
  <c r="E346" i="1"/>
  <c r="K345" i="1"/>
  <c r="G345" i="1"/>
  <c r="E345" i="1"/>
  <c r="K344" i="1"/>
  <c r="G344" i="1"/>
  <c r="E344" i="1"/>
  <c r="AG343" i="1"/>
  <c r="AF343" i="1"/>
  <c r="AE343" i="1"/>
  <c r="V343" i="1"/>
  <c r="K343" i="1"/>
  <c r="G343" i="1"/>
  <c r="E343" i="1"/>
  <c r="K342" i="1"/>
  <c r="G342" i="1"/>
  <c r="E342" i="1"/>
  <c r="K341" i="1"/>
  <c r="G341" i="1"/>
  <c r="E341" i="1"/>
  <c r="AH340" i="1"/>
  <c r="AG340" i="1"/>
  <c r="AA340" i="1"/>
  <c r="V340" i="1"/>
  <c r="K340" i="1"/>
  <c r="G340" i="1"/>
  <c r="E340" i="1"/>
  <c r="AG339" i="1"/>
  <c r="V339" i="1"/>
  <c r="K339" i="1"/>
  <c r="G339" i="1"/>
  <c r="E339" i="1"/>
  <c r="AA338" i="1"/>
  <c r="K338" i="1"/>
  <c r="G338" i="1"/>
  <c r="E338" i="1"/>
  <c r="AH337" i="1"/>
  <c r="AA337" i="1"/>
  <c r="N337" i="1"/>
  <c r="L337" i="1"/>
  <c r="K337" i="1"/>
  <c r="G337" i="1"/>
  <c r="E337" i="1"/>
  <c r="Z336" i="1"/>
  <c r="U336" i="1"/>
  <c r="K336" i="1"/>
  <c r="G336" i="1"/>
  <c r="E336" i="1"/>
  <c r="AG335" i="1"/>
  <c r="K335" i="1"/>
  <c r="G335" i="1"/>
  <c r="E335" i="1"/>
  <c r="AH334" i="1"/>
  <c r="AG334" i="1"/>
  <c r="AA334" i="1"/>
  <c r="O334" i="1"/>
  <c r="M334" i="1"/>
  <c r="K334" i="1"/>
  <c r="G334" i="1"/>
  <c r="E334" i="1"/>
  <c r="AF333" i="1"/>
  <c r="AE333" i="1"/>
  <c r="AB333" i="1"/>
  <c r="V333" i="1"/>
  <c r="K333" i="1"/>
  <c r="G333" i="1"/>
  <c r="E333" i="1"/>
  <c r="Z332" i="1"/>
  <c r="K332" i="1"/>
  <c r="G332" i="1"/>
  <c r="E332" i="1"/>
  <c r="AG331" i="1"/>
  <c r="AA331" i="1"/>
  <c r="O331" i="1"/>
  <c r="M331" i="1"/>
  <c r="K331" i="1"/>
  <c r="G331" i="1"/>
  <c r="E331" i="1"/>
  <c r="AG330" i="1"/>
  <c r="Z330" i="1"/>
  <c r="U330" i="1"/>
  <c r="K330" i="1"/>
  <c r="G330" i="1"/>
  <c r="E330" i="1"/>
  <c r="AD329" i="1"/>
  <c r="Y329" i="1"/>
  <c r="K329" i="1"/>
  <c r="G329" i="1"/>
  <c r="E329" i="1"/>
  <c r="AD328" i="1"/>
  <c r="AC328" i="1"/>
  <c r="Y328" i="1"/>
  <c r="X328" i="1"/>
  <c r="K328" i="1"/>
  <c r="G328" i="1"/>
  <c r="E328" i="1"/>
  <c r="AG327" i="1"/>
  <c r="K327" i="1"/>
  <c r="G327" i="1"/>
  <c r="E327" i="1"/>
  <c r="AH326" i="1"/>
  <c r="AB326" i="1"/>
  <c r="V326" i="1"/>
  <c r="K326" i="1"/>
  <c r="G326" i="1"/>
  <c r="E326" i="1"/>
  <c r="AA325" i="1"/>
  <c r="V325" i="1"/>
  <c r="G325" i="1"/>
  <c r="E325" i="1"/>
  <c r="K324" i="1"/>
  <c r="G324" i="1"/>
  <c r="E324" i="1"/>
  <c r="AD323" i="1"/>
  <c r="AC323" i="1"/>
  <c r="X323" i="1"/>
  <c r="K323" i="1"/>
  <c r="G323" i="1"/>
  <c r="E323" i="1"/>
  <c r="K322" i="1"/>
  <c r="G322" i="1"/>
  <c r="E322" i="1"/>
  <c r="Y321" i="1"/>
  <c r="X321" i="1"/>
  <c r="K321" i="1"/>
  <c r="G321" i="1"/>
  <c r="E321" i="1"/>
  <c r="AD320" i="1"/>
  <c r="Y320" i="1"/>
  <c r="N320" i="1"/>
  <c r="L320" i="1"/>
  <c r="K320" i="1"/>
  <c r="G320" i="1"/>
  <c r="E320" i="1"/>
  <c r="AH319" i="1"/>
  <c r="AG319" i="1"/>
  <c r="AA319" i="1"/>
  <c r="V319" i="1"/>
  <c r="O319" i="1"/>
  <c r="M319" i="1"/>
  <c r="K319" i="1"/>
  <c r="G319" i="1"/>
  <c r="E319" i="1"/>
  <c r="AH318" i="1"/>
  <c r="AG318" i="1"/>
  <c r="AF318" i="1"/>
  <c r="V318" i="1"/>
  <c r="K318" i="1"/>
  <c r="G318" i="1"/>
  <c r="E318" i="1"/>
  <c r="K317" i="1"/>
  <c r="E317" i="1"/>
  <c r="AA316" i="1"/>
  <c r="V316" i="1"/>
  <c r="K316" i="1"/>
  <c r="G316" i="1"/>
  <c r="E316" i="1"/>
  <c r="AA315" i="1"/>
  <c r="V315" i="1"/>
  <c r="O315" i="1"/>
  <c r="M315" i="1"/>
  <c r="K315" i="1"/>
  <c r="G315" i="1"/>
  <c r="E315" i="1"/>
  <c r="V314" i="1"/>
  <c r="K314" i="1"/>
  <c r="G314" i="1"/>
  <c r="E314" i="1"/>
  <c r="AE313" i="1"/>
  <c r="K313" i="1"/>
  <c r="G313" i="1"/>
  <c r="E313" i="1"/>
  <c r="AH312" i="1"/>
  <c r="AG312" i="1"/>
  <c r="AF312" i="1"/>
  <c r="AA312" i="1"/>
  <c r="V312" i="1"/>
  <c r="K312" i="1"/>
  <c r="G312" i="1"/>
  <c r="E312" i="1"/>
  <c r="AH311" i="1"/>
  <c r="AA311" i="1"/>
  <c r="O311" i="1"/>
  <c r="M311" i="1"/>
  <c r="K311" i="1"/>
  <c r="G311" i="1"/>
  <c r="E311" i="1"/>
  <c r="K310" i="1"/>
  <c r="G310" i="1"/>
  <c r="E310" i="1"/>
  <c r="M309" i="1"/>
  <c r="K309" i="1"/>
  <c r="G309" i="1"/>
  <c r="E309" i="1"/>
  <c r="AH308" i="1"/>
  <c r="AD308" i="1"/>
  <c r="AC308" i="1"/>
  <c r="Y308" i="1"/>
  <c r="X308" i="1"/>
  <c r="K308" i="1"/>
  <c r="G308" i="1"/>
  <c r="E308" i="1"/>
  <c r="K307" i="1"/>
  <c r="G307" i="1"/>
  <c r="E307" i="1"/>
  <c r="AB306" i="1"/>
  <c r="K306" i="1"/>
  <c r="G306" i="1"/>
  <c r="E306" i="1"/>
  <c r="U305" i="1"/>
  <c r="Q305" i="1"/>
  <c r="K305" i="1"/>
  <c r="G305" i="1"/>
  <c r="E305" i="1"/>
  <c r="AB304" i="1"/>
  <c r="W304" i="1"/>
  <c r="K304" i="1"/>
  <c r="G304" i="1"/>
  <c r="E304" i="1"/>
  <c r="AB303" i="1"/>
  <c r="O303" i="1"/>
  <c r="M303" i="1"/>
  <c r="K303" i="1"/>
  <c r="G303" i="1"/>
  <c r="E303" i="1"/>
  <c r="AG302" i="1"/>
  <c r="AB302" i="1"/>
  <c r="W302" i="1"/>
  <c r="K302" i="1"/>
  <c r="G302" i="1"/>
  <c r="E302" i="1"/>
  <c r="Y301" i="1"/>
  <c r="X301" i="1"/>
  <c r="K301" i="1"/>
  <c r="G301" i="1"/>
  <c r="E301" i="1"/>
  <c r="K300" i="1"/>
  <c r="E300" i="1"/>
  <c r="K299" i="1"/>
  <c r="G299" i="1"/>
  <c r="E299" i="1"/>
  <c r="K298" i="1"/>
  <c r="G298" i="1"/>
  <c r="E298" i="1"/>
  <c r="AG297" i="1"/>
  <c r="AE297" i="1"/>
  <c r="K297" i="1"/>
  <c r="G297" i="1"/>
  <c r="E297" i="1"/>
  <c r="AA296" i="1"/>
  <c r="V296" i="1"/>
  <c r="O296" i="1"/>
  <c r="M296" i="1"/>
  <c r="K296" i="1"/>
  <c r="G296" i="1"/>
  <c r="E296" i="1"/>
  <c r="N295" i="1"/>
  <c r="L295" i="1"/>
  <c r="G295" i="1"/>
  <c r="E295" i="1"/>
  <c r="K294" i="1"/>
  <c r="G294" i="1"/>
  <c r="E294" i="1"/>
  <c r="AF293" i="1"/>
  <c r="AE293" i="1"/>
  <c r="K293" i="1"/>
  <c r="G293" i="1"/>
  <c r="E293" i="1"/>
  <c r="V292" i="1"/>
  <c r="G292" i="1"/>
  <c r="E292" i="1"/>
  <c r="K291" i="1"/>
  <c r="G291" i="1"/>
  <c r="E291" i="1"/>
  <c r="K290" i="1"/>
  <c r="G290" i="1"/>
  <c r="E290" i="1"/>
  <c r="AF289" i="1"/>
  <c r="AE289" i="1"/>
  <c r="K289" i="1"/>
  <c r="G289" i="1"/>
  <c r="E289" i="1"/>
  <c r="K288" i="1"/>
  <c r="G288" i="1"/>
  <c r="E288" i="1"/>
  <c r="K287" i="1"/>
  <c r="E287" i="1"/>
  <c r="AG286" i="1"/>
  <c r="AD286" i="1"/>
  <c r="Y286" i="1"/>
  <c r="N286" i="1"/>
  <c r="K286" i="1"/>
  <c r="G286" i="1"/>
  <c r="E286" i="1"/>
  <c r="AB285" i="1"/>
  <c r="K285" i="1"/>
  <c r="G285" i="1"/>
  <c r="E285" i="1"/>
  <c r="Y284" i="1"/>
  <c r="X284" i="1"/>
  <c r="K284" i="1"/>
  <c r="G284" i="1"/>
  <c r="E284" i="1"/>
  <c r="AG283" i="1"/>
  <c r="AF283" i="1"/>
  <c r="AE283" i="1"/>
  <c r="AA283" i="1"/>
  <c r="O283" i="1"/>
  <c r="M283" i="1"/>
  <c r="K283" i="1"/>
  <c r="G283" i="1"/>
  <c r="E283" i="1"/>
  <c r="AA282" i="1"/>
  <c r="Z282" i="1"/>
  <c r="U282" i="1"/>
  <c r="Q282" i="1"/>
  <c r="K282" i="1"/>
  <c r="G282" i="1"/>
  <c r="E282" i="1"/>
  <c r="AH281" i="1"/>
  <c r="AF281" i="1"/>
  <c r="AA281" i="1"/>
  <c r="K281" i="1"/>
  <c r="G281" i="1"/>
  <c r="E281" i="1"/>
  <c r="M280" i="1"/>
  <c r="G280" i="1"/>
  <c r="E280" i="1"/>
  <c r="K279" i="1"/>
  <c r="G279" i="1"/>
  <c r="E279" i="1"/>
  <c r="K278" i="1"/>
  <c r="G278" i="1"/>
  <c r="E278" i="1"/>
  <c r="K277" i="1"/>
  <c r="G277" i="1"/>
  <c r="E277" i="1"/>
  <c r="AG276" i="1"/>
  <c r="G276" i="1"/>
  <c r="E276" i="1"/>
  <c r="V275" i="1"/>
  <c r="G275" i="1"/>
  <c r="E275" i="1"/>
  <c r="Z274" i="1"/>
  <c r="Q274" i="1"/>
  <c r="K274" i="1"/>
  <c r="G274" i="1"/>
  <c r="E274" i="1"/>
  <c r="AD273" i="1"/>
  <c r="Y273" i="1"/>
  <c r="N273" i="1"/>
  <c r="L273" i="1"/>
  <c r="K273" i="1"/>
  <c r="G273" i="1"/>
  <c r="E273" i="1"/>
  <c r="AH272" i="1"/>
  <c r="AD272" i="1"/>
  <c r="AC272" i="1"/>
  <c r="N272" i="1"/>
  <c r="K272" i="1"/>
  <c r="G272" i="1"/>
  <c r="E272" i="1"/>
  <c r="AG271" i="1"/>
  <c r="O271" i="1"/>
  <c r="M271" i="1"/>
  <c r="K271" i="1"/>
  <c r="G271" i="1"/>
  <c r="E271" i="1"/>
  <c r="Z270" i="1"/>
  <c r="U270" i="1"/>
  <c r="K270" i="1"/>
  <c r="G270" i="1"/>
  <c r="E270" i="1"/>
  <c r="AG269" i="1"/>
  <c r="AF269" i="1"/>
  <c r="AE269" i="1"/>
  <c r="AA269" i="1"/>
  <c r="K269" i="1"/>
  <c r="G269" i="1"/>
  <c r="E269" i="1"/>
  <c r="K268" i="1"/>
  <c r="G268" i="1"/>
  <c r="E268" i="1"/>
  <c r="AG267" i="1"/>
  <c r="AB267" i="1"/>
  <c r="K267" i="1"/>
  <c r="G267" i="1"/>
  <c r="E267" i="1"/>
  <c r="K266" i="1"/>
  <c r="G266" i="1"/>
  <c r="E266" i="1"/>
  <c r="AH265" i="1"/>
  <c r="AA265" i="1"/>
  <c r="K265" i="1"/>
  <c r="G265" i="1"/>
  <c r="E265" i="1"/>
  <c r="AB264" i="1"/>
  <c r="K264" i="1"/>
  <c r="G264" i="1"/>
  <c r="E264" i="1"/>
  <c r="AI263" i="1"/>
  <c r="AG263" i="1"/>
  <c r="Z263" i="1"/>
  <c r="U263" i="1"/>
  <c r="Q263" i="1"/>
  <c r="N263" i="1"/>
  <c r="L263" i="1"/>
  <c r="K263" i="1"/>
  <c r="G263" i="1"/>
  <c r="E263" i="1"/>
  <c r="AF262" i="1"/>
  <c r="AA262" i="1"/>
  <c r="V262" i="1"/>
  <c r="O262" i="1"/>
  <c r="M262" i="1"/>
  <c r="K262" i="1"/>
  <c r="G262" i="1"/>
  <c r="E262" i="1"/>
  <c r="AH261" i="1"/>
  <c r="AG261" i="1"/>
  <c r="K261" i="1"/>
  <c r="G261" i="1"/>
  <c r="E261" i="1"/>
  <c r="AH260" i="1"/>
  <c r="AA260" i="1"/>
  <c r="K260" i="1"/>
  <c r="G260" i="1"/>
  <c r="E260" i="1"/>
  <c r="AI259" i="1"/>
  <c r="AG259" i="1"/>
  <c r="U259" i="1"/>
  <c r="K259" i="1"/>
  <c r="G259" i="1"/>
  <c r="E259" i="1"/>
  <c r="Z258" i="1"/>
  <c r="U258" i="1"/>
  <c r="Q258" i="1"/>
  <c r="K258" i="1"/>
  <c r="G258" i="1"/>
  <c r="E258" i="1"/>
  <c r="AH257" i="1"/>
  <c r="AA257" i="1"/>
  <c r="N257" i="1"/>
  <c r="L257" i="1"/>
  <c r="G257" i="1"/>
  <c r="E257" i="1"/>
  <c r="AA256" i="1"/>
  <c r="T256" i="1"/>
  <c r="S256" i="1"/>
  <c r="P256" i="1"/>
  <c r="K256" i="1"/>
  <c r="G256" i="1"/>
  <c r="E256" i="1"/>
  <c r="AD255" i="1"/>
  <c r="Y255" i="1"/>
  <c r="K255" i="1"/>
  <c r="G255" i="1"/>
  <c r="E255" i="1"/>
  <c r="AH254" i="1"/>
  <c r="AD254" i="1"/>
  <c r="AA254" i="1"/>
  <c r="N254" i="1"/>
  <c r="L254" i="1"/>
  <c r="K254" i="1"/>
  <c r="G254" i="1"/>
  <c r="E254" i="1"/>
  <c r="AF253" i="1"/>
  <c r="AE253" i="1"/>
  <c r="K253" i="1"/>
  <c r="G253" i="1"/>
  <c r="E253" i="1"/>
  <c r="AH252" i="1"/>
  <c r="AG252" i="1"/>
  <c r="AA252" i="1"/>
  <c r="O252" i="1"/>
  <c r="M252" i="1"/>
  <c r="K252" i="1"/>
  <c r="G252" i="1"/>
  <c r="E252" i="1"/>
  <c r="AG251" i="1"/>
  <c r="AA251" i="1"/>
  <c r="V251" i="1"/>
  <c r="O251" i="1"/>
  <c r="M251" i="1"/>
  <c r="K251" i="1"/>
  <c r="G251" i="1"/>
  <c r="E251" i="1"/>
  <c r="K250" i="1"/>
  <c r="E250" i="1"/>
  <c r="AH249" i="1"/>
  <c r="V249" i="1"/>
  <c r="K249" i="1"/>
  <c r="G249" i="1"/>
  <c r="E249" i="1"/>
  <c r="AF248" i="1"/>
  <c r="AE248" i="1"/>
  <c r="G248" i="1"/>
  <c r="E248" i="1"/>
  <c r="K247" i="1"/>
  <c r="G247" i="1"/>
  <c r="E247" i="1"/>
  <c r="AH246" i="1"/>
  <c r="AD246" i="1"/>
  <c r="K246" i="1"/>
  <c r="G246" i="1"/>
  <c r="E246" i="1"/>
  <c r="AF245" i="1"/>
  <c r="AE245" i="1"/>
  <c r="AA245" i="1"/>
  <c r="V245" i="1"/>
  <c r="O245" i="1"/>
  <c r="M245" i="1"/>
  <c r="K245" i="1"/>
  <c r="G245" i="1"/>
  <c r="E245" i="1"/>
  <c r="K244" i="1"/>
  <c r="G244" i="1"/>
  <c r="E244" i="1"/>
  <c r="K243" i="1"/>
  <c r="G243" i="1"/>
  <c r="E243" i="1"/>
  <c r="K242" i="1"/>
  <c r="G242" i="1"/>
  <c r="E242" i="1"/>
  <c r="AF241" i="1"/>
  <c r="AE241" i="1"/>
  <c r="AA241" i="1"/>
  <c r="V241" i="1"/>
  <c r="K241" i="1"/>
  <c r="G241" i="1"/>
  <c r="E241" i="1"/>
  <c r="K240" i="1"/>
  <c r="G240" i="1"/>
  <c r="E240" i="1"/>
  <c r="AA239" i="1"/>
  <c r="K239" i="1"/>
  <c r="G239" i="1"/>
  <c r="E239" i="1"/>
  <c r="AA238" i="1"/>
  <c r="Z238" i="1"/>
  <c r="U238" i="1"/>
  <c r="Q238" i="1"/>
  <c r="K238" i="1"/>
  <c r="G238" i="1"/>
  <c r="E238" i="1"/>
  <c r="AG237" i="1"/>
  <c r="AE237" i="1"/>
  <c r="AA237" i="1"/>
  <c r="V237" i="1"/>
  <c r="K237" i="1"/>
  <c r="G237" i="1"/>
  <c r="E237" i="1"/>
  <c r="AD236" i="1"/>
  <c r="AC236" i="1"/>
  <c r="K236" i="1"/>
  <c r="G236" i="1"/>
  <c r="E236" i="1"/>
  <c r="K235" i="1"/>
  <c r="G235" i="1"/>
  <c r="E235" i="1"/>
  <c r="AF234" i="1"/>
  <c r="AE234" i="1"/>
  <c r="AA234" i="1"/>
  <c r="K234" i="1"/>
  <c r="G234" i="1"/>
  <c r="E234" i="1"/>
  <c r="K233" i="1"/>
  <c r="G233" i="1"/>
  <c r="E233" i="1"/>
  <c r="AB232" i="1"/>
  <c r="V232" i="1"/>
  <c r="K232" i="1"/>
  <c r="G232" i="1"/>
  <c r="E232" i="1"/>
  <c r="AH231" i="1"/>
  <c r="AA231" i="1"/>
  <c r="O231" i="1"/>
  <c r="K231" i="1"/>
  <c r="G231" i="1"/>
  <c r="E231" i="1"/>
  <c r="AH230" i="1"/>
  <c r="V230" i="1"/>
  <c r="K230" i="1"/>
  <c r="G230" i="1"/>
  <c r="E230" i="1"/>
  <c r="Z229" i="1"/>
  <c r="U229" i="1"/>
  <c r="K229" i="1"/>
  <c r="G229" i="1"/>
  <c r="E229" i="1"/>
  <c r="Z228" i="1"/>
  <c r="Q228" i="1"/>
  <c r="G228" i="1"/>
  <c r="E228" i="1"/>
  <c r="AI227" i="1"/>
  <c r="Z227" i="1"/>
  <c r="U227" i="1"/>
  <c r="Q227" i="1"/>
  <c r="K227" i="1"/>
  <c r="G227" i="1"/>
  <c r="E227" i="1"/>
  <c r="AG226" i="1"/>
  <c r="Z226" i="1"/>
  <c r="U226" i="1"/>
  <c r="Q226" i="1"/>
  <c r="K226" i="1"/>
  <c r="G226" i="1"/>
  <c r="E226" i="1"/>
  <c r="AB225" i="1"/>
  <c r="V225" i="1"/>
  <c r="O225" i="1"/>
  <c r="M225" i="1"/>
  <c r="K225" i="1"/>
  <c r="G225" i="1"/>
  <c r="E225" i="1"/>
  <c r="K224" i="1"/>
  <c r="G224" i="1"/>
  <c r="E224" i="1"/>
  <c r="N223" i="1"/>
  <c r="L223" i="1"/>
  <c r="K223" i="1"/>
  <c r="G223" i="1"/>
  <c r="E223" i="1"/>
  <c r="AA222" i="1"/>
  <c r="K222" i="1"/>
  <c r="G222" i="1"/>
  <c r="E222" i="1"/>
  <c r="AF221" i="1"/>
  <c r="AE221" i="1"/>
  <c r="V221" i="1"/>
  <c r="K221" i="1"/>
  <c r="G221" i="1"/>
  <c r="E221" i="1"/>
  <c r="AA220" i="1"/>
  <c r="O220" i="1"/>
  <c r="M220" i="1"/>
  <c r="K220" i="1"/>
  <c r="G220" i="1"/>
  <c r="E220" i="1"/>
  <c r="K219" i="1"/>
  <c r="G219" i="1"/>
  <c r="E219" i="1"/>
  <c r="AG218" i="1"/>
  <c r="AA218" i="1"/>
  <c r="V218" i="1"/>
  <c r="M218" i="1"/>
  <c r="K218" i="1"/>
  <c r="G218" i="1"/>
  <c r="E218" i="1"/>
  <c r="AA217" i="1"/>
  <c r="W217" i="1"/>
  <c r="O217" i="1"/>
  <c r="M217" i="1"/>
  <c r="K217" i="1"/>
  <c r="G217" i="1"/>
  <c r="E217" i="1"/>
  <c r="AD216" i="1"/>
  <c r="Y216" i="1"/>
  <c r="L216" i="1"/>
  <c r="K216" i="1"/>
  <c r="G216" i="1"/>
  <c r="E216" i="1"/>
  <c r="K215" i="1"/>
  <c r="E215" i="1"/>
  <c r="AF214" i="1"/>
  <c r="AE214" i="1"/>
  <c r="K214" i="1"/>
  <c r="G214" i="1"/>
  <c r="E214" i="1"/>
  <c r="N213" i="1"/>
  <c r="L213" i="1"/>
  <c r="G213" i="1"/>
  <c r="E213" i="1"/>
  <c r="AH212" i="1"/>
  <c r="AG212" i="1"/>
  <c r="AF212" i="1"/>
  <c r="AE212" i="1"/>
  <c r="V212" i="1"/>
  <c r="O212" i="1"/>
  <c r="M212" i="1"/>
  <c r="K212" i="1"/>
  <c r="G212" i="1"/>
  <c r="E212" i="1"/>
  <c r="K211" i="1"/>
  <c r="G211" i="1"/>
  <c r="E211" i="1"/>
  <c r="Z210" i="1"/>
  <c r="U210" i="1"/>
  <c r="Q210" i="1"/>
  <c r="K210" i="1"/>
  <c r="G210" i="1"/>
  <c r="E210" i="1"/>
  <c r="K209" i="1"/>
  <c r="G209" i="1"/>
  <c r="E209" i="1"/>
  <c r="L208" i="1"/>
  <c r="G208" i="1"/>
  <c r="E208" i="1"/>
  <c r="AB207" i="1"/>
  <c r="G207" i="1"/>
  <c r="E207" i="1"/>
  <c r="K206" i="1"/>
  <c r="G206" i="1"/>
  <c r="E206" i="1"/>
  <c r="N205" i="1"/>
  <c r="G205" i="1"/>
  <c r="E205" i="1"/>
  <c r="AE204" i="1"/>
  <c r="AA204" i="1"/>
  <c r="O204" i="1"/>
  <c r="M204" i="1"/>
  <c r="K204" i="1"/>
  <c r="G204" i="1"/>
  <c r="E204" i="1"/>
  <c r="Z203" i="1"/>
  <c r="U203" i="1"/>
  <c r="Q203" i="1"/>
  <c r="K203" i="1"/>
  <c r="G203" i="1"/>
  <c r="E203" i="1"/>
  <c r="AG202" i="1"/>
  <c r="AD202" i="1"/>
  <c r="Y202" i="1"/>
  <c r="N202" i="1"/>
  <c r="L202" i="1"/>
  <c r="K202" i="1"/>
  <c r="G202" i="1"/>
  <c r="E202" i="1"/>
  <c r="K201" i="1"/>
  <c r="G201" i="1"/>
  <c r="E201" i="1"/>
  <c r="AF200" i="1"/>
  <c r="AA200" i="1"/>
  <c r="V200" i="1"/>
  <c r="K200" i="1"/>
  <c r="G200" i="1"/>
  <c r="E200" i="1"/>
  <c r="AE199" i="1"/>
  <c r="N199" i="1"/>
  <c r="L199" i="1"/>
  <c r="K199" i="1"/>
  <c r="G199" i="1"/>
  <c r="E199" i="1"/>
  <c r="AG198" i="1"/>
  <c r="AA198" i="1"/>
  <c r="V198" i="1"/>
  <c r="O198" i="1"/>
  <c r="M198" i="1"/>
  <c r="K198" i="1"/>
  <c r="G198" i="1"/>
  <c r="E198" i="1"/>
  <c r="AH197" i="1"/>
  <c r="AG197" i="1"/>
  <c r="AF197" i="1"/>
  <c r="AE197" i="1"/>
  <c r="AA197" i="1"/>
  <c r="K197" i="1"/>
  <c r="G197" i="1"/>
  <c r="E197" i="1"/>
  <c r="AG196" i="1"/>
  <c r="AF196" i="1"/>
  <c r="AE196" i="1"/>
  <c r="AA196" i="1"/>
  <c r="O196" i="1"/>
  <c r="M196" i="1"/>
  <c r="K196" i="1"/>
  <c r="G196" i="1"/>
  <c r="E196" i="1"/>
  <c r="AD195" i="1"/>
  <c r="Y195" i="1"/>
  <c r="N195" i="1"/>
  <c r="L195" i="1"/>
  <c r="K195" i="1"/>
  <c r="G195" i="1"/>
  <c r="E195" i="1"/>
  <c r="AG194" i="1"/>
  <c r="AA194" i="1"/>
  <c r="V194" i="1"/>
  <c r="K194" i="1"/>
  <c r="G194" i="1"/>
  <c r="E194" i="1"/>
  <c r="AG193" i="1"/>
  <c r="V193" i="1"/>
  <c r="K193" i="1"/>
  <c r="G193" i="1"/>
  <c r="E193" i="1"/>
  <c r="AG192" i="1"/>
  <c r="AA192" i="1"/>
  <c r="Y192" i="1"/>
  <c r="N192" i="1"/>
  <c r="L192" i="1"/>
  <c r="K192" i="1"/>
  <c r="G192" i="1"/>
  <c r="E192" i="1"/>
  <c r="Z191" i="1"/>
  <c r="U191" i="1"/>
  <c r="Q191" i="1"/>
  <c r="K191" i="1"/>
  <c r="G191" i="1"/>
  <c r="E191" i="1"/>
  <c r="AG190" i="1"/>
  <c r="AF190" i="1"/>
  <c r="AA190" i="1"/>
  <c r="V190" i="1"/>
  <c r="K190" i="1"/>
  <c r="G190" i="1"/>
  <c r="E190" i="1"/>
  <c r="AA189" i="1"/>
  <c r="O189" i="1"/>
  <c r="M189" i="1"/>
  <c r="K189" i="1"/>
  <c r="G189" i="1"/>
  <c r="E189" i="1"/>
  <c r="AG188" i="1"/>
  <c r="AF188" i="1"/>
  <c r="AE188" i="1"/>
  <c r="AA188" i="1"/>
  <c r="K188" i="1"/>
  <c r="G188" i="1"/>
  <c r="E188" i="1"/>
  <c r="AH187" i="1"/>
  <c r="AG187" i="1"/>
  <c r="AF187" i="1"/>
  <c r="AE187" i="1"/>
  <c r="AA187" i="1"/>
  <c r="V187" i="1"/>
  <c r="O187" i="1"/>
  <c r="M187" i="1"/>
  <c r="K187" i="1"/>
  <c r="G187" i="1"/>
  <c r="E187" i="1"/>
  <c r="AG186" i="1"/>
  <c r="Z186" i="1"/>
  <c r="U186" i="1"/>
  <c r="Q186" i="1"/>
  <c r="K186" i="1"/>
  <c r="G186" i="1"/>
  <c r="E186" i="1"/>
  <c r="K185" i="1"/>
  <c r="G185" i="1"/>
  <c r="E185" i="1"/>
  <c r="AG184" i="1"/>
  <c r="AA184" i="1"/>
  <c r="O184" i="1"/>
  <c r="M184" i="1"/>
  <c r="K184" i="1"/>
  <c r="G184" i="1"/>
  <c r="E184" i="1"/>
  <c r="AG183" i="1"/>
  <c r="AE183" i="1"/>
  <c r="AA183" i="1"/>
  <c r="O183" i="1"/>
  <c r="M183" i="1"/>
  <c r="K183" i="1"/>
  <c r="G183" i="1"/>
  <c r="E183" i="1"/>
  <c r="AH182" i="1"/>
  <c r="AE182" i="1"/>
  <c r="AA182" i="1"/>
  <c r="V182" i="1"/>
  <c r="K182" i="1"/>
  <c r="G182" i="1"/>
  <c r="E182" i="1"/>
  <c r="V181" i="1"/>
  <c r="O181" i="1"/>
  <c r="M181" i="1"/>
  <c r="K181" i="1"/>
  <c r="G181" i="1"/>
  <c r="E181" i="1"/>
  <c r="AG180" i="1"/>
  <c r="AA180" i="1"/>
  <c r="O180" i="1"/>
  <c r="M180" i="1"/>
  <c r="K180" i="1"/>
  <c r="G180" i="1"/>
  <c r="E180" i="1"/>
  <c r="AA179" i="1"/>
  <c r="N179" i="1"/>
  <c r="L179" i="1"/>
  <c r="K179" i="1"/>
  <c r="G179" i="1"/>
  <c r="E179" i="1"/>
  <c r="AG178" i="1"/>
  <c r="AF178" i="1"/>
  <c r="AE178" i="1"/>
  <c r="AA178" i="1"/>
  <c r="K178" i="1"/>
  <c r="G178" i="1"/>
  <c r="E178" i="1"/>
  <c r="AG177" i="1"/>
  <c r="V177" i="1"/>
  <c r="K177" i="1"/>
  <c r="G177" i="1"/>
  <c r="E177" i="1"/>
  <c r="AH176" i="1"/>
  <c r="AG176" i="1"/>
  <c r="AA176" i="1"/>
  <c r="V176" i="1"/>
  <c r="O176" i="1"/>
  <c r="M176" i="1"/>
  <c r="K176" i="1"/>
  <c r="G176" i="1"/>
  <c r="E176" i="1"/>
  <c r="AD175" i="1"/>
  <c r="AC175" i="1"/>
  <c r="Y175" i="1"/>
  <c r="K175" i="1"/>
  <c r="G175" i="1"/>
  <c r="E175" i="1"/>
  <c r="AH174" i="1"/>
  <c r="AG174" i="1"/>
  <c r="AA174" i="1"/>
  <c r="Y174" i="1"/>
  <c r="N174" i="1"/>
  <c r="L174" i="1"/>
  <c r="K174" i="1"/>
  <c r="G174" i="1"/>
  <c r="E174" i="1"/>
  <c r="K173" i="1"/>
  <c r="G173" i="1"/>
  <c r="E173" i="1"/>
  <c r="AH172" i="1"/>
  <c r="AG172" i="1"/>
  <c r="AF172" i="1"/>
  <c r="AA172" i="1"/>
  <c r="V172" i="1"/>
  <c r="K172" i="1"/>
  <c r="G172" i="1"/>
  <c r="E172" i="1"/>
  <c r="N171" i="1"/>
  <c r="K171" i="1"/>
  <c r="G171" i="1"/>
  <c r="E171" i="1"/>
  <c r="AG170" i="1"/>
  <c r="AA170" i="1"/>
  <c r="K170" i="1"/>
  <c r="G170" i="1"/>
  <c r="E170" i="1"/>
  <c r="AH169" i="1"/>
  <c r="AA169" i="1"/>
  <c r="K169" i="1"/>
  <c r="G169" i="1"/>
  <c r="E169" i="1"/>
  <c r="AF168" i="1"/>
  <c r="AE168" i="1"/>
  <c r="K168" i="1"/>
  <c r="G168" i="1"/>
  <c r="E168" i="1"/>
  <c r="AG167" i="1"/>
  <c r="AF167" i="1"/>
  <c r="AA167" i="1"/>
  <c r="V167" i="1"/>
  <c r="O167" i="1"/>
  <c r="M167" i="1"/>
  <c r="K167" i="1"/>
  <c r="G167" i="1"/>
  <c r="E167" i="1"/>
  <c r="V166" i="1"/>
  <c r="O166" i="1"/>
  <c r="M166" i="1"/>
  <c r="K166" i="1"/>
  <c r="G166" i="1"/>
  <c r="E166" i="1"/>
  <c r="AF165" i="1"/>
  <c r="AE165" i="1"/>
  <c r="V165" i="1"/>
  <c r="K165" i="1"/>
  <c r="G165" i="1"/>
  <c r="E165" i="1"/>
  <c r="AA164" i="1"/>
  <c r="M164" i="1"/>
  <c r="K164" i="1"/>
  <c r="G164" i="1"/>
  <c r="E164" i="1"/>
  <c r="Y163" i="1"/>
  <c r="N163" i="1"/>
  <c r="L163" i="1"/>
  <c r="K163" i="1"/>
  <c r="G163" i="1"/>
  <c r="E163" i="1"/>
  <c r="AD162" i="1"/>
  <c r="Y162" i="1"/>
  <c r="U162" i="1"/>
  <c r="K162" i="1"/>
  <c r="G162" i="1"/>
  <c r="E162" i="1"/>
  <c r="AA161" i="1"/>
  <c r="V161" i="1"/>
  <c r="K161" i="1"/>
  <c r="G161" i="1"/>
  <c r="E161" i="1"/>
  <c r="K160" i="1"/>
  <c r="G160" i="1"/>
  <c r="E160" i="1"/>
  <c r="AH159" i="1"/>
  <c r="AG159" i="1"/>
  <c r="AF159" i="1"/>
  <c r="AE159" i="1"/>
  <c r="AA159" i="1"/>
  <c r="V159" i="1"/>
  <c r="K159" i="1"/>
  <c r="G159" i="1"/>
  <c r="E159" i="1"/>
  <c r="AG158" i="1"/>
  <c r="AE158" i="1"/>
  <c r="K158" i="1"/>
  <c r="G158" i="1"/>
  <c r="E158" i="1"/>
  <c r="AG157" i="1"/>
  <c r="V157" i="1"/>
  <c r="K157" i="1"/>
  <c r="G157" i="1"/>
  <c r="E157" i="1"/>
  <c r="AG156" i="1"/>
  <c r="Z156" i="1"/>
  <c r="U156" i="1"/>
  <c r="Q156" i="1"/>
  <c r="K156" i="1"/>
  <c r="G156" i="1"/>
  <c r="E156" i="1"/>
  <c r="AF155" i="1"/>
  <c r="AA155" i="1"/>
  <c r="V155" i="1"/>
  <c r="K155" i="1"/>
  <c r="G155" i="1"/>
  <c r="E155" i="1"/>
  <c r="AF154" i="1"/>
  <c r="AE154" i="1"/>
  <c r="Z154" i="1"/>
  <c r="Q154" i="1"/>
  <c r="K154" i="1"/>
  <c r="G154" i="1"/>
  <c r="E154" i="1"/>
  <c r="AG153" i="1"/>
  <c r="AB153" i="1"/>
  <c r="K153" i="1"/>
  <c r="G153" i="1"/>
  <c r="E153" i="1"/>
  <c r="W152" i="1"/>
  <c r="G152" i="1"/>
  <c r="E152" i="1"/>
  <c r="AH151" i="1"/>
  <c r="AD151" i="1"/>
  <c r="AA151" i="1"/>
  <c r="Y151" i="1"/>
  <c r="K151" i="1"/>
  <c r="G151" i="1"/>
  <c r="E151" i="1"/>
  <c r="AA150" i="1"/>
  <c r="N150" i="1"/>
  <c r="L150" i="1"/>
  <c r="K150" i="1"/>
  <c r="G150" i="1"/>
  <c r="E150" i="1"/>
  <c r="O149" i="1"/>
  <c r="M149" i="1"/>
  <c r="K149" i="1"/>
  <c r="G149" i="1"/>
  <c r="E149" i="1"/>
  <c r="AB148" i="1"/>
  <c r="K148" i="1"/>
  <c r="G148" i="1"/>
  <c r="E148" i="1"/>
  <c r="AA147" i="1"/>
  <c r="O147" i="1"/>
  <c r="M147" i="1"/>
  <c r="K147" i="1"/>
  <c r="G147" i="1"/>
  <c r="E147" i="1"/>
  <c r="AG146" i="1"/>
  <c r="AA146" i="1"/>
  <c r="V146" i="1"/>
  <c r="K146" i="1"/>
  <c r="G146" i="1"/>
  <c r="E146" i="1"/>
  <c r="AH145" i="1"/>
  <c r="AF145" i="1"/>
  <c r="AE145" i="1"/>
  <c r="AA145" i="1"/>
  <c r="K145" i="1"/>
  <c r="G145" i="1"/>
  <c r="E145" i="1"/>
  <c r="AB144" i="1"/>
  <c r="W144" i="1"/>
  <c r="K144" i="1"/>
  <c r="G144" i="1"/>
  <c r="E144" i="1"/>
  <c r="K143" i="1"/>
  <c r="G143" i="1"/>
  <c r="E143" i="1"/>
  <c r="AA142" i="1"/>
  <c r="V142" i="1"/>
  <c r="O142" i="1"/>
  <c r="M142" i="1"/>
  <c r="K142" i="1"/>
  <c r="G142" i="1"/>
  <c r="E142" i="1"/>
  <c r="AH141" i="1"/>
  <c r="V141" i="1"/>
  <c r="K141" i="1"/>
  <c r="G141" i="1"/>
  <c r="E141" i="1"/>
  <c r="N140" i="1"/>
  <c r="L140" i="1"/>
  <c r="K140" i="1"/>
  <c r="G140" i="1"/>
  <c r="E140" i="1"/>
  <c r="K139" i="1"/>
  <c r="G139" i="1"/>
  <c r="E139" i="1"/>
  <c r="AH138" i="1"/>
  <c r="AG138" i="1"/>
  <c r="AD138" i="1"/>
  <c r="AA138" i="1"/>
  <c r="Y138" i="1"/>
  <c r="N138" i="1"/>
  <c r="L138" i="1"/>
  <c r="K138" i="1"/>
  <c r="G138" i="1"/>
  <c r="E138" i="1"/>
  <c r="AE137" i="1"/>
  <c r="AA137" i="1"/>
  <c r="O137" i="1"/>
  <c r="M137" i="1"/>
  <c r="K137" i="1"/>
  <c r="G137" i="1"/>
  <c r="E137" i="1"/>
  <c r="AA136" i="1"/>
  <c r="K136" i="1"/>
  <c r="G136" i="1"/>
  <c r="E136" i="1"/>
  <c r="Y135" i="1"/>
  <c r="N135" i="1"/>
  <c r="L135" i="1"/>
  <c r="K135" i="1"/>
  <c r="G135" i="1"/>
  <c r="E135" i="1"/>
  <c r="AB134" i="1"/>
  <c r="K134" i="1"/>
  <c r="G134" i="1"/>
  <c r="E134" i="1"/>
  <c r="N133" i="1"/>
  <c r="L133" i="1"/>
  <c r="K133" i="1"/>
  <c r="G133" i="1"/>
  <c r="E133" i="1"/>
  <c r="AF132" i="1"/>
  <c r="AE132" i="1"/>
  <c r="AA132" i="1"/>
  <c r="V132" i="1"/>
  <c r="O132" i="1"/>
  <c r="M132" i="1"/>
  <c r="K132" i="1"/>
  <c r="G132" i="1"/>
  <c r="E132" i="1"/>
  <c r="AH131" i="1"/>
  <c r="AG131" i="1"/>
  <c r="AD131" i="1"/>
  <c r="AA131" i="1"/>
  <c r="Y131" i="1"/>
  <c r="V131" i="1"/>
  <c r="L131" i="1"/>
  <c r="K131" i="1"/>
  <c r="G131" i="1"/>
  <c r="E131" i="1"/>
  <c r="K130" i="1"/>
  <c r="G130" i="1"/>
  <c r="E130" i="1"/>
  <c r="AH129" i="1"/>
  <c r="AE129" i="1"/>
  <c r="AA129" i="1"/>
  <c r="K129" i="1"/>
  <c r="G129" i="1"/>
  <c r="E129" i="1"/>
  <c r="AB128" i="1"/>
  <c r="V128" i="1"/>
  <c r="O128" i="1"/>
  <c r="M128" i="1"/>
  <c r="K128" i="1"/>
  <c r="G128" i="1"/>
  <c r="E128" i="1"/>
  <c r="AH127" i="1"/>
  <c r="AG127" i="1"/>
  <c r="AB127" i="1"/>
  <c r="V127" i="1"/>
  <c r="K127" i="1"/>
  <c r="G127" i="1"/>
  <c r="E127" i="1"/>
  <c r="AG126" i="1"/>
  <c r="AA126" i="1"/>
  <c r="K126" i="1"/>
  <c r="G126" i="1"/>
  <c r="E126" i="1"/>
  <c r="AB125" i="1"/>
  <c r="O125" i="1"/>
  <c r="M125" i="1"/>
  <c r="K125" i="1"/>
  <c r="G125" i="1"/>
  <c r="E125" i="1"/>
  <c r="K124" i="1"/>
  <c r="G124" i="1"/>
  <c r="E124" i="1"/>
  <c r="AH123" i="1"/>
  <c r="Z123" i="1"/>
  <c r="K123" i="1"/>
  <c r="G123" i="1"/>
  <c r="E123" i="1"/>
  <c r="AH122" i="1"/>
  <c r="K122" i="1"/>
  <c r="G122" i="1"/>
  <c r="E122" i="1"/>
  <c r="AH121" i="1"/>
  <c r="AG121" i="1"/>
  <c r="AF121" i="1"/>
  <c r="V121" i="1"/>
  <c r="G121" i="1"/>
  <c r="E121" i="1"/>
  <c r="AG120" i="1"/>
  <c r="AF120" i="1"/>
  <c r="AA120" i="1"/>
  <c r="K120" i="1"/>
  <c r="G120" i="1"/>
  <c r="E120" i="1"/>
  <c r="AH119" i="1"/>
  <c r="AG119" i="1"/>
  <c r="AF119" i="1"/>
  <c r="AE119" i="1"/>
  <c r="AA119" i="1"/>
  <c r="V119" i="1"/>
  <c r="O119" i="1"/>
  <c r="M119" i="1"/>
  <c r="K119" i="1"/>
  <c r="G119" i="1"/>
  <c r="E119" i="1"/>
  <c r="N118" i="1"/>
  <c r="L118" i="1"/>
  <c r="K118" i="1"/>
  <c r="G118" i="1"/>
  <c r="E118" i="1"/>
  <c r="N117" i="1"/>
  <c r="L117" i="1"/>
  <c r="K117" i="1"/>
  <c r="E117" i="1"/>
  <c r="AD116" i="1"/>
  <c r="Y116" i="1"/>
  <c r="K116" i="1"/>
  <c r="G116" i="1"/>
  <c r="E116" i="1"/>
  <c r="AA115" i="1"/>
  <c r="K115" i="1"/>
  <c r="G115" i="1"/>
  <c r="E115" i="1"/>
  <c r="AH114" i="1"/>
  <c r="K114" i="1"/>
  <c r="G114" i="1"/>
  <c r="E114" i="1"/>
  <c r="Z113" i="1"/>
  <c r="Q113" i="1"/>
  <c r="K113" i="1"/>
  <c r="G113" i="1"/>
  <c r="E113" i="1"/>
  <c r="AG112" i="1"/>
  <c r="N112" i="1"/>
  <c r="L112" i="1"/>
  <c r="G112" i="1"/>
  <c r="E112" i="1"/>
  <c r="AF111" i="1"/>
  <c r="AA111" i="1"/>
  <c r="V111" i="1"/>
  <c r="K111" i="1"/>
  <c r="G111" i="1"/>
  <c r="E111" i="1"/>
  <c r="AG110" i="1"/>
  <c r="AA110" i="1"/>
  <c r="V110" i="1"/>
  <c r="N110" i="1"/>
  <c r="L110" i="1"/>
  <c r="K110" i="1"/>
  <c r="G110" i="1"/>
  <c r="E110" i="1"/>
  <c r="N109" i="1"/>
  <c r="L109" i="1"/>
  <c r="K109" i="1"/>
  <c r="G109" i="1"/>
  <c r="E109" i="1"/>
  <c r="AH108" i="1"/>
  <c r="V108" i="1"/>
  <c r="K108" i="1"/>
  <c r="G108" i="1"/>
  <c r="E108" i="1"/>
  <c r="AG107" i="1"/>
  <c r="AF107" i="1"/>
  <c r="AE107" i="1"/>
  <c r="AA107" i="1"/>
  <c r="M107" i="1"/>
  <c r="K107" i="1"/>
  <c r="G107" i="1"/>
  <c r="E107" i="1"/>
  <c r="N106" i="1"/>
  <c r="L106" i="1"/>
  <c r="K106" i="1"/>
  <c r="G106" i="1"/>
  <c r="E106" i="1"/>
  <c r="AF105" i="1"/>
  <c r="AA105" i="1"/>
  <c r="L105" i="1"/>
  <c r="K105" i="1"/>
  <c r="G105" i="1"/>
  <c r="E105" i="1"/>
  <c r="AH104" i="1"/>
  <c r="AG104" i="1"/>
  <c r="AE104" i="1"/>
  <c r="V104" i="1"/>
  <c r="K104" i="1"/>
  <c r="G104" i="1"/>
  <c r="E104" i="1"/>
  <c r="N103" i="1"/>
  <c r="L103" i="1"/>
  <c r="K103" i="1"/>
  <c r="G103" i="1"/>
  <c r="E103" i="1"/>
  <c r="AD102" i="1"/>
  <c r="AA102" i="1"/>
  <c r="Y102" i="1"/>
  <c r="N102" i="1"/>
  <c r="L102" i="1"/>
  <c r="K102" i="1"/>
  <c r="G102" i="1"/>
  <c r="E102" i="1"/>
  <c r="N101" i="1"/>
  <c r="L101" i="1"/>
  <c r="G101" i="1"/>
  <c r="E101" i="1"/>
  <c r="AG100" i="1"/>
  <c r="AE100" i="1"/>
  <c r="K100" i="1"/>
  <c r="G100" i="1"/>
  <c r="E100" i="1"/>
  <c r="AA99" i="1"/>
  <c r="V99" i="1"/>
  <c r="O99" i="1"/>
  <c r="M99" i="1"/>
  <c r="K99" i="1"/>
  <c r="G99" i="1"/>
  <c r="E99" i="1"/>
  <c r="AH98" i="1"/>
  <c r="AG98" i="1"/>
  <c r="AA98" i="1"/>
  <c r="V98" i="1"/>
  <c r="O98" i="1"/>
  <c r="M98" i="1"/>
  <c r="K98" i="1"/>
  <c r="G98" i="1"/>
  <c r="E98" i="1"/>
  <c r="AF97" i="1"/>
  <c r="AE97" i="1"/>
  <c r="AA97" i="1"/>
  <c r="N97" i="1"/>
  <c r="L97" i="1"/>
  <c r="K97" i="1"/>
  <c r="G97" i="1"/>
  <c r="E97" i="1"/>
  <c r="N96" i="1"/>
  <c r="L96" i="1"/>
  <c r="K96" i="1"/>
  <c r="G96" i="1"/>
  <c r="E96" i="1"/>
  <c r="K95" i="1"/>
  <c r="G95" i="1"/>
  <c r="E95" i="1"/>
  <c r="AG94" i="1"/>
  <c r="K94" i="1"/>
  <c r="G94" i="1"/>
  <c r="E94" i="1"/>
  <c r="Z93" i="1"/>
  <c r="Q93" i="1"/>
  <c r="K93" i="1"/>
  <c r="G93" i="1"/>
  <c r="E93" i="1"/>
  <c r="AG92" i="1"/>
  <c r="K92" i="1"/>
  <c r="G92" i="1"/>
  <c r="E92" i="1"/>
  <c r="N91" i="1"/>
  <c r="L91" i="1"/>
  <c r="K91" i="1"/>
  <c r="G91" i="1"/>
  <c r="E91" i="1"/>
  <c r="AD90" i="1"/>
  <c r="AC90" i="1"/>
  <c r="Y90" i="1"/>
  <c r="N90" i="1"/>
  <c r="L90" i="1"/>
  <c r="K90" i="1"/>
  <c r="G90" i="1"/>
  <c r="E90" i="1"/>
  <c r="AA89" i="1"/>
  <c r="N89" i="1"/>
  <c r="L89" i="1"/>
  <c r="K89" i="1"/>
  <c r="G89" i="1"/>
  <c r="E89" i="1"/>
  <c r="Z88" i="1"/>
  <c r="U88" i="1"/>
  <c r="Q88" i="1"/>
  <c r="K88" i="1"/>
  <c r="G88" i="1"/>
  <c r="E88" i="1"/>
  <c r="AH87" i="1"/>
  <c r="AF87" i="1"/>
  <c r="AE87" i="1"/>
  <c r="V87" i="1"/>
  <c r="K87" i="1"/>
  <c r="G87" i="1"/>
  <c r="E87" i="1"/>
  <c r="AG86" i="1"/>
  <c r="AF86" i="1"/>
  <c r="AE86" i="1"/>
  <c r="AA86" i="1"/>
  <c r="O86" i="1"/>
  <c r="M86" i="1"/>
  <c r="K86" i="1"/>
  <c r="G86" i="1"/>
  <c r="E86" i="1"/>
  <c r="AF85" i="1"/>
  <c r="AE85" i="1"/>
  <c r="K85" i="1"/>
  <c r="G85" i="1"/>
  <c r="E85" i="1"/>
  <c r="AG84" i="1"/>
  <c r="AD84" i="1"/>
  <c r="AA84" i="1"/>
  <c r="Y84" i="1"/>
  <c r="K84" i="1"/>
  <c r="G84" i="1"/>
  <c r="E84" i="1"/>
  <c r="AA83" i="1"/>
  <c r="O83" i="1"/>
  <c r="M83" i="1"/>
  <c r="K83" i="1"/>
  <c r="G83" i="1"/>
  <c r="E83" i="1"/>
  <c r="AD82" i="1"/>
  <c r="AC82" i="1"/>
  <c r="Y82" i="1"/>
  <c r="N82" i="1"/>
  <c r="L82" i="1"/>
  <c r="K82" i="1"/>
  <c r="G82" i="1"/>
  <c r="E82" i="1"/>
  <c r="AH81" i="1"/>
  <c r="AB81" i="1"/>
  <c r="V81" i="1"/>
  <c r="K81" i="1"/>
  <c r="G81" i="1"/>
  <c r="E81" i="1"/>
  <c r="AE80" i="1"/>
  <c r="AA80" i="1"/>
  <c r="O80" i="1"/>
  <c r="M80" i="1"/>
  <c r="K80" i="1"/>
  <c r="G80" i="1"/>
  <c r="E80" i="1"/>
  <c r="K79" i="1"/>
  <c r="E79" i="1"/>
  <c r="AG78" i="1"/>
  <c r="AA78" i="1"/>
  <c r="Z78" i="1"/>
  <c r="Q78" i="1"/>
  <c r="K78" i="1"/>
  <c r="G78" i="1"/>
  <c r="E78" i="1"/>
  <c r="AH77" i="1"/>
  <c r="AG77" i="1"/>
  <c r="AF77" i="1"/>
  <c r="AE77" i="1"/>
  <c r="AA77" i="1"/>
  <c r="O77" i="1"/>
  <c r="M77" i="1"/>
  <c r="K77" i="1"/>
  <c r="G77" i="1"/>
  <c r="E77" i="1"/>
  <c r="AF76" i="1"/>
  <c r="AE76" i="1"/>
  <c r="AA76" i="1"/>
  <c r="K76" i="1"/>
  <c r="G76" i="1"/>
  <c r="E76" i="1"/>
  <c r="AH75" i="1"/>
  <c r="AG75" i="1"/>
  <c r="K75" i="1"/>
  <c r="G75" i="1"/>
  <c r="E75" i="1"/>
  <c r="Y74" i="1"/>
  <c r="K74" i="1"/>
  <c r="G74" i="1"/>
  <c r="E74" i="1"/>
  <c r="O73" i="1"/>
  <c r="M73" i="1"/>
  <c r="K73" i="1"/>
  <c r="G73" i="1"/>
  <c r="E73" i="1"/>
  <c r="AF72" i="1"/>
  <c r="AE72" i="1"/>
  <c r="N72" i="1"/>
  <c r="L72" i="1"/>
  <c r="K72" i="1"/>
  <c r="G72" i="1"/>
  <c r="E72" i="1"/>
  <c r="AH71" i="1"/>
  <c r="K71" i="1"/>
  <c r="G71" i="1"/>
  <c r="E71" i="1"/>
  <c r="AH70" i="1"/>
  <c r="AF70" i="1"/>
  <c r="AE70" i="1"/>
  <c r="AA70" i="1"/>
  <c r="V70" i="1"/>
  <c r="K70" i="1"/>
  <c r="G70" i="1"/>
  <c r="E70" i="1"/>
  <c r="N69" i="1"/>
  <c r="L69" i="1"/>
  <c r="K69" i="1"/>
  <c r="G69" i="1"/>
  <c r="E69" i="1"/>
  <c r="Q68" i="1"/>
  <c r="K68" i="1"/>
  <c r="G68" i="1"/>
  <c r="E68" i="1"/>
  <c r="Z67" i="1"/>
  <c r="U67" i="1"/>
  <c r="Q67" i="1"/>
  <c r="N67" i="1"/>
  <c r="L67" i="1"/>
  <c r="K67" i="1"/>
  <c r="G67" i="1"/>
  <c r="E67" i="1"/>
  <c r="AG66" i="1"/>
  <c r="AA66" i="1"/>
  <c r="V66" i="1"/>
  <c r="O66" i="1"/>
  <c r="M66" i="1"/>
  <c r="K66" i="1"/>
  <c r="G66" i="1"/>
  <c r="E66" i="1"/>
  <c r="Y65" i="1"/>
  <c r="N65" i="1"/>
  <c r="L65" i="1"/>
  <c r="K65" i="1"/>
  <c r="G65" i="1"/>
  <c r="E65" i="1"/>
  <c r="AA64" i="1"/>
  <c r="V64" i="1"/>
  <c r="K64" i="1"/>
  <c r="G64" i="1"/>
  <c r="E64" i="1"/>
  <c r="Y63" i="1"/>
  <c r="N63" i="1"/>
  <c r="L63" i="1"/>
  <c r="K63" i="1"/>
  <c r="G63" i="1"/>
  <c r="E63" i="1"/>
  <c r="AE62" i="1"/>
  <c r="AA62" i="1"/>
  <c r="O62" i="1"/>
  <c r="M62" i="1"/>
  <c r="K62" i="1"/>
  <c r="G62" i="1"/>
  <c r="E62" i="1"/>
  <c r="AA61" i="1"/>
  <c r="O61" i="1"/>
  <c r="M61" i="1"/>
  <c r="K61" i="1"/>
  <c r="G61" i="1"/>
  <c r="E61" i="1"/>
  <c r="K60" i="1"/>
  <c r="G60" i="1"/>
  <c r="E60" i="1"/>
  <c r="AF59" i="1"/>
  <c r="AE59" i="1"/>
  <c r="AA59" i="1"/>
  <c r="K59" i="1"/>
  <c r="G59" i="1"/>
  <c r="E59" i="1"/>
  <c r="AH58" i="1"/>
  <c r="AG58" i="1"/>
  <c r="AA58" i="1"/>
  <c r="W58" i="1"/>
  <c r="O58" i="1"/>
  <c r="M58" i="1"/>
  <c r="K58" i="1"/>
  <c r="G58" i="1"/>
  <c r="E58" i="1"/>
  <c r="AH57" i="1"/>
  <c r="AA57" i="1"/>
  <c r="O57" i="1"/>
  <c r="M57" i="1"/>
  <c r="K57" i="1"/>
  <c r="G57" i="1"/>
  <c r="E57" i="1"/>
  <c r="AH56" i="1"/>
  <c r="AA56" i="1"/>
  <c r="O56" i="1"/>
  <c r="M56" i="1"/>
  <c r="K56" i="1"/>
  <c r="G56" i="1"/>
  <c r="E56" i="1"/>
  <c r="AG55" i="1"/>
  <c r="AF55" i="1"/>
  <c r="AA55" i="1"/>
  <c r="O55" i="1"/>
  <c r="M55" i="1"/>
  <c r="K55" i="1"/>
  <c r="G55" i="1"/>
  <c r="E55" i="1"/>
  <c r="K54" i="1"/>
  <c r="G54" i="1"/>
  <c r="E54" i="1"/>
  <c r="Z53" i="1"/>
  <c r="Q53" i="1"/>
  <c r="N53" i="1"/>
  <c r="L53" i="1"/>
  <c r="K53" i="1"/>
  <c r="G53" i="1"/>
  <c r="E53" i="1"/>
  <c r="K52" i="1"/>
  <c r="G52" i="1"/>
  <c r="E52" i="1"/>
  <c r="N51" i="1"/>
  <c r="G51" i="1"/>
  <c r="E51" i="1"/>
  <c r="AD50" i="1"/>
  <c r="Y50" i="1"/>
  <c r="X50" i="1"/>
  <c r="N50" i="1"/>
  <c r="L50" i="1"/>
  <c r="K50" i="1"/>
  <c r="G50" i="1"/>
  <c r="E50" i="1"/>
  <c r="AA49" i="1"/>
  <c r="O49" i="1"/>
  <c r="M49" i="1"/>
  <c r="K49" i="1"/>
  <c r="G49" i="1"/>
  <c r="E49" i="1"/>
  <c r="AA48" i="1"/>
  <c r="N48" i="1"/>
  <c r="K48" i="1"/>
  <c r="G48" i="1"/>
  <c r="E48" i="1"/>
  <c r="AH47" i="1"/>
  <c r="AA47" i="1"/>
  <c r="K47" i="1"/>
  <c r="G47" i="1"/>
  <c r="E47" i="1"/>
  <c r="AG46" i="1"/>
  <c r="AF46" i="1"/>
  <c r="AE46" i="1"/>
  <c r="AA46" i="1"/>
  <c r="N46" i="1"/>
  <c r="L46" i="1"/>
  <c r="K46" i="1"/>
  <c r="G46" i="1"/>
  <c r="E46" i="1"/>
  <c r="K45" i="1"/>
  <c r="G45" i="1"/>
  <c r="E45" i="1"/>
  <c r="K44" i="1"/>
  <c r="G44" i="1"/>
  <c r="E44" i="1"/>
  <c r="K43" i="1"/>
  <c r="G43" i="1"/>
  <c r="E43" i="1"/>
  <c r="AH42" i="1"/>
  <c r="Y42" i="1"/>
  <c r="N42" i="1"/>
  <c r="L42" i="1"/>
  <c r="K42" i="1"/>
  <c r="G42" i="1"/>
  <c r="E42" i="1"/>
  <c r="Z41" i="1"/>
  <c r="U41" i="1"/>
  <c r="Q41" i="1"/>
  <c r="N41" i="1"/>
  <c r="L41" i="1"/>
  <c r="K41" i="1"/>
  <c r="G41" i="1"/>
  <c r="E41" i="1"/>
  <c r="AA40" i="1"/>
  <c r="N40" i="1"/>
  <c r="K40" i="1"/>
  <c r="G40" i="1"/>
  <c r="E40" i="1"/>
  <c r="Y39" i="1"/>
  <c r="X39" i="1"/>
  <c r="N39" i="1"/>
  <c r="L39" i="1"/>
  <c r="K39" i="1"/>
  <c r="G39" i="1"/>
  <c r="E39" i="1"/>
  <c r="AD38" i="1"/>
  <c r="AC38" i="1"/>
  <c r="Y38" i="1"/>
  <c r="U38" i="1"/>
  <c r="Q38" i="1"/>
  <c r="N38" i="1"/>
  <c r="L38" i="1"/>
  <c r="K38" i="1"/>
  <c r="G38" i="1"/>
  <c r="E38" i="1"/>
  <c r="Z37" i="1"/>
  <c r="U37" i="1"/>
  <c r="Q37" i="1"/>
  <c r="N37" i="1"/>
  <c r="L37" i="1"/>
  <c r="K37" i="1"/>
  <c r="G37" i="1"/>
  <c r="E37" i="1"/>
  <c r="AG36" i="1"/>
  <c r="Z36" i="1"/>
  <c r="U36" i="1"/>
  <c r="Q36" i="1"/>
  <c r="N36" i="1"/>
  <c r="L36" i="1"/>
  <c r="K36" i="1"/>
  <c r="G36" i="1"/>
  <c r="E36" i="1"/>
  <c r="N35" i="1"/>
  <c r="L35" i="1"/>
  <c r="K35" i="1"/>
  <c r="G35" i="1"/>
  <c r="E35" i="1"/>
  <c r="K34" i="1"/>
  <c r="G34" i="1"/>
  <c r="E34" i="1"/>
  <c r="AA33" i="1"/>
  <c r="O33" i="1"/>
  <c r="M33" i="1"/>
  <c r="K33" i="1"/>
  <c r="G33" i="1"/>
  <c r="E33" i="1"/>
  <c r="K32" i="1"/>
  <c r="G32" i="1"/>
  <c r="E32" i="1"/>
  <c r="AG31" i="1"/>
  <c r="Y31" i="1"/>
  <c r="N31" i="1"/>
  <c r="L31" i="1"/>
  <c r="K31" i="1"/>
  <c r="G31" i="1"/>
  <c r="E31" i="1"/>
  <c r="K30" i="1"/>
  <c r="G30" i="1"/>
  <c r="E30" i="1"/>
  <c r="Y29" i="1"/>
  <c r="X29" i="1"/>
  <c r="N29" i="1"/>
  <c r="L29" i="1"/>
  <c r="K29" i="1"/>
  <c r="G29" i="1"/>
  <c r="E29" i="1"/>
  <c r="AG28" i="1"/>
  <c r="AA28" i="1"/>
  <c r="O28" i="1"/>
  <c r="M28" i="1"/>
  <c r="K28" i="1"/>
  <c r="G28" i="1"/>
  <c r="E28" i="1"/>
  <c r="AA27" i="1"/>
  <c r="O27" i="1"/>
  <c r="M27" i="1"/>
  <c r="K27" i="1"/>
  <c r="G27" i="1"/>
  <c r="E27" i="1"/>
  <c r="N26" i="1"/>
  <c r="L26" i="1"/>
  <c r="K26" i="1"/>
  <c r="G26" i="1"/>
  <c r="E26" i="1"/>
  <c r="AG25" i="1"/>
  <c r="AF25" i="1"/>
  <c r="AE25" i="1"/>
  <c r="AA25" i="1"/>
  <c r="K25" i="1"/>
  <c r="G25" i="1"/>
  <c r="E25" i="1"/>
  <c r="K24" i="1"/>
  <c r="G24" i="1"/>
  <c r="E24" i="1"/>
  <c r="K23" i="1"/>
  <c r="E23" i="1"/>
  <c r="AD22" i="1"/>
  <c r="AC22" i="1"/>
  <c r="Y22" i="1"/>
  <c r="X22" i="1"/>
  <c r="N22" i="1"/>
  <c r="L22" i="1"/>
  <c r="K22" i="1"/>
  <c r="G22" i="1"/>
  <c r="E22" i="1"/>
  <c r="AA21" i="1"/>
  <c r="O21" i="1"/>
  <c r="M21" i="1"/>
  <c r="K21" i="1"/>
  <c r="G21" i="1"/>
  <c r="E21" i="1"/>
  <c r="O20" i="1"/>
  <c r="M20" i="1"/>
  <c r="K20" i="1"/>
  <c r="G20" i="1"/>
  <c r="E20" i="1"/>
  <c r="O19" i="1"/>
  <c r="M19" i="1"/>
  <c r="K19" i="1"/>
  <c r="G19" i="1"/>
  <c r="E19" i="1"/>
  <c r="N18" i="1"/>
  <c r="L18" i="1"/>
  <c r="K18" i="1"/>
  <c r="G18" i="1"/>
  <c r="E18" i="1"/>
  <c r="AH17" i="1"/>
  <c r="AF17" i="1"/>
  <c r="AE17" i="1"/>
  <c r="AA17" i="1"/>
  <c r="K17" i="1"/>
  <c r="G17" i="1"/>
  <c r="E17" i="1"/>
  <c r="N16" i="1"/>
  <c r="K16" i="1"/>
  <c r="G16" i="1"/>
  <c r="E16" i="1"/>
  <c r="O15" i="1"/>
  <c r="M15" i="1"/>
  <c r="K15" i="1"/>
  <c r="G15" i="1"/>
  <c r="E15" i="1"/>
  <c r="N14" i="1"/>
  <c r="L14" i="1"/>
  <c r="K14" i="1"/>
  <c r="G14" i="1"/>
  <c r="E14" i="1"/>
  <c r="O13" i="1"/>
  <c r="M13" i="1"/>
  <c r="K13" i="1"/>
  <c r="G13" i="1"/>
  <c r="E13" i="1"/>
  <c r="N12" i="1"/>
  <c r="L12" i="1"/>
  <c r="G12" i="1"/>
  <c r="E12" i="1"/>
  <c r="AA11" i="1"/>
  <c r="V11" i="1"/>
  <c r="O11" i="1"/>
  <c r="M11" i="1"/>
  <c r="K11" i="1"/>
  <c r="G11" i="1"/>
  <c r="E11" i="1"/>
  <c r="AA10" i="1"/>
  <c r="K10" i="1"/>
  <c r="G10" i="1"/>
  <c r="E10" i="1"/>
  <c r="N9" i="1"/>
  <c r="L9" i="1"/>
  <c r="K9" i="1"/>
  <c r="G9" i="1"/>
  <c r="E9" i="1"/>
  <c r="K8" i="1"/>
  <c r="G8" i="1"/>
  <c r="E8" i="1"/>
  <c r="K7" i="1"/>
  <c r="G7" i="1"/>
  <c r="E7" i="1"/>
  <c r="N6" i="1"/>
  <c r="L6" i="1"/>
  <c r="K6" i="1"/>
  <c r="G6" i="1"/>
  <c r="E6" i="1"/>
  <c r="AA5" i="1"/>
  <c r="O5" i="1"/>
  <c r="M5" i="1"/>
  <c r="K5" i="1"/>
  <c r="G5" i="1"/>
  <c r="E5" i="1"/>
  <c r="O4" i="1"/>
  <c r="M4" i="1"/>
  <c r="K4" i="1"/>
  <c r="G4" i="1"/>
  <c r="E4" i="1"/>
  <c r="AA3" i="1"/>
  <c r="N3" i="1"/>
  <c r="L3" i="1"/>
  <c r="K3" i="1"/>
  <c r="G3" i="1"/>
  <c r="E3" i="1"/>
</calcChain>
</file>

<file path=xl/sharedStrings.xml><?xml version="1.0" encoding="utf-8"?>
<sst xmlns="http://schemas.openxmlformats.org/spreadsheetml/2006/main" count="3182" uniqueCount="1443">
  <si>
    <t>男子(GS)</t>
  </si>
  <si>
    <t>2015-2016</t>
  </si>
  <si>
    <t>大会PP</t>
    <rPh sb="0" eb="2">
      <t>タイカイ</t>
    </rPh>
    <phoneticPr fontId="2"/>
  </si>
  <si>
    <t>順位</t>
  </si>
  <si>
    <t>SAT競技者番号</t>
  </si>
  <si>
    <t>選手氏名</t>
  </si>
  <si>
    <t>団体名</t>
  </si>
  <si>
    <t>期中ポイント</t>
  </si>
  <si>
    <t>期中Fig</t>
  </si>
  <si>
    <t>期末ポイント</t>
  </si>
  <si>
    <t>期末Fig</t>
  </si>
  <si>
    <t>適用パターン</t>
  </si>
  <si>
    <t>最終登録年度</t>
  </si>
  <si>
    <t>前年度ポイント</t>
  </si>
  <si>
    <t>①猪谷杯 男子A～少年</t>
    <phoneticPr fontId="2"/>
  </si>
  <si>
    <t>①猪谷杯 男子C</t>
    <phoneticPr fontId="2"/>
  </si>
  <si>
    <t>①国体予選 男子A～少年</t>
    <phoneticPr fontId="2"/>
  </si>
  <si>
    <t>①国体予選 男子C</t>
    <phoneticPr fontId="2"/>
  </si>
  <si>
    <t>②関東チルドレン２（木島） 男子Ａ・Ｂ・Ｋ１</t>
    <phoneticPr fontId="2"/>
  </si>
  <si>
    <t>②関東チルドレン２（木島） 男子Ｋ２</t>
    <phoneticPr fontId="2"/>
  </si>
  <si>
    <t>③　関東小学生 男子Ａ・Ｂ</t>
  </si>
  <si>
    <t>③　関東小学生 男子Ｋ１</t>
  </si>
  <si>
    <t>④　関東チルドレン 男子Ｋ１</t>
  </si>
  <si>
    <t>④　関東チルドレン 男子Ｋ２</t>
  </si>
  <si>
    <t>⑤　関東マスターズ（野沢） 男子Ａ</t>
  </si>
  <si>
    <t>⑤　関東マスターズ（野沢） 男子Ｂ</t>
  </si>
  <si>
    <t>⑨　全国高校予選（選考会） 男子</t>
  </si>
  <si>
    <t>⑨　全国高校予選（本大会） 男子</t>
  </si>
  <si>
    <t>⑩　全中予選 男子</t>
  </si>
  <si>
    <t>⑪　ＷＳＣ選手権 男子</t>
  </si>
  <si>
    <t>⑪　ＷＳＣ選手権 男子Ｍ</t>
  </si>
  <si>
    <t>⑫　都高校（選考会） 男子</t>
  </si>
  <si>
    <t>⑫　都高校（本大会） 男子</t>
  </si>
  <si>
    <t>⑬Ｍｔ苗場（かぐら第一戦） 男子</t>
    <phoneticPr fontId="2"/>
  </si>
  <si>
    <t>⑬Ｍｔ苗場（苗場第二戦） 男子</t>
    <phoneticPr fontId="2"/>
  </si>
  <si>
    <t>⑭　野辺山 男子</t>
  </si>
  <si>
    <t>⑮　アルペン複合 男子</t>
  </si>
  <si>
    <t>⑮　アルペン複合 男子CL</t>
  </si>
  <si>
    <t>萩生田 博之</t>
  </si>
  <si>
    <t>ＩＣＩ石井スポーツスキークラブ</t>
  </si>
  <si>
    <t>松本 継之</t>
  </si>
  <si>
    <t>ユーエスエムアール</t>
  </si>
  <si>
    <t>戸井田 慎</t>
  </si>
  <si>
    <t>ラッチ（RACH)</t>
  </si>
  <si>
    <t>宮本 浩光</t>
  </si>
  <si>
    <t>シュアスキークラブ</t>
  </si>
  <si>
    <t>頼光 一太郎</t>
  </si>
  <si>
    <t>八王子スキー連盟</t>
  </si>
  <si>
    <t>*</t>
  </si>
  <si>
    <t>高澤 伸</t>
  </si>
  <si>
    <t>田中 亜留羽</t>
  </si>
  <si>
    <t>練馬区スキー協会</t>
  </si>
  <si>
    <t>波多 優</t>
  </si>
  <si>
    <t>シール・クラブ</t>
  </si>
  <si>
    <t>①</t>
  </si>
  <si>
    <t>吉田 裕治</t>
  </si>
  <si>
    <t>チーム フォン (TEAM VON)</t>
  </si>
  <si>
    <t>本部 勇貴</t>
  </si>
  <si>
    <t>フリースキークラブ</t>
  </si>
  <si>
    <t>斉藤 範光</t>
  </si>
  <si>
    <t>スポーツユニティ</t>
  </si>
  <si>
    <t>高原 悠綺</t>
  </si>
  <si>
    <t>Ｚスキークラブ</t>
  </si>
  <si>
    <t>広瀬 勇人</t>
  </si>
  <si>
    <t>ゴールドウインスキークラブ</t>
  </si>
  <si>
    <t>木村 翔馬</t>
  </si>
  <si>
    <t>東京スポーツマンクラブ</t>
  </si>
  <si>
    <t>坂本 貴優</t>
  </si>
  <si>
    <t>千葉 凱人</t>
  </si>
  <si>
    <t>五藤 伯文</t>
  </si>
  <si>
    <t>ジーファクトリー</t>
  </si>
  <si>
    <t>原田 達也</t>
  </si>
  <si>
    <t>デサントスキーチーム</t>
  </si>
  <si>
    <t>荒井 祐治</t>
  </si>
  <si>
    <t>モンタナスキークラブ</t>
  </si>
  <si>
    <t>一ノ瀬 丞</t>
  </si>
  <si>
    <t>東京都高等学校体育連盟スキー部</t>
  </si>
  <si>
    <t>篠原 広大</t>
  </si>
  <si>
    <t>〇</t>
    <phoneticPr fontId="2"/>
  </si>
  <si>
    <t>西原 駿介</t>
  </si>
  <si>
    <t>門脇 博英</t>
  </si>
  <si>
    <t>ファイヤーレーシングチーム</t>
  </si>
  <si>
    <t>瓦井 海年</t>
  </si>
  <si>
    <t>小宮 章弘</t>
  </si>
  <si>
    <t>スラロームスキークラブ</t>
  </si>
  <si>
    <t>篠木 知</t>
  </si>
  <si>
    <t>チーム・ビートゥー・ゼット</t>
  </si>
  <si>
    <t>永田 嵐</t>
  </si>
  <si>
    <t>手塚 雅貴</t>
  </si>
  <si>
    <t>日本アルペンスキークラブ</t>
  </si>
  <si>
    <t>萩生田 純宇</t>
  </si>
  <si>
    <t>手塚 達也</t>
  </si>
  <si>
    <t>山田 裕之</t>
  </si>
  <si>
    <t>世田谷区スキー協会</t>
  </si>
  <si>
    <t>瀬川 祐輝</t>
  </si>
  <si>
    <t>土田 英</t>
  </si>
  <si>
    <t>雪桜会</t>
  </si>
  <si>
    <t>西山 陸斗</t>
  </si>
  <si>
    <t>東京都中学校体育連盟スキー部</t>
  </si>
  <si>
    <t>森下 颯大</t>
  </si>
  <si>
    <t>秋本 健太</t>
  </si>
  <si>
    <t>増田 蒼</t>
  </si>
  <si>
    <t>市川 隼也</t>
  </si>
  <si>
    <t>ベラーク</t>
  </si>
  <si>
    <t>岡本 龍</t>
  </si>
  <si>
    <t>木村 知仁</t>
  </si>
  <si>
    <t>小木曽 翔</t>
  </si>
  <si>
    <t>府中市スキー連盟</t>
  </si>
  <si>
    <t>相馬 勝利</t>
  </si>
  <si>
    <t>ステューピッドスキークラブ</t>
  </si>
  <si>
    <t>鈴木 修太郎</t>
  </si>
  <si>
    <t>吉田 祥貴</t>
  </si>
  <si>
    <t>チーム　ラッシュ</t>
  </si>
  <si>
    <t>武井 哲応</t>
  </si>
  <si>
    <t>港区スキー連盟</t>
  </si>
  <si>
    <t>大髙 裕生</t>
  </si>
  <si>
    <t>古川 信行</t>
  </si>
  <si>
    <t>西尾 一輝</t>
  </si>
  <si>
    <t>黒川 正人</t>
  </si>
  <si>
    <t>丸山 英明</t>
  </si>
  <si>
    <t>小池 泰介</t>
  </si>
  <si>
    <t>光延 貴之</t>
  </si>
  <si>
    <t>板橋区スキー協会</t>
  </si>
  <si>
    <t>小松原 誠</t>
  </si>
  <si>
    <t>湯口 暁</t>
  </si>
  <si>
    <t>ＧＯＤレーシング</t>
  </si>
  <si>
    <t>岡田 勝義</t>
  </si>
  <si>
    <t>三鷹市スキー連盟</t>
  </si>
  <si>
    <t>伊藤 裕行</t>
  </si>
  <si>
    <t>ＭＡＸＩＭＵＭスキーチーム</t>
  </si>
  <si>
    <t>戸祭 修平</t>
  </si>
  <si>
    <t>齋藤 優</t>
  </si>
  <si>
    <t>秋山 航一</t>
  </si>
  <si>
    <t>武蔵野市スキー連盟</t>
  </si>
  <si>
    <t>竹内 明</t>
  </si>
  <si>
    <t>水木 汰世</t>
  </si>
  <si>
    <t>松崎 知宏</t>
  </si>
  <si>
    <t>松田 笙太郎</t>
  </si>
  <si>
    <t>浅輪 景一</t>
  </si>
  <si>
    <t>アートスポーツスキークラブ</t>
  </si>
  <si>
    <t>平野 颯人</t>
  </si>
  <si>
    <t>境 悠太</t>
  </si>
  <si>
    <t>鈴木 鷹平</t>
  </si>
  <si>
    <t>ジャスク</t>
  </si>
  <si>
    <t>吉澤 雅晴</t>
  </si>
  <si>
    <t>エーデル・スキー・クラブ</t>
  </si>
  <si>
    <t>片山 亮志</t>
  </si>
  <si>
    <t>ミーナン シーフラ</t>
  </si>
  <si>
    <t>カンダハートライブ レーシング</t>
  </si>
  <si>
    <t>清水 悟</t>
  </si>
  <si>
    <t>福岡 利悦</t>
  </si>
  <si>
    <t>林 克行</t>
  </si>
  <si>
    <t>保江 佳克</t>
  </si>
  <si>
    <t>日立製作所本社スキー部</t>
  </si>
  <si>
    <t>大平 誠</t>
  </si>
  <si>
    <t>工藤 亮太</t>
  </si>
  <si>
    <t>髙杉 豪</t>
  </si>
  <si>
    <t>スキーサークルスリム</t>
  </si>
  <si>
    <t>鈴木 真</t>
  </si>
  <si>
    <t>宮崎 浩</t>
  </si>
  <si>
    <t>鈴木 朋哉</t>
  </si>
  <si>
    <t>菅原 俊一</t>
  </si>
  <si>
    <t>小平市スキー連盟</t>
  </si>
  <si>
    <t>窪島 竜太</t>
  </si>
  <si>
    <t>梅沢 久武</t>
  </si>
  <si>
    <t>トラームスキークラブ</t>
  </si>
  <si>
    <t>服部 正史</t>
  </si>
  <si>
    <t>清水 靖男</t>
  </si>
  <si>
    <t>市川 岳海</t>
  </si>
  <si>
    <t>荒井 元気</t>
  </si>
  <si>
    <t>清瀬スキー倶楽部</t>
  </si>
  <si>
    <t>栗山 一輝</t>
  </si>
  <si>
    <t>日下部 卓哉</t>
  </si>
  <si>
    <t>大野 兼司</t>
  </si>
  <si>
    <t>宮脇 駿</t>
  </si>
  <si>
    <t>渕脇 滉太</t>
  </si>
  <si>
    <t>野辺山スキークラブ</t>
  </si>
  <si>
    <t>岡澤 勝</t>
  </si>
  <si>
    <t>茂木 孝太郎</t>
  </si>
  <si>
    <t>アカデミースキークラブ</t>
  </si>
  <si>
    <t>馬場 健哉</t>
  </si>
  <si>
    <t>村本 成洋</t>
  </si>
  <si>
    <t>サウンズスキークラブ</t>
  </si>
  <si>
    <t>内山 祐一</t>
  </si>
  <si>
    <t>グランバン・レーシング</t>
  </si>
  <si>
    <t>川又 眞綱</t>
  </si>
  <si>
    <t>日本ユニシススキークラブ</t>
  </si>
  <si>
    <t>伴 祐人</t>
  </si>
  <si>
    <t>スキーチームゼロ</t>
  </si>
  <si>
    <t>吉武 竜輝</t>
  </si>
  <si>
    <t>菅谷 洋</t>
  </si>
  <si>
    <t>沼田 雅人</t>
  </si>
  <si>
    <t>後藤 和海</t>
  </si>
  <si>
    <t>エスプーマスキーチーム</t>
  </si>
  <si>
    <t>小宮 康平</t>
  </si>
  <si>
    <t>秋元 嘉幸</t>
  </si>
  <si>
    <t>スノーウインドスキークラブ</t>
  </si>
  <si>
    <t>江頭 至光</t>
  </si>
  <si>
    <t>バモススキークラブ</t>
  </si>
  <si>
    <t>伴 健太郎</t>
  </si>
  <si>
    <t>成城スキークラブ</t>
  </si>
  <si>
    <t>日留川 領介</t>
  </si>
  <si>
    <t>河辺 敏郎</t>
  </si>
  <si>
    <t>山中 駿</t>
  </si>
  <si>
    <t>鈴木 一生</t>
  </si>
  <si>
    <t>峰咲 誠弥</t>
  </si>
  <si>
    <t>奥村 英樹</t>
  </si>
  <si>
    <t>高橋 勇太郎</t>
  </si>
  <si>
    <t>片野 景太</t>
  </si>
  <si>
    <t>齋木 秀哉</t>
  </si>
  <si>
    <t>若葉スキークラブ</t>
  </si>
  <si>
    <t>阿部 宗司</t>
  </si>
  <si>
    <t>前田 将宏</t>
  </si>
  <si>
    <t>アスペンスキークラブ</t>
  </si>
  <si>
    <t>木島 秀夫</t>
  </si>
  <si>
    <t>JFEスチールスキー部</t>
  </si>
  <si>
    <t>須賀 亮太</t>
  </si>
  <si>
    <t>星野 倭山</t>
  </si>
  <si>
    <t>郷田 翔平</t>
  </si>
  <si>
    <t>丸山 貴宏</t>
  </si>
  <si>
    <t>スノースケープ</t>
  </si>
  <si>
    <t>星野 英郎</t>
  </si>
  <si>
    <t>ゲインレーシングチーム</t>
  </si>
  <si>
    <t>入江 哲郎</t>
  </si>
  <si>
    <t>堀尾 和正</t>
  </si>
  <si>
    <t>ヴェーデルンスキークラブ</t>
  </si>
  <si>
    <t>中村 光宏</t>
  </si>
  <si>
    <t>西山 海斗</t>
  </si>
  <si>
    <t>早道 奏喜</t>
  </si>
  <si>
    <t>福島 光伸</t>
  </si>
  <si>
    <t>頼光 竜二郎</t>
  </si>
  <si>
    <t>横田 剛直</t>
  </si>
  <si>
    <t>ヌプリスキー同人</t>
  </si>
  <si>
    <t>康野 皓嗣</t>
  </si>
  <si>
    <t>村山 高志</t>
  </si>
  <si>
    <t>林 昭三</t>
  </si>
  <si>
    <t>青木 智洋</t>
  </si>
  <si>
    <t>笠谷 昂大</t>
  </si>
  <si>
    <t>上田 尚志</t>
  </si>
  <si>
    <t>小林 弘典</t>
  </si>
  <si>
    <t>二十日石アルペンスキークラブ</t>
  </si>
  <si>
    <t>干場 英城</t>
  </si>
  <si>
    <t>新宿スキークラブ</t>
  </si>
  <si>
    <t>紀 晃太</t>
  </si>
  <si>
    <t>アシックス・スキークラブ</t>
  </si>
  <si>
    <t>藤枝 良男</t>
  </si>
  <si>
    <t>青木 麗雅</t>
  </si>
  <si>
    <t>浦野 好紀</t>
  </si>
  <si>
    <t>浅貝スキークラブ</t>
  </si>
  <si>
    <t>相馬 悟</t>
  </si>
  <si>
    <t>大江 健嗣</t>
  </si>
  <si>
    <t>多摩市スキー連盟</t>
  </si>
  <si>
    <t>松山 祥太</t>
  </si>
  <si>
    <t>馬場 雅哉</t>
  </si>
  <si>
    <t>志村 康太</t>
  </si>
  <si>
    <t>相木 和生</t>
  </si>
  <si>
    <t>防衛省スキークラブ</t>
  </si>
  <si>
    <t>福岡 秀幸</t>
  </si>
  <si>
    <t>上野 歩夢</t>
  </si>
  <si>
    <t>池野 大介</t>
  </si>
  <si>
    <t>川手 健太郎</t>
  </si>
  <si>
    <t>前波 賢彦</t>
  </si>
  <si>
    <t>石川 清信</t>
  </si>
  <si>
    <t>宮野 次郎</t>
  </si>
  <si>
    <t>近藤 幸男</t>
  </si>
  <si>
    <t>石井 三郎</t>
  </si>
  <si>
    <t>丸沼高原レーシングクラブ</t>
  </si>
  <si>
    <t>小平 健太郎</t>
  </si>
  <si>
    <t>北原 貴太</t>
  </si>
  <si>
    <t>浅見 裕</t>
  </si>
  <si>
    <t>松野 賢一</t>
  </si>
  <si>
    <t>川口 一司</t>
  </si>
  <si>
    <t>スキー愛好会プルーク</t>
  </si>
  <si>
    <t>深沢 伸朗</t>
  </si>
  <si>
    <t>ホリディスキークラブ</t>
  </si>
  <si>
    <t>田村 忍</t>
  </si>
  <si>
    <t>アールビー　トウキョウ</t>
  </si>
  <si>
    <t>林 幸司</t>
  </si>
  <si>
    <t>国峰 昇</t>
  </si>
  <si>
    <t>セッションクラブ東京</t>
  </si>
  <si>
    <t>荒井 大地</t>
  </si>
  <si>
    <t>野原 徹雄</t>
  </si>
  <si>
    <t>ウィッツ</t>
  </si>
  <si>
    <t>宇佐見 裕</t>
  </si>
  <si>
    <t>本山 貴大</t>
  </si>
  <si>
    <t>石井 啓太</t>
  </si>
  <si>
    <t>市川 知宏</t>
  </si>
  <si>
    <t>吉田 裕</t>
  </si>
  <si>
    <t>松本 隆弘</t>
  </si>
  <si>
    <t>スノーマン</t>
  </si>
  <si>
    <t>横山 省</t>
  </si>
  <si>
    <t>中島 希代彦</t>
  </si>
  <si>
    <t>ＪＲ東日本東京スキークラブ</t>
  </si>
  <si>
    <t>坂井 智和</t>
  </si>
  <si>
    <t>スノータンネットクラブ</t>
  </si>
  <si>
    <t>松田 祐兒</t>
  </si>
  <si>
    <t>冠 昌宏</t>
  </si>
  <si>
    <t>三井田 敦弘</t>
  </si>
  <si>
    <t>小林 秀太郎</t>
  </si>
  <si>
    <t>三田ディモンズクラブ</t>
  </si>
  <si>
    <t>佐谷 青星</t>
  </si>
  <si>
    <t>岡部 洋一</t>
  </si>
  <si>
    <t>ツィールトウキョウ（Ｚieｌ Tokyo)</t>
  </si>
  <si>
    <t>原 貴士</t>
  </si>
  <si>
    <t>上原 新次</t>
  </si>
  <si>
    <t>江東区スキー連盟</t>
  </si>
  <si>
    <t>片桐 哲夫</t>
  </si>
  <si>
    <t>スポーツファンクション</t>
  </si>
  <si>
    <t>新名 将也</t>
  </si>
  <si>
    <t>上野 雄平</t>
  </si>
  <si>
    <t>村上 雅也</t>
  </si>
  <si>
    <t>廣作 拓郎</t>
  </si>
  <si>
    <t>スキーチームアスリート</t>
  </si>
  <si>
    <t>加藤 信一郎</t>
  </si>
  <si>
    <t>中野 幸二</t>
  </si>
  <si>
    <t>熊谷 和則</t>
  </si>
  <si>
    <t>澤田 健</t>
  </si>
  <si>
    <t>ディップス スキークラブ</t>
  </si>
  <si>
    <t>天谷 祥吾</t>
  </si>
  <si>
    <t>藤田 裕明</t>
  </si>
  <si>
    <t>島田 喜久則</t>
  </si>
  <si>
    <t>大高 照平</t>
  </si>
  <si>
    <t>河野 太郎</t>
  </si>
  <si>
    <t>伊藤 肇</t>
  </si>
  <si>
    <t>ペガーズスキークラブ</t>
  </si>
  <si>
    <t>樗澤 啓祐</t>
  </si>
  <si>
    <t>野々山 淳</t>
  </si>
  <si>
    <t>安田 晃</t>
  </si>
  <si>
    <t>坂口 雄基</t>
  </si>
  <si>
    <t>須藤 公貴</t>
  </si>
  <si>
    <t>バディスポーツクラブ</t>
  </si>
  <si>
    <t>三原 蔵</t>
  </si>
  <si>
    <t>広瀬 逸郎</t>
  </si>
  <si>
    <t>東谷 学由</t>
  </si>
  <si>
    <t>小山 優</t>
  </si>
  <si>
    <t>根岸 俊之</t>
  </si>
  <si>
    <t>中村 英樹</t>
  </si>
  <si>
    <t>ＮＥＣ府中スキー部</t>
  </si>
  <si>
    <t>前田 湧作</t>
  </si>
  <si>
    <t>小長谷 修</t>
  </si>
  <si>
    <t>大高 昇</t>
  </si>
  <si>
    <t>粕谷 岳洋</t>
  </si>
  <si>
    <t>嶋田 一幸</t>
  </si>
  <si>
    <t>大塚 繁夫</t>
  </si>
  <si>
    <t>福嶋 剛</t>
  </si>
  <si>
    <t>小笠原 世亜</t>
  </si>
  <si>
    <t>諸岡 徹</t>
  </si>
  <si>
    <t>谷延 愼司</t>
  </si>
  <si>
    <t>栗原 渉</t>
  </si>
  <si>
    <t>重光 玄</t>
  </si>
  <si>
    <t>戸田 直人</t>
  </si>
  <si>
    <t>平松 直季</t>
  </si>
  <si>
    <t>西川 建</t>
  </si>
  <si>
    <t>木村 久一</t>
  </si>
  <si>
    <t>東京消防庁スキー部</t>
  </si>
  <si>
    <t>亀山 詔一</t>
  </si>
  <si>
    <t>坂内 友岳</t>
  </si>
  <si>
    <t>安川 嘉敬</t>
  </si>
  <si>
    <t>河野 秀彰</t>
  </si>
  <si>
    <t>小川 ルーク</t>
  </si>
  <si>
    <t>佐藤 大悟</t>
  </si>
  <si>
    <t>三浦 雄輝</t>
  </si>
  <si>
    <t>吉川 剛志</t>
  </si>
  <si>
    <t>福田 智弘</t>
  </si>
  <si>
    <t>杉並区スキー連盟</t>
  </si>
  <si>
    <t>加藤 裕</t>
  </si>
  <si>
    <t>島田 岳洋</t>
  </si>
  <si>
    <t>高橋 徹</t>
  </si>
  <si>
    <t>ヴィトラ・レーシングクラブ</t>
  </si>
  <si>
    <t>横山 真太郎</t>
  </si>
  <si>
    <t>大武 正幸</t>
  </si>
  <si>
    <t>髙橋 雄司</t>
  </si>
  <si>
    <t>岡本 宏和</t>
  </si>
  <si>
    <t>武蔵村山スキー協会</t>
  </si>
  <si>
    <t>宮尾 暁</t>
  </si>
  <si>
    <t>吉川 昌宏</t>
  </si>
  <si>
    <t>東出 憲一</t>
  </si>
  <si>
    <t>川田 誠</t>
  </si>
  <si>
    <t>北区スキー連盟</t>
  </si>
  <si>
    <t>石野 雄一</t>
  </si>
  <si>
    <t>福室 直志</t>
  </si>
  <si>
    <t>上村 黎</t>
  </si>
  <si>
    <t>饗庭 佑亮</t>
  </si>
  <si>
    <t>日紫喜 薫</t>
  </si>
  <si>
    <t>クオリティ・セブン</t>
  </si>
  <si>
    <t>飯塚 修平</t>
  </si>
  <si>
    <t>山内 直己</t>
  </si>
  <si>
    <t>髙井 勇翔</t>
  </si>
  <si>
    <t>石川 忠良</t>
  </si>
  <si>
    <t>斎藤 充</t>
  </si>
  <si>
    <t>小塩 慶人</t>
  </si>
  <si>
    <t>摠谷 怜隼</t>
  </si>
  <si>
    <t>朝比奈 秀樹</t>
  </si>
  <si>
    <t>ＮＴＴ東京スキー部</t>
  </si>
  <si>
    <t>野村 一貴</t>
  </si>
  <si>
    <t>特別区職員文化体育会スキー部</t>
  </si>
  <si>
    <t>新川 健之</t>
  </si>
  <si>
    <t>佐藤 善紀</t>
  </si>
  <si>
    <t>町田市スキー連盟</t>
  </si>
  <si>
    <t>栗林 一成</t>
  </si>
  <si>
    <t>神蔵 順一朗</t>
  </si>
  <si>
    <t>福室 心</t>
  </si>
  <si>
    <t>本山 幸雄</t>
  </si>
  <si>
    <t>竹山 晃司</t>
  </si>
  <si>
    <t>今野 太朗</t>
  </si>
  <si>
    <t>吉澤 采佑</t>
  </si>
  <si>
    <t>熊沢 明</t>
  </si>
  <si>
    <t>酒井 貴弘</t>
  </si>
  <si>
    <t>中野区スキー協会</t>
  </si>
  <si>
    <t>緒方 健太郎</t>
  </si>
  <si>
    <t>ノースウィンド  スキークラブ</t>
  </si>
  <si>
    <t>伴 啓明</t>
  </si>
  <si>
    <t>大内 武彦</t>
  </si>
  <si>
    <t>富安 有爾</t>
  </si>
  <si>
    <t>市河 宏章</t>
  </si>
  <si>
    <t>井上 雅王</t>
  </si>
  <si>
    <t>有馬 卓郎</t>
  </si>
  <si>
    <t>ふくろうスキークラブ</t>
  </si>
  <si>
    <t>伊藤 拓美</t>
  </si>
  <si>
    <t>堂内 憲治</t>
  </si>
  <si>
    <t>渡辺 光</t>
  </si>
  <si>
    <t>松嶋 嶺</t>
  </si>
  <si>
    <t>〇</t>
    <phoneticPr fontId="2"/>
  </si>
  <si>
    <t>斉藤 富彦</t>
  </si>
  <si>
    <t>立川市スキー連盟</t>
  </si>
  <si>
    <t>瀬戸崎 健</t>
  </si>
  <si>
    <t>大西 拓磨</t>
  </si>
  <si>
    <t>遠藤 侑太翔</t>
  </si>
  <si>
    <t>高山 元成</t>
  </si>
  <si>
    <t>小林 宣樹</t>
  </si>
  <si>
    <t>海部 圭伸</t>
  </si>
  <si>
    <t>杵渕 桂一朗</t>
  </si>
  <si>
    <t>東村山市スキー連盟</t>
  </si>
  <si>
    <t>古川 浩次</t>
  </si>
  <si>
    <t>成田 一寛</t>
  </si>
  <si>
    <t>秋元 俊祐</t>
  </si>
  <si>
    <t>福田 隆</t>
  </si>
  <si>
    <t>松宮 弘忠</t>
  </si>
  <si>
    <t>〇</t>
    <phoneticPr fontId="2"/>
  </si>
  <si>
    <t>中田 祐希</t>
  </si>
  <si>
    <t>川上 光一</t>
  </si>
  <si>
    <t>鳥居 正行</t>
  </si>
  <si>
    <t>ＵＮＯスキークラブ</t>
  </si>
  <si>
    <t>小林 東次</t>
  </si>
  <si>
    <t>水川 太貴</t>
  </si>
  <si>
    <t>梅原 久</t>
  </si>
  <si>
    <t>澤村 俊季</t>
  </si>
  <si>
    <t>臼田 大樹</t>
  </si>
  <si>
    <t>秦 義史</t>
  </si>
  <si>
    <t>遠山 博司</t>
  </si>
  <si>
    <t>三明 拓也</t>
  </si>
  <si>
    <t>福田 博文</t>
  </si>
  <si>
    <t>中川 健介</t>
  </si>
  <si>
    <t>粟津 健太</t>
  </si>
  <si>
    <t>清水 則雪</t>
  </si>
  <si>
    <t>篠塚 成輝</t>
  </si>
  <si>
    <t>高杉 晋治</t>
  </si>
  <si>
    <t>佐々木 健一</t>
  </si>
  <si>
    <t>河村 達哉</t>
  </si>
  <si>
    <t>吉野 尚恭</t>
  </si>
  <si>
    <t>吉池 晋一</t>
  </si>
  <si>
    <t>増田 卓郎</t>
  </si>
  <si>
    <t>チロルスキークラブ</t>
  </si>
  <si>
    <t>馬越 太朗</t>
  </si>
  <si>
    <t>中山 圭三</t>
  </si>
  <si>
    <t>瀬田 昌彦</t>
  </si>
  <si>
    <t>中野 義達</t>
  </si>
  <si>
    <t>松本 直広</t>
  </si>
  <si>
    <t>市村 隼人</t>
  </si>
  <si>
    <t>殿塚 崇央</t>
  </si>
  <si>
    <t>田中 慈音</t>
  </si>
  <si>
    <t>濱崎 雄志</t>
  </si>
  <si>
    <t>榎本 来飛</t>
  </si>
  <si>
    <t>久宗 克也</t>
  </si>
  <si>
    <t>加藤 禎博</t>
  </si>
  <si>
    <t>竹本 哲郎</t>
  </si>
  <si>
    <t>高橋 尚暉</t>
  </si>
  <si>
    <t>幸得 凌大</t>
  </si>
  <si>
    <t>石井 健嗣</t>
  </si>
  <si>
    <t>今野 敬行</t>
  </si>
  <si>
    <t>ブルース クロフォード</t>
  </si>
  <si>
    <t>保坂 元</t>
  </si>
  <si>
    <t>眞鍋 一樹</t>
  </si>
  <si>
    <t>石田 満</t>
  </si>
  <si>
    <t>西 俊郎</t>
  </si>
  <si>
    <t>小林 秀徳</t>
  </si>
  <si>
    <t>兼松 聖</t>
  </si>
  <si>
    <t>東京ベーレンスキークラブ</t>
  </si>
  <si>
    <t>林 光三</t>
  </si>
  <si>
    <t>坂崎 一郎</t>
  </si>
  <si>
    <t>川島 敏男</t>
  </si>
  <si>
    <t>福岡 大知</t>
  </si>
  <si>
    <t>吉野 康博</t>
  </si>
  <si>
    <t>加藤 博泰</t>
  </si>
  <si>
    <t>横田 昌治</t>
  </si>
  <si>
    <t>ときスキークラブ</t>
  </si>
  <si>
    <t>小西 博英</t>
  </si>
  <si>
    <t>横山 哲也</t>
  </si>
  <si>
    <t>東京アルム・スキークラブ</t>
  </si>
  <si>
    <t>澤田 祐二</t>
  </si>
  <si>
    <t>ブランシェリースキー クローブ</t>
  </si>
  <si>
    <t>星 勝実</t>
  </si>
  <si>
    <t>山後 優治</t>
  </si>
  <si>
    <t>福原 力</t>
  </si>
  <si>
    <t>田屋 裕範</t>
  </si>
  <si>
    <t>トルベ・コムラード</t>
  </si>
  <si>
    <t>嶋川 憲治</t>
  </si>
  <si>
    <t>富久尾 真輝</t>
  </si>
  <si>
    <t>阿部 祐三</t>
  </si>
  <si>
    <t>尼崎 義郎</t>
  </si>
  <si>
    <t>石渡 亮</t>
  </si>
  <si>
    <t>中島 世生</t>
  </si>
  <si>
    <t>遠藤 太郎</t>
  </si>
  <si>
    <t>谷口 達彦</t>
  </si>
  <si>
    <t>清野 雅彦</t>
  </si>
  <si>
    <t>豊野 悠次</t>
  </si>
  <si>
    <t>小池 和喜隆</t>
  </si>
  <si>
    <t>杉山 幹直</t>
  </si>
  <si>
    <t>白馬スキークラブ</t>
  </si>
  <si>
    <t>新出 翔太</t>
  </si>
  <si>
    <t>小松 俊彦</t>
  </si>
  <si>
    <t>森山 文彦</t>
  </si>
  <si>
    <t>小柳 恒一</t>
  </si>
  <si>
    <t>富田 良知</t>
  </si>
  <si>
    <t>根岸 拓生</t>
  </si>
  <si>
    <t>石原 智弘</t>
  </si>
  <si>
    <t>武井 克己</t>
  </si>
  <si>
    <t>山田 範秀</t>
  </si>
  <si>
    <t>新井 大介</t>
  </si>
  <si>
    <t>岡島 茂</t>
  </si>
  <si>
    <t>田中 智樹</t>
  </si>
  <si>
    <t>青木 巧</t>
  </si>
  <si>
    <t>ブリリアントスキー同人</t>
  </si>
  <si>
    <t>野口 慧悟</t>
  </si>
  <si>
    <t>石井 元</t>
  </si>
  <si>
    <t>川口 幸太郎</t>
  </si>
  <si>
    <t>小野木 直人</t>
  </si>
  <si>
    <t>伊藤 欣一</t>
  </si>
  <si>
    <t>斉藤 聖治</t>
  </si>
  <si>
    <t>柚木 裕明</t>
  </si>
  <si>
    <t>福田 凌介</t>
  </si>
  <si>
    <t>小沼 雄暉</t>
  </si>
  <si>
    <t>杉浦 仁</t>
  </si>
  <si>
    <t>佐竹 伸之</t>
  </si>
  <si>
    <t>本広 春</t>
  </si>
  <si>
    <t>平岡 一志</t>
  </si>
  <si>
    <t>阿部 謙一</t>
  </si>
  <si>
    <t>目黒 博雄</t>
  </si>
  <si>
    <t>大川 一郎</t>
  </si>
  <si>
    <t>芦田 研二</t>
  </si>
  <si>
    <t>大西 秀人</t>
  </si>
  <si>
    <t>森川 勉</t>
  </si>
  <si>
    <t>海山 智九</t>
  </si>
  <si>
    <t>斎藤 徳太郎</t>
  </si>
  <si>
    <t>高橋 智也</t>
  </si>
  <si>
    <t>ヴァイス・ホルン</t>
  </si>
  <si>
    <t>中川 圭介</t>
  </si>
  <si>
    <t>池内 伸行</t>
  </si>
  <si>
    <t>織部 翔</t>
  </si>
  <si>
    <t>中村 重継</t>
  </si>
  <si>
    <t>角谷 航樹</t>
  </si>
  <si>
    <t>今野 太生</t>
  </si>
  <si>
    <t>高嶋 利之</t>
  </si>
  <si>
    <t>濱野 真之</t>
  </si>
  <si>
    <t>濱武 旺史</t>
  </si>
  <si>
    <t>高柳 良大</t>
  </si>
  <si>
    <t>山口 伸夫</t>
  </si>
  <si>
    <t>江尻 利雄</t>
  </si>
  <si>
    <t>鳥羽 功一</t>
  </si>
  <si>
    <t>岡本 悟</t>
  </si>
  <si>
    <t>豊島 昂太</t>
  </si>
  <si>
    <t>東京デフスキークラブ</t>
  </si>
  <si>
    <t>野上 信悟</t>
  </si>
  <si>
    <t>大木 寛人</t>
  </si>
  <si>
    <t>篠 誠</t>
  </si>
  <si>
    <t>田中 敏明</t>
  </si>
  <si>
    <t>柳島 克己</t>
  </si>
  <si>
    <t>瀧井 靖和</t>
  </si>
  <si>
    <t>中山 隼佑</t>
  </si>
  <si>
    <t>高橋 貞史</t>
  </si>
  <si>
    <t>東京都庁体育会スキー部</t>
  </si>
  <si>
    <t>小野 雄一</t>
  </si>
  <si>
    <t>坂口 弘毅</t>
  </si>
  <si>
    <t>鈴木 望</t>
  </si>
  <si>
    <t>黒越 亮史</t>
  </si>
  <si>
    <t>畑中 真一</t>
  </si>
  <si>
    <t>エコー・コムラード</t>
  </si>
  <si>
    <t>宇田川 海輝</t>
  </si>
  <si>
    <t>山中 省三</t>
  </si>
  <si>
    <t>西原 孝俊</t>
  </si>
  <si>
    <t>チームディーエルベーハースキークラブ</t>
  </si>
  <si>
    <t>山岸 達也</t>
  </si>
  <si>
    <t>井上 裕大</t>
  </si>
  <si>
    <t>堀 正弘</t>
  </si>
  <si>
    <t>スキー・フリークス・クラブ</t>
  </si>
  <si>
    <t>阿部 光一郎</t>
  </si>
  <si>
    <t>浅野 颯太</t>
  </si>
  <si>
    <t>神田 友義</t>
  </si>
  <si>
    <t>近藤 英太</t>
  </si>
  <si>
    <t>鈴木 孝</t>
  </si>
  <si>
    <t>島田 眞人</t>
  </si>
  <si>
    <t>柏木 直人</t>
  </si>
  <si>
    <t>久和野 純也</t>
  </si>
  <si>
    <t>酒井 優希</t>
  </si>
  <si>
    <t>袴田 秀昭</t>
  </si>
  <si>
    <t>土生 智弘</t>
  </si>
  <si>
    <t>清水 千悠人</t>
  </si>
  <si>
    <t>鈴木 日出男</t>
  </si>
  <si>
    <t>中野 圭ニ</t>
  </si>
  <si>
    <t>石井 哲也</t>
  </si>
  <si>
    <t>岩崎 裕之</t>
  </si>
  <si>
    <t>友野 喜正</t>
  </si>
  <si>
    <t>岡田 哲人</t>
  </si>
  <si>
    <t>内田 義明</t>
  </si>
  <si>
    <t>佐藤 譲</t>
  </si>
  <si>
    <t>渡嘉敷 健</t>
  </si>
  <si>
    <t>坂本 暁祐</t>
  </si>
  <si>
    <t>馬場 仁</t>
  </si>
  <si>
    <t>遊佐 詔一</t>
  </si>
  <si>
    <t>藤森 幸三</t>
  </si>
  <si>
    <t>西潟 三代次</t>
  </si>
  <si>
    <t>丸田 規博</t>
  </si>
  <si>
    <t>坂本 怜大</t>
  </si>
  <si>
    <t>工藤 直樹</t>
  </si>
  <si>
    <t>白石 裕貴</t>
  </si>
  <si>
    <t>高橋 俊晴</t>
  </si>
  <si>
    <t>中島 史晶</t>
  </si>
  <si>
    <t>柴田 富男</t>
  </si>
  <si>
    <t>高津 義喜</t>
  </si>
  <si>
    <t>吉田 哲平</t>
  </si>
  <si>
    <t>宮地 好彦</t>
  </si>
  <si>
    <t>榎本 弘容</t>
  </si>
  <si>
    <t>石原 裕久</t>
  </si>
  <si>
    <t>見波 弘</t>
  </si>
  <si>
    <t>山本 章太</t>
  </si>
  <si>
    <t>杉田 雅宏</t>
  </si>
  <si>
    <t>ラッセルスキークラブ</t>
  </si>
  <si>
    <t>神尾 昴雅</t>
  </si>
  <si>
    <t>生形 嘉良</t>
  </si>
  <si>
    <t>神谷 宏徳</t>
  </si>
  <si>
    <t>柳澤 陽</t>
  </si>
  <si>
    <t>白崎 弘隆</t>
  </si>
  <si>
    <t>杉山 隆</t>
  </si>
  <si>
    <t>寺岡 岳夫</t>
  </si>
  <si>
    <t>横内 善雄</t>
  </si>
  <si>
    <t>横山 弘昭</t>
  </si>
  <si>
    <t>東京ミタカファーストスキークラブ</t>
  </si>
  <si>
    <t>大山 穂高</t>
  </si>
  <si>
    <t>清水 颯太</t>
  </si>
  <si>
    <t>依田 真治</t>
  </si>
  <si>
    <t>斉藤 幸一</t>
  </si>
  <si>
    <t>日本レーシングスキークラブ</t>
  </si>
  <si>
    <t>東 雄二郎</t>
  </si>
  <si>
    <t>小山 優生</t>
  </si>
  <si>
    <t>小長井 俊介</t>
  </si>
  <si>
    <t>中村 知大</t>
  </si>
  <si>
    <t>大湯 正彦</t>
  </si>
  <si>
    <t>森田 哲男</t>
  </si>
  <si>
    <t>大中 友志</t>
  </si>
  <si>
    <t>斉藤 広美</t>
  </si>
  <si>
    <t>控井 悠太</t>
  </si>
  <si>
    <t>小林 優斗</t>
  </si>
  <si>
    <t>早川 忍</t>
  </si>
  <si>
    <t>是枝 祐太</t>
  </si>
  <si>
    <t>ジューディッチ ロメオ</t>
  </si>
  <si>
    <t>中村 涼</t>
  </si>
  <si>
    <t>増本 嵩</t>
  </si>
  <si>
    <t>滝野瀬 聖</t>
  </si>
  <si>
    <t>鈴木 健史</t>
  </si>
  <si>
    <t>シー・アクトスキークラブ</t>
  </si>
  <si>
    <t>磯 雄一</t>
  </si>
  <si>
    <t>今村 郁男</t>
  </si>
  <si>
    <t>鈴木 岳人</t>
  </si>
  <si>
    <t>田沢 慎吾</t>
  </si>
  <si>
    <t>脇谷 柊司</t>
  </si>
  <si>
    <t>田中 茂樹</t>
  </si>
  <si>
    <t>大田 想楽</t>
  </si>
  <si>
    <t>峯山 陸</t>
  </si>
  <si>
    <t>金田 和也</t>
  </si>
  <si>
    <t>石井 幹人</t>
  </si>
  <si>
    <t>奥多摩スキークラブ</t>
  </si>
  <si>
    <t>赤尾 豪宜</t>
  </si>
  <si>
    <t>松村 周平</t>
  </si>
  <si>
    <t>吉光 一郎</t>
  </si>
  <si>
    <t>國井 達宏</t>
  </si>
  <si>
    <t>関谷 隼太郎</t>
  </si>
  <si>
    <t>宮脇 瞭</t>
  </si>
  <si>
    <t>長谷川 一弘</t>
  </si>
  <si>
    <t>武下 真志</t>
  </si>
  <si>
    <t>秦 憲伸</t>
  </si>
  <si>
    <t>仲野 守</t>
  </si>
  <si>
    <t>酒井 直希</t>
  </si>
  <si>
    <t>長瀬 好幸</t>
  </si>
  <si>
    <t>菊池 立身</t>
  </si>
  <si>
    <t>望月 史</t>
  </si>
  <si>
    <t>小野寺 寛</t>
  </si>
  <si>
    <t>形屋 亮一</t>
  </si>
  <si>
    <t>関 義男</t>
  </si>
  <si>
    <t>板羽 佑樹</t>
  </si>
  <si>
    <t>加地 貴勝</t>
  </si>
  <si>
    <t>山口 孝</t>
  </si>
  <si>
    <t>石川 勝幸</t>
  </si>
  <si>
    <t>Ｋ．Ｓ．Ｃ</t>
  </si>
  <si>
    <t>若山 俊郎</t>
  </si>
  <si>
    <t>青梅市スキー連盟</t>
  </si>
  <si>
    <t>吉原 稔幸</t>
  </si>
  <si>
    <t>金井 均</t>
  </si>
  <si>
    <t>鈴木 脩斗</t>
  </si>
  <si>
    <t>小野寺 徹</t>
  </si>
  <si>
    <t>瀬戸 信治</t>
  </si>
  <si>
    <t>山田 竜万</t>
  </si>
  <si>
    <t>野中 走馬</t>
  </si>
  <si>
    <t>中村 将大</t>
  </si>
  <si>
    <t>渡辺 秀昭</t>
  </si>
  <si>
    <t>東芝府中工場スキー部</t>
  </si>
  <si>
    <t>中村 剛之進</t>
  </si>
  <si>
    <t>牧野 達朗</t>
  </si>
  <si>
    <t>渋谷区スキー連盟</t>
  </si>
  <si>
    <t>藤 皓貴</t>
  </si>
  <si>
    <t>大塚 寛之</t>
  </si>
  <si>
    <t>国分寺市スキー連盟</t>
  </si>
  <si>
    <t>山内 大一</t>
  </si>
  <si>
    <t>谷 善樹</t>
  </si>
  <si>
    <t>岡部 哲也</t>
  </si>
  <si>
    <t>ファーストスキークラブ</t>
  </si>
  <si>
    <t>八重樫 一仁</t>
  </si>
  <si>
    <t>柴崎 功士</t>
  </si>
  <si>
    <t>下坂 泰地</t>
  </si>
  <si>
    <t>安藤 太郎</t>
  </si>
  <si>
    <t>出雲屋 一夫</t>
  </si>
  <si>
    <t>松本 奏流</t>
  </si>
  <si>
    <t>寺田 正史</t>
  </si>
  <si>
    <t>西崎 大悟</t>
  </si>
  <si>
    <t>赤石 晃一</t>
  </si>
  <si>
    <t>柳川 誠一郎</t>
  </si>
  <si>
    <t>上村 爽</t>
  </si>
  <si>
    <t>野中 史久</t>
  </si>
  <si>
    <t>竹内 宇音</t>
  </si>
  <si>
    <t>佐々木 勇一</t>
  </si>
  <si>
    <t>上川 愛嵐</t>
  </si>
  <si>
    <t>新村 末雄</t>
  </si>
  <si>
    <t>松木 克彦</t>
  </si>
  <si>
    <t>沢井 伸</t>
  </si>
  <si>
    <t>小泉 茂</t>
  </si>
  <si>
    <t>小瀬 嵩登</t>
  </si>
  <si>
    <t>香取 優斗</t>
  </si>
  <si>
    <t>藤本 智仁</t>
  </si>
  <si>
    <t>渡辺 拓二</t>
  </si>
  <si>
    <t>飯塚 弥月</t>
  </si>
  <si>
    <t>玉生 智久</t>
  </si>
  <si>
    <t>高田 昭</t>
  </si>
  <si>
    <t>宇田 悠真</t>
  </si>
  <si>
    <t>大沼 修</t>
  </si>
  <si>
    <t>山田 勝巳</t>
  </si>
  <si>
    <t>ホワイト・ベア・クラブ</t>
  </si>
  <si>
    <t>田中 実希</t>
  </si>
  <si>
    <t>佐藤 康紀</t>
  </si>
  <si>
    <t>渡辺 智秋</t>
  </si>
  <si>
    <t>千石 文夫</t>
  </si>
  <si>
    <t>山本 秀作</t>
  </si>
  <si>
    <t>副島 優太</t>
  </si>
  <si>
    <t>千賀 亮</t>
  </si>
  <si>
    <t>八島 優太</t>
  </si>
  <si>
    <t>水口 裕</t>
  </si>
  <si>
    <t>山田 孝夫</t>
  </si>
  <si>
    <t>横川 達也</t>
  </si>
  <si>
    <t>城田 伸也</t>
  </si>
  <si>
    <t>山本 悠人</t>
  </si>
  <si>
    <t>大塚 裕太</t>
  </si>
  <si>
    <t>大塚 恒洸</t>
  </si>
  <si>
    <t>康野 瑛嗣</t>
  </si>
  <si>
    <t>奥村 俊文</t>
  </si>
  <si>
    <t>笹本 裕貴</t>
  </si>
  <si>
    <t>手嶋 竜夫</t>
  </si>
  <si>
    <t>平山 和成</t>
  </si>
  <si>
    <t>遠藤 辰朗</t>
  </si>
  <si>
    <t>中村 泰寅</t>
  </si>
  <si>
    <t>斉藤 博幸</t>
  </si>
  <si>
    <t>金子 雅弘</t>
  </si>
  <si>
    <t>佐藤 健児</t>
  </si>
  <si>
    <t>福岡 賢人</t>
  </si>
  <si>
    <t>宮坂 優希</t>
  </si>
  <si>
    <t>吉田 孝浩</t>
  </si>
  <si>
    <t>谷口 寿保　</t>
  </si>
  <si>
    <t>梅沢 進</t>
  </si>
  <si>
    <t>松山 光男</t>
  </si>
  <si>
    <t>東京アマチュア・スキー・クラブ</t>
  </si>
  <si>
    <t>石井 久雄</t>
  </si>
  <si>
    <t>フロイデ・シー・グルッペ</t>
  </si>
  <si>
    <t>大久保 聡</t>
  </si>
  <si>
    <t>大久保 雅司</t>
  </si>
  <si>
    <t>堀江 玄一郎</t>
  </si>
  <si>
    <t>田中 賢一郎</t>
  </si>
  <si>
    <t>神保 和俊</t>
  </si>
  <si>
    <t>三浦 一秋</t>
  </si>
  <si>
    <t>加藤 圭基</t>
  </si>
  <si>
    <t>柴内 征昭</t>
  </si>
  <si>
    <t>讃岐 誠</t>
  </si>
  <si>
    <t>鈴木 秀駿</t>
  </si>
  <si>
    <t>若木 陸真</t>
  </si>
  <si>
    <t>真次 晃央</t>
  </si>
  <si>
    <t>足立 皓</t>
  </si>
  <si>
    <t>孫 兆軒</t>
  </si>
  <si>
    <t>岩谷 三兵</t>
  </si>
  <si>
    <t>押山 宏晃</t>
  </si>
  <si>
    <t>名取 秀悟</t>
  </si>
  <si>
    <t>飯岡 方春</t>
  </si>
  <si>
    <t>齋藤 裕樹</t>
  </si>
  <si>
    <t>八久保 幸夫</t>
  </si>
  <si>
    <t>野瀬 重治</t>
  </si>
  <si>
    <t>黒崎 信之</t>
  </si>
  <si>
    <t>小泉 和秀</t>
  </si>
  <si>
    <t>篠原 幾也</t>
  </si>
  <si>
    <t>濱野 弘大</t>
  </si>
  <si>
    <t>合野 一明</t>
  </si>
  <si>
    <t>西沢 武</t>
  </si>
  <si>
    <t>大田区役所スキー部</t>
  </si>
  <si>
    <t>細野 里音</t>
  </si>
  <si>
    <t>福田 俊介</t>
  </si>
  <si>
    <t>清水 遊</t>
  </si>
  <si>
    <t>松本 陽一</t>
  </si>
  <si>
    <t>青井 康徳</t>
  </si>
  <si>
    <t>芝 諒真</t>
  </si>
  <si>
    <t>海部 圭史</t>
  </si>
  <si>
    <t>築地 貴之</t>
  </si>
  <si>
    <t>髙橋 大喜</t>
  </si>
  <si>
    <t>潮 真也</t>
  </si>
  <si>
    <t>佐倉 昌弘</t>
  </si>
  <si>
    <t>深澤 六男</t>
  </si>
  <si>
    <t>野邊 倭</t>
  </si>
  <si>
    <t>国府方 昭二</t>
  </si>
  <si>
    <t>湯浅 統大</t>
  </si>
  <si>
    <t>アルピナグループ</t>
  </si>
  <si>
    <t>吉川 慎太郎</t>
  </si>
  <si>
    <t>吉橋 裕貴</t>
  </si>
  <si>
    <t>吉井 誠</t>
  </si>
  <si>
    <t>難波 昭信</t>
  </si>
  <si>
    <t>渡辺 由文</t>
  </si>
  <si>
    <t>喜連 祐一</t>
  </si>
  <si>
    <t>市川 拓巳</t>
  </si>
  <si>
    <t>立野 博之</t>
  </si>
  <si>
    <t>石崎 英文</t>
  </si>
  <si>
    <t>時田 秀規</t>
  </si>
  <si>
    <t>倉田 龍介</t>
  </si>
  <si>
    <t>嶋村 翼</t>
  </si>
  <si>
    <t>春日 悠杜</t>
  </si>
  <si>
    <t>板倉 治男</t>
  </si>
  <si>
    <t>長澤 豊</t>
  </si>
  <si>
    <t>山内 健輔</t>
  </si>
  <si>
    <t>鎌田 慈</t>
  </si>
  <si>
    <t>宮崎 真志</t>
  </si>
  <si>
    <t>小島 陽介</t>
  </si>
  <si>
    <t>遅澤 瞭</t>
  </si>
  <si>
    <t>長井 明</t>
  </si>
  <si>
    <t>ラブル・スキークラブ同人</t>
  </si>
  <si>
    <t>大橋 拓真</t>
  </si>
  <si>
    <t>嵯峨野 太一</t>
  </si>
  <si>
    <t>正能 憲一</t>
  </si>
  <si>
    <t>東京スキー研究会</t>
  </si>
  <si>
    <t>太田 悠斗</t>
  </si>
  <si>
    <t>佐藤 太朗</t>
  </si>
  <si>
    <t>廣田 香有</t>
  </si>
  <si>
    <t>井上 太雅</t>
  </si>
  <si>
    <t>高橋 誠</t>
  </si>
  <si>
    <t>サンダーグスキークラブ</t>
  </si>
  <si>
    <t>外山 智士</t>
  </si>
  <si>
    <t>篠﨑 敏男</t>
  </si>
  <si>
    <t>東久留米市スキー連盟</t>
  </si>
  <si>
    <t>松本 周大</t>
  </si>
  <si>
    <t>鈴木 啓太</t>
  </si>
  <si>
    <t>沢 正樹</t>
  </si>
  <si>
    <t>髙橋 啓</t>
  </si>
  <si>
    <t>有里 正一</t>
  </si>
  <si>
    <t>藤巻 有久</t>
  </si>
  <si>
    <t>江川 周</t>
  </si>
  <si>
    <t>齋藤 憲司</t>
  </si>
  <si>
    <t>城田 克也</t>
  </si>
  <si>
    <t>斉藤 邦泰</t>
  </si>
  <si>
    <t>日産自動車東京本社スキー部</t>
  </si>
  <si>
    <t>渡部 柚友</t>
  </si>
  <si>
    <t>蔵前 優生</t>
  </si>
  <si>
    <t>森 就</t>
  </si>
  <si>
    <t>小永井 徹</t>
  </si>
  <si>
    <t>武江 知寛</t>
  </si>
  <si>
    <t>前田 海</t>
  </si>
  <si>
    <t>上山 遼</t>
  </si>
  <si>
    <t>能登 正之</t>
  </si>
  <si>
    <t>助川 尚一</t>
  </si>
  <si>
    <t>保坂 宙</t>
  </si>
  <si>
    <t>須藤 圭一</t>
  </si>
  <si>
    <t>野々村 和平</t>
  </si>
  <si>
    <t>あきる野市スキークラブ</t>
  </si>
  <si>
    <t>荻生 崚太郎</t>
  </si>
  <si>
    <t>黒澤 俊平</t>
  </si>
  <si>
    <t>渡部 輝</t>
  </si>
  <si>
    <t>本田 渉</t>
  </si>
  <si>
    <t>星野 峻一</t>
  </si>
  <si>
    <t>大澤 伶威</t>
  </si>
  <si>
    <t>塩沢 重利</t>
  </si>
  <si>
    <t>仲山スキークラブ</t>
  </si>
  <si>
    <t>笠間 桂次</t>
  </si>
  <si>
    <t>高橋 遼太</t>
  </si>
  <si>
    <t>皆川 真潤</t>
  </si>
  <si>
    <t>工藤 陽生</t>
  </si>
  <si>
    <t>河田 有生</t>
  </si>
  <si>
    <t>大木 秀介</t>
  </si>
  <si>
    <t>横山 周人</t>
  </si>
  <si>
    <t>柏木 秀仁</t>
  </si>
  <si>
    <t>十河 義勝</t>
  </si>
  <si>
    <t>高 祥一郎</t>
  </si>
  <si>
    <t>赤坂 健</t>
  </si>
  <si>
    <t>ＫＤＤＩスキークラブ</t>
  </si>
  <si>
    <t>小林 忠裕</t>
  </si>
  <si>
    <t>岩崎 隼也</t>
  </si>
  <si>
    <t>山田 智明</t>
  </si>
  <si>
    <t>林 大耀</t>
  </si>
  <si>
    <t>田中 基</t>
  </si>
  <si>
    <t>伊藤 信幸</t>
  </si>
  <si>
    <t>佐藤 英司</t>
  </si>
  <si>
    <t>渡邊 嗣公</t>
  </si>
  <si>
    <t>石川 賢一</t>
  </si>
  <si>
    <t>青木 正人</t>
  </si>
  <si>
    <t>山田 芽來</t>
  </si>
  <si>
    <t>川上 惇</t>
  </si>
  <si>
    <t>佐藤 和彦</t>
  </si>
  <si>
    <t>立原 博</t>
  </si>
  <si>
    <t>Ｓ．Ｃ．コロポックル</t>
  </si>
  <si>
    <t>吉川 慶治郎</t>
  </si>
  <si>
    <t>有嶋 慧一朗</t>
  </si>
  <si>
    <t>堀川 廣</t>
  </si>
  <si>
    <t>小山 昭司</t>
  </si>
  <si>
    <t>木村 篤樹</t>
  </si>
  <si>
    <t>小野寺 真也</t>
  </si>
  <si>
    <t>松平 親保</t>
  </si>
  <si>
    <t>山田 紘淳</t>
  </si>
  <si>
    <t>小野澤 泰智</t>
  </si>
  <si>
    <t>三原 颯</t>
  </si>
  <si>
    <t>後藤 寛</t>
  </si>
  <si>
    <t>八嶋 洋一</t>
  </si>
  <si>
    <t>時田 正敏</t>
  </si>
  <si>
    <t>組田 光一</t>
  </si>
  <si>
    <t>紺谷 克昌</t>
  </si>
  <si>
    <t>根津 佑介</t>
  </si>
  <si>
    <t>山田 修</t>
  </si>
  <si>
    <t>冨井 平</t>
  </si>
  <si>
    <t>大森 春英</t>
  </si>
  <si>
    <t>大沢 義昭</t>
  </si>
  <si>
    <t>窪田 哲也</t>
  </si>
  <si>
    <t>菅原 史考</t>
  </si>
  <si>
    <t>片山 恒次</t>
  </si>
  <si>
    <t>角田 拓未</t>
  </si>
  <si>
    <t>木村 颯汰</t>
  </si>
  <si>
    <t>甲田 聖志郎</t>
  </si>
  <si>
    <t>富岡 宏太朗</t>
  </si>
  <si>
    <t>永吉 洸綺</t>
  </si>
  <si>
    <t>里村 弘志</t>
  </si>
  <si>
    <t>松原 健</t>
  </si>
  <si>
    <t>鈴木 貴大</t>
  </si>
  <si>
    <t>鍋山 颯斗</t>
  </si>
  <si>
    <t>竹本 圭佑</t>
  </si>
  <si>
    <t>西川 将太郎</t>
  </si>
  <si>
    <t>髙山 智弘</t>
  </si>
  <si>
    <t>高橋 浩一</t>
  </si>
  <si>
    <t>深見 国興</t>
  </si>
  <si>
    <t>クラシックスキークラブ</t>
  </si>
  <si>
    <t>袴田 遼典</t>
  </si>
  <si>
    <t>古賀 久國</t>
  </si>
  <si>
    <t>荒田 渓登</t>
  </si>
  <si>
    <t>竹内 弘之</t>
  </si>
  <si>
    <t>河端 邦洸</t>
  </si>
  <si>
    <t>長谷川 凌</t>
  </si>
  <si>
    <t>河合 信太朗</t>
  </si>
  <si>
    <t>坂口 直弥</t>
  </si>
  <si>
    <t>原田 一紀</t>
  </si>
  <si>
    <t>鈴木 海渡</t>
  </si>
  <si>
    <t>蛭川 恒</t>
  </si>
  <si>
    <t>吉成 雄輝</t>
  </si>
  <si>
    <t>阿部 頌平</t>
  </si>
  <si>
    <t>渡邉 海斗</t>
  </si>
  <si>
    <t>杉本 明俊</t>
  </si>
  <si>
    <t>相部 宇宙</t>
  </si>
  <si>
    <t>浦井 芳洋</t>
  </si>
  <si>
    <t>森北 和志</t>
  </si>
  <si>
    <t>石井 晃</t>
  </si>
  <si>
    <t>酒井 宙</t>
  </si>
  <si>
    <t>柿内 隆</t>
  </si>
  <si>
    <t>原田 翔馬</t>
  </si>
  <si>
    <t>小川 竜司</t>
  </si>
  <si>
    <t>加藤 弘大</t>
  </si>
  <si>
    <t>佐地 慶祐</t>
  </si>
  <si>
    <t>小岩井 治</t>
  </si>
  <si>
    <t>鈴木 麻生</t>
  </si>
  <si>
    <t>金子 大翔</t>
  </si>
  <si>
    <t>榎本 雄高</t>
  </si>
  <si>
    <t>船田 博</t>
  </si>
  <si>
    <t>小沼 佳史</t>
  </si>
  <si>
    <t>鳥居 和功</t>
  </si>
  <si>
    <t>本多 祐介</t>
  </si>
  <si>
    <t>加来 彩人</t>
  </si>
  <si>
    <t>髙橋 駿太</t>
  </si>
  <si>
    <t>柳田 秀樹</t>
  </si>
  <si>
    <t>岩田 天玄</t>
  </si>
  <si>
    <t>吉田 治彦</t>
  </si>
  <si>
    <t>染谷 昌彦</t>
  </si>
  <si>
    <t>エスプリレーシング</t>
  </si>
  <si>
    <t>山本 泰士</t>
  </si>
  <si>
    <t>田中 大成</t>
  </si>
  <si>
    <t>無量小路 俊輔</t>
  </si>
  <si>
    <t>菊池 大基</t>
  </si>
  <si>
    <t>兼子 祐弥</t>
  </si>
  <si>
    <t>星合 亮尚</t>
  </si>
  <si>
    <t>池田 英昭</t>
  </si>
  <si>
    <t>舘内 直人</t>
  </si>
  <si>
    <t>植草 悠介</t>
  </si>
  <si>
    <t>滝沢 正</t>
  </si>
  <si>
    <t>飯山 堅介</t>
  </si>
  <si>
    <t>髙橋 幸男</t>
  </si>
  <si>
    <t>重田 雅文</t>
  </si>
  <si>
    <t>相坂 祐樹</t>
  </si>
  <si>
    <t>遠藤 義信</t>
  </si>
  <si>
    <t>土居 昭</t>
  </si>
  <si>
    <t>谷 啓</t>
  </si>
  <si>
    <t>田中 勇太朗</t>
  </si>
  <si>
    <t>房野 泰人</t>
  </si>
  <si>
    <t>藤郷 剣太郎</t>
  </si>
  <si>
    <t>清水 泰成</t>
  </si>
  <si>
    <t>堀 佑成</t>
  </si>
  <si>
    <t>佐藤 励</t>
  </si>
  <si>
    <t>清水 誠</t>
  </si>
  <si>
    <t>藤巻 忠夫</t>
  </si>
  <si>
    <t>亀井 勇希</t>
  </si>
  <si>
    <t>安井 大毅</t>
  </si>
  <si>
    <t>荒山 勝正</t>
  </si>
  <si>
    <t>高橋 廣</t>
  </si>
  <si>
    <t>近藤 哲</t>
  </si>
  <si>
    <t>滝沢 悠介</t>
  </si>
  <si>
    <t>吉田 尭</t>
  </si>
  <si>
    <t>市村 昇</t>
  </si>
  <si>
    <t>三浦 篤</t>
  </si>
  <si>
    <t>佐藤 久人</t>
  </si>
  <si>
    <t>一ノ瀬 迅</t>
  </si>
  <si>
    <t>金子 晟三</t>
  </si>
  <si>
    <t>武井 雅大</t>
  </si>
  <si>
    <t>長谷川 春彦</t>
  </si>
  <si>
    <t>柳沼 均</t>
  </si>
  <si>
    <t>斉藤 孝夫</t>
  </si>
  <si>
    <t>佐藤 稜</t>
  </si>
  <si>
    <t>吉澤 厘佑</t>
  </si>
  <si>
    <t>三浦 弘充</t>
  </si>
  <si>
    <t>久富 知弘</t>
  </si>
  <si>
    <t>鈴木 尚人</t>
  </si>
  <si>
    <t>内藤 寛貴</t>
  </si>
  <si>
    <t>小菅 克弘</t>
  </si>
  <si>
    <t>井上 雅博</t>
  </si>
  <si>
    <t>葛飾区スキー連盟</t>
  </si>
  <si>
    <t>松田 浩太朗</t>
  </si>
  <si>
    <t>宮澤 慶</t>
  </si>
  <si>
    <t>渡会 一成</t>
  </si>
  <si>
    <t>佐川 真啓</t>
  </si>
  <si>
    <t>山本 皓乃</t>
  </si>
  <si>
    <t>岡田 凌人</t>
  </si>
  <si>
    <t>福田 創紀</t>
  </si>
  <si>
    <t>藤田 冬馬</t>
  </si>
  <si>
    <t>荒井 俊彦</t>
  </si>
  <si>
    <t>小宮山 直人</t>
  </si>
  <si>
    <t>安藤 啓人</t>
  </si>
  <si>
    <t>安國 貴彦</t>
  </si>
  <si>
    <t>中村 利壮</t>
  </si>
  <si>
    <t>久末 信行</t>
  </si>
  <si>
    <t>渡辺 大悟</t>
  </si>
  <si>
    <t>田村 孝嗣</t>
  </si>
  <si>
    <t>加藤 理</t>
  </si>
  <si>
    <t>國井 高志</t>
  </si>
  <si>
    <t>宮城 良佑</t>
  </si>
  <si>
    <t>和田 純一</t>
  </si>
  <si>
    <t>中山 健史</t>
  </si>
  <si>
    <t>春日 裕貴</t>
  </si>
  <si>
    <t>守屋 慶和</t>
  </si>
  <si>
    <t>畑 克哉</t>
  </si>
  <si>
    <t>竹原 英夫</t>
  </si>
  <si>
    <t>渡辺 周</t>
  </si>
  <si>
    <t>森田 響</t>
  </si>
  <si>
    <t>石井 裕太</t>
  </si>
  <si>
    <t>石井 豊紀</t>
  </si>
  <si>
    <t>國部 望</t>
  </si>
  <si>
    <t>佐藤 忠雄</t>
  </si>
  <si>
    <t>井上 千之助</t>
  </si>
  <si>
    <t>中野スキークラブ</t>
  </si>
  <si>
    <t>関 晃</t>
  </si>
  <si>
    <t>吉田 舜</t>
  </si>
  <si>
    <t>布施 玲於奈</t>
  </si>
  <si>
    <t>遠藤 正紀</t>
  </si>
  <si>
    <t>上原 大樹</t>
  </si>
  <si>
    <t>山口 直正</t>
  </si>
  <si>
    <t>椿 秀啓</t>
  </si>
  <si>
    <t>久田 雄三</t>
  </si>
  <si>
    <t>酒井 孝一</t>
  </si>
  <si>
    <t>山崎 湧太</t>
  </si>
  <si>
    <t>川崎 俊輔</t>
  </si>
  <si>
    <t>平田 昌範</t>
  </si>
  <si>
    <t>杉崎 壽三男</t>
  </si>
  <si>
    <t>髙橋 龍一郎</t>
  </si>
  <si>
    <t>北村 明</t>
  </si>
  <si>
    <t>内藤 友博</t>
  </si>
  <si>
    <t>三角 隼斗</t>
  </si>
  <si>
    <t>溝口 祥之介</t>
  </si>
  <si>
    <t>梶原 龍之佑</t>
  </si>
  <si>
    <t>岡村 幸央</t>
  </si>
  <si>
    <t>小林 大悟</t>
  </si>
  <si>
    <t>新井 蔵人</t>
  </si>
  <si>
    <t>加川 善久</t>
  </si>
  <si>
    <t>石井 勇太</t>
  </si>
  <si>
    <t>花田 美生</t>
  </si>
  <si>
    <t>吉田 圭佑</t>
  </si>
  <si>
    <t>北村 優弥</t>
  </si>
  <si>
    <t>控井 健太</t>
  </si>
  <si>
    <t>白嶺スキーチーム</t>
  </si>
  <si>
    <t>佐藤 泰山</t>
  </si>
  <si>
    <t>寺田 正弥</t>
  </si>
  <si>
    <t>桜木 礼人</t>
  </si>
  <si>
    <t>高見 淳</t>
  </si>
  <si>
    <t>岡崎 光宏</t>
  </si>
  <si>
    <t>鶴味 裕太</t>
  </si>
  <si>
    <t>佐藤 義隆</t>
  </si>
  <si>
    <t>日本エイトマンスキークラブ</t>
  </si>
  <si>
    <t>山内 辰馬</t>
  </si>
  <si>
    <t>逢坂 寛光</t>
  </si>
  <si>
    <t>飛山 龍ノ介</t>
  </si>
  <si>
    <t>羽部 晃広</t>
  </si>
  <si>
    <t>山田 浩</t>
  </si>
  <si>
    <t>三井 伸一</t>
  </si>
  <si>
    <t>野村 優太</t>
  </si>
  <si>
    <t>網干 雄己</t>
  </si>
  <si>
    <t>梶野 真太郎</t>
  </si>
  <si>
    <t>石川 賢</t>
  </si>
  <si>
    <t>中司 海渡</t>
  </si>
  <si>
    <t>後藤 俊文</t>
  </si>
  <si>
    <t>二見 裕樹</t>
  </si>
  <si>
    <t>手塚 敬之</t>
  </si>
  <si>
    <t>佐高 健太</t>
  </si>
  <si>
    <t>中村 祐介</t>
  </si>
  <si>
    <t>萩原 隆之介</t>
  </si>
  <si>
    <t>島田 達之心</t>
  </si>
  <si>
    <t>寺瀬 克美</t>
  </si>
  <si>
    <t>志賀高原スキークラブ</t>
  </si>
  <si>
    <t>鈴木 進一</t>
  </si>
  <si>
    <t>神野 登美夫</t>
  </si>
  <si>
    <t>河西 悠登</t>
  </si>
  <si>
    <t>熊本 清太</t>
  </si>
  <si>
    <t>降旗 周二</t>
  </si>
  <si>
    <t>星 貞清</t>
  </si>
  <si>
    <t>ウィンズスキークラブ</t>
  </si>
  <si>
    <t>仲山 俊夫</t>
  </si>
  <si>
    <t>大西 望</t>
  </si>
  <si>
    <t>鳥居 宗一郎</t>
  </si>
  <si>
    <t>東垣内 牧男</t>
  </si>
  <si>
    <t>万崎 靖一</t>
  </si>
  <si>
    <t>稲葉 陽生</t>
  </si>
  <si>
    <t>重光 匡</t>
  </si>
  <si>
    <t>トムテ スキークラブ</t>
  </si>
  <si>
    <t>小倉 昭彦</t>
  </si>
  <si>
    <t>平山 陽之</t>
  </si>
  <si>
    <t>堀越 たかし</t>
  </si>
  <si>
    <t>小林 快翔</t>
  </si>
  <si>
    <t>松本 和也</t>
  </si>
  <si>
    <t>滝越 楓</t>
  </si>
  <si>
    <t>島本 拓海</t>
  </si>
  <si>
    <t>草野 龍輝</t>
  </si>
  <si>
    <t>小林 直樹</t>
  </si>
  <si>
    <t>田中 成幸</t>
  </si>
  <si>
    <t>愛宕 通隆</t>
  </si>
  <si>
    <t>志摩 泰成</t>
  </si>
  <si>
    <t>今岡 湧人</t>
  </si>
  <si>
    <t>島田 樹空</t>
  </si>
  <si>
    <t>白木 伸行</t>
  </si>
  <si>
    <t>川合 佑太</t>
  </si>
  <si>
    <t>大平 絢哉</t>
  </si>
  <si>
    <t>阿野 苑弥</t>
  </si>
  <si>
    <t>折橋 旺</t>
  </si>
  <si>
    <t>永吉 冴綺</t>
  </si>
  <si>
    <t>立川 健介</t>
  </si>
  <si>
    <t>槇 孝雄</t>
  </si>
  <si>
    <t>土屋 昇大</t>
  </si>
  <si>
    <t>柴田 大斗</t>
  </si>
  <si>
    <t>廣田 丈瑠</t>
  </si>
  <si>
    <t>櫻井 翔大</t>
  </si>
  <si>
    <t>伊藤 匠人</t>
  </si>
  <si>
    <t>三瓶 大河</t>
  </si>
  <si>
    <t>島田 雄気</t>
  </si>
  <si>
    <t>半澤 進</t>
  </si>
  <si>
    <t>櫻井 智偲</t>
  </si>
  <si>
    <t>渥見 悠太</t>
  </si>
  <si>
    <t>宗川 大洋</t>
  </si>
  <si>
    <t>盛 拓貴</t>
  </si>
  <si>
    <t>前田 泰佑</t>
  </si>
  <si>
    <t>坂 和真</t>
  </si>
  <si>
    <t>遠間 瑠吾</t>
  </si>
  <si>
    <t>西垣 光平</t>
  </si>
  <si>
    <t>小内 翔太</t>
  </si>
  <si>
    <t>宮﨑 涼輔</t>
  </si>
  <si>
    <t>家田 智也</t>
  </si>
  <si>
    <t>小野寺 進太朗</t>
  </si>
  <si>
    <t>伊藤 シン</t>
  </si>
  <si>
    <t>大塚 公太</t>
  </si>
  <si>
    <t>木村 太星</t>
  </si>
  <si>
    <t>五味 信治</t>
  </si>
  <si>
    <t>齊藤 真希生</t>
  </si>
  <si>
    <t>岸 優佑</t>
  </si>
  <si>
    <t>宮木 泰造</t>
  </si>
  <si>
    <t>林 岩男</t>
  </si>
  <si>
    <t>杉本 怜哉</t>
  </si>
  <si>
    <t>谷川 慎哉</t>
  </si>
  <si>
    <t>松矢 英晶</t>
  </si>
  <si>
    <t>新井 匠</t>
  </si>
  <si>
    <t>鈴木 和惟</t>
  </si>
  <si>
    <t>福岡 素志</t>
  </si>
  <si>
    <t>井上 健太</t>
  </si>
  <si>
    <t>前田 凛之介</t>
  </si>
  <si>
    <t>井下 聖葵</t>
  </si>
  <si>
    <t>樋脇 雄飛</t>
  </si>
  <si>
    <t>荒川 博之</t>
  </si>
  <si>
    <t>尾形 俊輔</t>
  </si>
  <si>
    <t>佐藤 慶吾</t>
  </si>
  <si>
    <t>三島 麟太郎</t>
  </si>
  <si>
    <t>土肥 尚也</t>
  </si>
  <si>
    <t>秋庭 克行</t>
  </si>
  <si>
    <t>上妻 隆斗</t>
  </si>
  <si>
    <t>茨木 富貴</t>
  </si>
  <si>
    <t>辰巳 晶信</t>
  </si>
  <si>
    <t>橋本 優吾</t>
  </si>
  <si>
    <t>稲葉 隆司</t>
  </si>
  <si>
    <t>樋口 遼大</t>
  </si>
  <si>
    <t>細川 祥</t>
  </si>
  <si>
    <t>福島 牧人</t>
  </si>
  <si>
    <t>恩田 玲央</t>
  </si>
  <si>
    <t>中島 啓裕</t>
  </si>
  <si>
    <t>殿村 幹也</t>
  </si>
  <si>
    <t>青木 彗</t>
  </si>
  <si>
    <t>渡邉 理久</t>
  </si>
  <si>
    <t>店網 宏樹</t>
  </si>
  <si>
    <t>木所 雅征</t>
  </si>
  <si>
    <t>小瀧 康敏</t>
  </si>
  <si>
    <t>岩本 恵祐</t>
  </si>
  <si>
    <t>金澤 幸太</t>
  </si>
  <si>
    <t>小林 翼</t>
  </si>
  <si>
    <t>栗橋 優輔</t>
  </si>
  <si>
    <t>大串 英志</t>
  </si>
  <si>
    <t>中林 憲吾</t>
  </si>
  <si>
    <t>羽村 悠樹</t>
  </si>
  <si>
    <t>阿部 裕崇</t>
  </si>
  <si>
    <t>姉崎 寛</t>
  </si>
  <si>
    <t>藤本 勇</t>
  </si>
  <si>
    <t>荻生 紳太郎</t>
  </si>
  <si>
    <t>小池 樹</t>
  </si>
  <si>
    <t>林 泰地</t>
  </si>
  <si>
    <t>黒田 義稀</t>
  </si>
  <si>
    <t>佐藤 光</t>
  </si>
  <si>
    <t>内田 光一</t>
  </si>
  <si>
    <t>中野 朝司</t>
  </si>
  <si>
    <t>阿部 遼太郎</t>
  </si>
  <si>
    <t>北垣 秀人</t>
  </si>
  <si>
    <t>山田 人司</t>
  </si>
  <si>
    <t>奥山 侑祐</t>
  </si>
  <si>
    <t>藤田 英雄</t>
  </si>
  <si>
    <t>スカオイスキークラブ</t>
  </si>
  <si>
    <t>岡田 達弥</t>
  </si>
  <si>
    <t>柿沼 黎生</t>
  </si>
  <si>
    <t>半田 楓</t>
  </si>
  <si>
    <t>黒畑 寿来</t>
  </si>
  <si>
    <t>濱元 拓実</t>
  </si>
  <si>
    <t>江連 鳳矢</t>
  </si>
  <si>
    <t>髙橋 孫一郎</t>
  </si>
  <si>
    <t>佐野 孝夫</t>
  </si>
  <si>
    <t>香取 大輝</t>
  </si>
  <si>
    <t>渡辺 友広</t>
  </si>
  <si>
    <t>小澤 豊</t>
  </si>
  <si>
    <t>武田 光一郎</t>
  </si>
  <si>
    <t>鷺 佳生人</t>
  </si>
  <si>
    <t>畠山 智生</t>
  </si>
  <si>
    <t>根岸 大己</t>
  </si>
  <si>
    <t>星 達也</t>
  </si>
  <si>
    <t>川田 裕貴</t>
  </si>
  <si>
    <t>渡邊 和樹</t>
  </si>
  <si>
    <t>藤崎 裕人</t>
  </si>
  <si>
    <t>高木 暦</t>
  </si>
  <si>
    <t>太田 和敏</t>
  </si>
  <si>
    <t>東京燕スキー倶楽部</t>
  </si>
  <si>
    <t>鈴木 蒼大</t>
  </si>
  <si>
    <t>柳澤 浩太</t>
  </si>
  <si>
    <t>伊藤 尚泰</t>
  </si>
  <si>
    <t>木田 悠斗</t>
  </si>
  <si>
    <t>佐藤 公紀</t>
  </si>
  <si>
    <t>内田 光太郎</t>
  </si>
  <si>
    <t>小菅 耕大</t>
  </si>
  <si>
    <t>頓宮 寛正</t>
  </si>
  <si>
    <t>安藤 来波</t>
  </si>
  <si>
    <t>熊崎 亮太</t>
  </si>
  <si>
    <t>大河原 健太</t>
  </si>
  <si>
    <t>小口 慶樹</t>
  </si>
  <si>
    <t>畠山 茂信</t>
  </si>
  <si>
    <t>渡邊 瑠佳</t>
  </si>
  <si>
    <t>原 有佑</t>
  </si>
  <si>
    <t>島田 健吾</t>
  </si>
  <si>
    <t>大塚 陽向</t>
  </si>
  <si>
    <t>高橋 哲哉</t>
  </si>
  <si>
    <t>三賀山 嗣穏</t>
  </si>
  <si>
    <t>天野 旭雅</t>
  </si>
  <si>
    <t>庄本 涼馬</t>
  </si>
  <si>
    <t>栗原 玲音</t>
  </si>
  <si>
    <t>金子 佑介</t>
  </si>
  <si>
    <t>木口 朋哉</t>
  </si>
  <si>
    <t>高橋 長三郎</t>
  </si>
  <si>
    <t>東京石楠花会</t>
  </si>
  <si>
    <t>青木 悠</t>
  </si>
  <si>
    <t>草山 駿太郎</t>
  </si>
  <si>
    <t>谷口 颯</t>
  </si>
  <si>
    <t>長久 幸之介</t>
  </si>
  <si>
    <t>田島 凜斗</t>
  </si>
  <si>
    <t>江村 航大</t>
  </si>
  <si>
    <t>髙安 邑太郎</t>
  </si>
  <si>
    <t>田村 優有</t>
  </si>
  <si>
    <t>島村 蒼天</t>
  </si>
  <si>
    <t>二階堂 裕</t>
  </si>
  <si>
    <t>佐藤 光輝</t>
  </si>
  <si>
    <t>曽我 颯</t>
  </si>
  <si>
    <t>佐藤 良</t>
  </si>
  <si>
    <t>武井 流星</t>
  </si>
  <si>
    <t>細田 輝大</t>
  </si>
  <si>
    <t>山田 泰之進</t>
  </si>
  <si>
    <t>西城 法遵</t>
  </si>
  <si>
    <t>北内 大嵩</t>
  </si>
  <si>
    <t>細山田 智仁</t>
  </si>
  <si>
    <t>江藤 和希</t>
  </si>
  <si>
    <t>飯嶌 笙</t>
  </si>
  <si>
    <t>穴井 慶</t>
  </si>
  <si>
    <t>山根 鷹之臣</t>
  </si>
  <si>
    <t>高橋 大夢</t>
  </si>
  <si>
    <t>直井 俊樹</t>
  </si>
  <si>
    <t>髙木 翔弥</t>
  </si>
  <si>
    <t>近藤 涼輔</t>
  </si>
  <si>
    <t>山内 誠也</t>
  </si>
  <si>
    <t>小林 亮太</t>
  </si>
  <si>
    <t>光芳 陸</t>
  </si>
  <si>
    <t>石毛 翔馬</t>
  </si>
  <si>
    <t>野口 直樹</t>
  </si>
  <si>
    <t>土志田 進太郎</t>
  </si>
  <si>
    <t>武藤 正晃</t>
  </si>
  <si>
    <t>下田 智也</t>
  </si>
  <si>
    <t>小田島 孝</t>
  </si>
  <si>
    <t>金子 優輝</t>
  </si>
  <si>
    <t>大倉 滉太</t>
  </si>
  <si>
    <t>山藤 耀士</t>
  </si>
  <si>
    <t>小和田 雄太</t>
  </si>
  <si>
    <t>坂東 遼翼</t>
  </si>
  <si>
    <t>鈴木 隆太</t>
  </si>
  <si>
    <t>吉川 泰永</t>
  </si>
  <si>
    <t>山田 琥太郎</t>
  </si>
  <si>
    <t>窪田 遼輔</t>
  </si>
  <si>
    <t>黒川 良</t>
  </si>
  <si>
    <t>小山 祐輝</t>
  </si>
  <si>
    <t>河西 優</t>
  </si>
  <si>
    <t>森 智啓</t>
  </si>
  <si>
    <t>前川 来亜</t>
  </si>
  <si>
    <t>三本 純也</t>
  </si>
  <si>
    <t>長尾 正二</t>
  </si>
  <si>
    <t>北本 滉太郎</t>
  </si>
  <si>
    <t>唐木 大貴</t>
  </si>
  <si>
    <t>友部 尚輝</t>
  </si>
  <si>
    <t>桑原 悠樹</t>
  </si>
  <si>
    <t>桒田 栞典</t>
  </si>
  <si>
    <t>須藤 琉心</t>
  </si>
  <si>
    <t>本村 雅哉</t>
  </si>
  <si>
    <t>佐藤 有馬</t>
  </si>
  <si>
    <t>廣田 理有</t>
  </si>
  <si>
    <t>橋本 篤弥</t>
  </si>
  <si>
    <t>三浦 友三</t>
  </si>
  <si>
    <t>福本 将士</t>
  </si>
  <si>
    <t>佐藤 拓実</t>
  </si>
  <si>
    <t>中村 駿大</t>
  </si>
  <si>
    <t>渡部 良樹</t>
  </si>
  <si>
    <t>小林 寛武</t>
  </si>
  <si>
    <t>松村 真</t>
  </si>
  <si>
    <t>大久保 慶人</t>
  </si>
  <si>
    <t>西大條 育孝</t>
  </si>
  <si>
    <t>菅野 翔生</t>
  </si>
  <si>
    <t>藤田 悠一郎</t>
  </si>
  <si>
    <t>熊谷 大仁</t>
  </si>
  <si>
    <t>渡邉 龍之信</t>
  </si>
  <si>
    <t>白木 智也</t>
  </si>
  <si>
    <t>柴山 諒太</t>
  </si>
  <si>
    <t>蜂巣 頌</t>
  </si>
  <si>
    <t>長濱 宇宙</t>
  </si>
  <si>
    <t>河野 夏海</t>
  </si>
  <si>
    <t>池永 福太郎</t>
  </si>
  <si>
    <t>稲葉 慶太朗</t>
  </si>
  <si>
    <t>上原 颯馬</t>
  </si>
  <si>
    <t>伊藤 ケン</t>
  </si>
  <si>
    <t>大谷 泰斗</t>
  </si>
  <si>
    <t>板倉 和男</t>
  </si>
  <si>
    <t>植田 晃生</t>
  </si>
  <si>
    <t>牧野 晃大</t>
  </si>
  <si>
    <t>磯崎 俊輔</t>
  </si>
  <si>
    <t>清水 俊</t>
  </si>
  <si>
    <t>長谷川 武</t>
  </si>
  <si>
    <t>調布市スキー連盟</t>
  </si>
  <si>
    <t>神谷 直樹</t>
  </si>
  <si>
    <t>吉田 太耀</t>
  </si>
  <si>
    <t>竹本 航</t>
  </si>
  <si>
    <t>荒井 祐颯</t>
  </si>
  <si>
    <t>舛巴 紳二</t>
  </si>
  <si>
    <t>城石 陽</t>
  </si>
  <si>
    <t>堀米 力暉</t>
  </si>
  <si>
    <t>阿部 央季</t>
  </si>
  <si>
    <t>武田 基秀</t>
  </si>
  <si>
    <t>長谷川 雄大</t>
  </si>
  <si>
    <t>中川 晴登</t>
  </si>
  <si>
    <t>南山 仁</t>
  </si>
  <si>
    <t>積山 浩大</t>
  </si>
  <si>
    <t>西沢 ゆうき</t>
  </si>
  <si>
    <t>甘中 達也</t>
  </si>
  <si>
    <t>髙田 寛樹</t>
  </si>
  <si>
    <t>保坂 勇太</t>
  </si>
  <si>
    <t>村上 博史</t>
  </si>
  <si>
    <t>富田 暁</t>
  </si>
  <si>
    <t>高木 洋羽</t>
  </si>
  <si>
    <t>馳 悠</t>
  </si>
  <si>
    <t>辻 悠希</t>
  </si>
  <si>
    <t>山喜多 俊宏</t>
  </si>
  <si>
    <t>谷口 大騎</t>
  </si>
  <si>
    <t>藤川 晏規</t>
  </si>
  <si>
    <t>安藤 謙真</t>
  </si>
  <si>
    <t>折茂 海</t>
  </si>
  <si>
    <t>井田 光祝</t>
  </si>
  <si>
    <t>緒方 希</t>
  </si>
  <si>
    <t>花園 智行</t>
  </si>
  <si>
    <t>加藤 順紀</t>
  </si>
  <si>
    <t>上田 祐輝</t>
  </si>
  <si>
    <t>新井 公大</t>
  </si>
  <si>
    <t>胡 以心</t>
  </si>
  <si>
    <t>渡部 知駿</t>
  </si>
  <si>
    <t>細川 凱央</t>
  </si>
  <si>
    <t>須藤 亀蔵</t>
  </si>
  <si>
    <t>荻原 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</si>
</sst>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253"/>
  <sheetViews>
    <sheetView tabSelected="1" topLeftCell="B1" workbookViewId="0">
      <selection activeCell="Q6" sqref="Q6"/>
    </sheetView>
  </sheetViews>
  <sheetFormatPr baseColWidth="12" defaultColWidth="11.5" defaultRowHeight="17" x14ac:dyDescent="0"/>
  <cols>
    <col min="1" max="2" width="12.83203125" style="20" customWidth="1"/>
    <col min="3" max="3" width="24" style="20" customWidth="1"/>
    <col min="4" max="4" width="40.6640625" style="20" customWidth="1"/>
    <col min="5" max="5" width="12" style="19" hidden="1" customWidth="1"/>
    <col min="6" max="6" width="0" style="19" hidden="1" customWidth="1"/>
    <col min="7" max="7" width="12.83203125" style="21" customWidth="1"/>
    <col min="8" max="8" width="10.6640625" style="22" customWidth="1"/>
    <col min="9" max="10" width="10.83203125" style="23" hidden="1" customWidth="1"/>
    <col min="11" max="35" width="12.83203125" style="23" customWidth="1"/>
    <col min="36" max="49" width="12.83203125" style="19" customWidth="1"/>
    <col min="50" max="16384" width="11.5" style="19"/>
  </cols>
  <sheetData>
    <row r="1" spans="1:35" s="2" customFormat="1">
      <c r="A1" s="1" t="s">
        <v>0</v>
      </c>
      <c r="B1" s="1"/>
      <c r="C1" s="1" t="s">
        <v>1</v>
      </c>
      <c r="D1" s="1"/>
      <c r="G1" s="3"/>
      <c r="H1" s="4"/>
      <c r="I1" s="5"/>
      <c r="J1" s="5"/>
      <c r="K1" s="6" t="s">
        <v>2</v>
      </c>
      <c r="L1" s="6">
        <v>0</v>
      </c>
      <c r="M1" s="6">
        <v>0</v>
      </c>
      <c r="N1" s="6">
        <v>0</v>
      </c>
      <c r="O1" s="6">
        <v>0</v>
      </c>
      <c r="P1" s="6">
        <v>183.43</v>
      </c>
      <c r="Q1" s="6">
        <v>55.6</v>
      </c>
      <c r="R1" s="6">
        <v>179.39</v>
      </c>
      <c r="S1" s="6">
        <v>146.63999999999999</v>
      </c>
      <c r="T1" s="6">
        <v>151.74</v>
      </c>
      <c r="U1" s="6">
        <v>62.47</v>
      </c>
      <c r="V1" s="6">
        <v>35.39</v>
      </c>
      <c r="W1" s="6">
        <v>77.599999999999994</v>
      </c>
      <c r="X1" s="6">
        <v>42.8</v>
      </c>
      <c r="Y1" s="6">
        <v>40.33</v>
      </c>
      <c r="Z1" s="6">
        <v>59.32</v>
      </c>
      <c r="AA1" s="6">
        <v>0</v>
      </c>
      <c r="AB1" s="6">
        <v>71.95</v>
      </c>
      <c r="AC1" s="6">
        <v>50.4</v>
      </c>
      <c r="AD1" s="6">
        <v>45.21</v>
      </c>
      <c r="AE1" s="6">
        <v>31.26</v>
      </c>
      <c r="AF1" s="6">
        <v>26.01</v>
      </c>
      <c r="AG1" s="6">
        <v>36.71</v>
      </c>
      <c r="AH1" s="6">
        <v>25.79</v>
      </c>
      <c r="AI1" s="6">
        <v>159.69999999999999</v>
      </c>
    </row>
    <row r="2" spans="1:35" s="13" customFormat="1" ht="40">
      <c r="A2" s="7" t="s">
        <v>3</v>
      </c>
      <c r="B2" s="8" t="s">
        <v>4</v>
      </c>
      <c r="C2" s="8" t="s">
        <v>5</v>
      </c>
      <c r="D2" s="8" t="s">
        <v>6</v>
      </c>
      <c r="E2" s="9" t="s">
        <v>7</v>
      </c>
      <c r="F2" s="9" t="s">
        <v>8</v>
      </c>
      <c r="G2" s="10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2" t="s">
        <v>14</v>
      </c>
      <c r="M2" s="12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  <c r="U2" s="12" t="s">
        <v>23</v>
      </c>
      <c r="V2" s="12" t="s">
        <v>24</v>
      </c>
      <c r="W2" s="12" t="s">
        <v>25</v>
      </c>
      <c r="X2" s="12" t="s">
        <v>26</v>
      </c>
      <c r="Y2" s="12" t="s">
        <v>27</v>
      </c>
      <c r="Z2" s="12" t="s">
        <v>28</v>
      </c>
      <c r="AA2" s="12" t="s">
        <v>29</v>
      </c>
      <c r="AB2" s="12" t="s">
        <v>30</v>
      </c>
      <c r="AC2" s="12" t="s">
        <v>31</v>
      </c>
      <c r="AD2" s="12" t="s">
        <v>32</v>
      </c>
      <c r="AE2" s="12" t="s">
        <v>33</v>
      </c>
      <c r="AF2" s="12" t="s">
        <v>34</v>
      </c>
      <c r="AG2" s="12" t="s">
        <v>35</v>
      </c>
      <c r="AH2" s="12" t="s">
        <v>36</v>
      </c>
      <c r="AI2" s="12" t="s">
        <v>37</v>
      </c>
    </row>
    <row r="3" spans="1:35">
      <c r="A3" s="14">
        <v>1</v>
      </c>
      <c r="B3" s="14">
        <v>4021</v>
      </c>
      <c r="C3" s="14" t="s">
        <v>38</v>
      </c>
      <c r="D3" s="14" t="s">
        <v>39</v>
      </c>
      <c r="E3" s="15" t="str">
        <f>"0.00"</f>
        <v>0.00</v>
      </c>
      <c r="F3" s="15"/>
      <c r="G3" s="16" t="str">
        <f>"0.00"</f>
        <v>0.00</v>
      </c>
      <c r="H3" s="17"/>
      <c r="I3" s="18">
        <v>3</v>
      </c>
      <c r="J3" s="18">
        <v>2016</v>
      </c>
      <c r="K3" s="18" t="str">
        <f>"0.00"</f>
        <v>0.00</v>
      </c>
      <c r="L3" s="18" t="str">
        <f>"14.77"</f>
        <v>14.77</v>
      </c>
      <c r="M3" s="18"/>
      <c r="N3" s="18" t="str">
        <f>"0.00"</f>
        <v>0.00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 t="str">
        <f>"0.00"</f>
        <v>0.00</v>
      </c>
      <c r="AB3" s="18"/>
      <c r="AC3" s="18"/>
      <c r="AD3" s="18"/>
      <c r="AE3" s="18"/>
      <c r="AF3" s="18"/>
      <c r="AG3" s="18"/>
      <c r="AH3" s="18"/>
      <c r="AI3" s="18"/>
    </row>
    <row r="4" spans="1:35">
      <c r="A4" s="14">
        <v>1</v>
      </c>
      <c r="B4" s="14">
        <v>1595</v>
      </c>
      <c r="C4" s="14" t="s">
        <v>40</v>
      </c>
      <c r="D4" s="14" t="s">
        <v>41</v>
      </c>
      <c r="E4" s="15" t="str">
        <f>"0.00"</f>
        <v>0.00</v>
      </c>
      <c r="F4" s="15"/>
      <c r="G4" s="16" t="str">
        <f>"0.00"</f>
        <v>0.00</v>
      </c>
      <c r="H4" s="17"/>
      <c r="I4" s="18">
        <v>3</v>
      </c>
      <c r="J4" s="18">
        <v>2016</v>
      </c>
      <c r="K4" s="18" t="str">
        <f>"22.64"</f>
        <v>22.64</v>
      </c>
      <c r="L4" s="18"/>
      <c r="M4" s="18" t="str">
        <f>"0.00"</f>
        <v>0.00</v>
      </c>
      <c r="N4" s="18"/>
      <c r="O4" s="18" t="str">
        <f>"0.00"</f>
        <v>0.00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>
      <c r="A5" s="14">
        <v>3</v>
      </c>
      <c r="B5" s="14">
        <v>8401</v>
      </c>
      <c r="C5" s="14" t="s">
        <v>42</v>
      </c>
      <c r="D5" s="14" t="s">
        <v>43</v>
      </c>
      <c r="E5" s="15" t="str">
        <f>"0.00"</f>
        <v>0.00</v>
      </c>
      <c r="F5" s="15"/>
      <c r="G5" s="16" t="str">
        <f>"5.28"</f>
        <v>5.28</v>
      </c>
      <c r="H5" s="17"/>
      <c r="I5" s="18">
        <v>3</v>
      </c>
      <c r="J5" s="18">
        <v>2016</v>
      </c>
      <c r="K5" s="18" t="str">
        <f>"0.00"</f>
        <v>0.00</v>
      </c>
      <c r="L5" s="18"/>
      <c r="M5" s="18" t="str">
        <f>"4.08"</f>
        <v>4.08</v>
      </c>
      <c r="N5" s="18"/>
      <c r="O5" s="18" t="str">
        <f>"6.48"</f>
        <v>6.48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 t="str">
        <f>"42.16"</f>
        <v>42.16</v>
      </c>
      <c r="AB5" s="18"/>
      <c r="AC5" s="18"/>
      <c r="AD5" s="18"/>
      <c r="AE5" s="18"/>
      <c r="AF5" s="18"/>
      <c r="AG5" s="18"/>
      <c r="AH5" s="18"/>
      <c r="AI5" s="18"/>
    </row>
    <row r="6" spans="1:35">
      <c r="A6" s="14">
        <v>4</v>
      </c>
      <c r="B6" s="14">
        <v>10295</v>
      </c>
      <c r="C6" s="14" t="s">
        <v>44</v>
      </c>
      <c r="D6" s="14" t="s">
        <v>45</v>
      </c>
      <c r="E6" s="15" t="str">
        <f>"4.00"</f>
        <v>4.00</v>
      </c>
      <c r="F6" s="15"/>
      <c r="G6" s="16" t="str">
        <f>"6.56"</f>
        <v>6.56</v>
      </c>
      <c r="H6" s="17"/>
      <c r="I6" s="18">
        <v>3</v>
      </c>
      <c r="J6" s="18">
        <v>2016</v>
      </c>
      <c r="K6" s="18" t="str">
        <f>"8.00"</f>
        <v>8.00</v>
      </c>
      <c r="L6" s="18" t="str">
        <f>"0.00"</f>
        <v>0.00</v>
      </c>
      <c r="M6" s="18"/>
      <c r="N6" s="18" t="str">
        <f>"13.11"</f>
        <v>13.11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>
      <c r="A7" s="14">
        <v>5</v>
      </c>
      <c r="B7" s="14">
        <v>2443</v>
      </c>
      <c r="C7" s="14" t="s">
        <v>46</v>
      </c>
      <c r="D7" s="14" t="s">
        <v>47</v>
      </c>
      <c r="E7" s="15" t="str">
        <f>"1.50"</f>
        <v>1.50</v>
      </c>
      <c r="F7" s="15"/>
      <c r="G7" s="16" t="str">
        <f>"8.00"</f>
        <v>8.00</v>
      </c>
      <c r="H7" s="17" t="s">
        <v>48</v>
      </c>
      <c r="I7" s="18">
        <v>1</v>
      </c>
      <c r="J7" s="18">
        <v>2016</v>
      </c>
      <c r="K7" s="18" t="str">
        <f>"1.50"</f>
        <v>1.50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>
      <c r="A8" s="14">
        <v>6</v>
      </c>
      <c r="B8" s="14">
        <v>9970</v>
      </c>
      <c r="C8" s="14" t="s">
        <v>49</v>
      </c>
      <c r="D8" s="14" t="s">
        <v>43</v>
      </c>
      <c r="E8" s="15" t="str">
        <f>"5.39"</f>
        <v>5.39</v>
      </c>
      <c r="F8" s="15"/>
      <c r="G8" s="16" t="str">
        <f>"8.00"</f>
        <v>8.00</v>
      </c>
      <c r="H8" s="17" t="s">
        <v>48</v>
      </c>
      <c r="I8" s="18">
        <v>1</v>
      </c>
      <c r="J8" s="18">
        <v>2016</v>
      </c>
      <c r="K8" s="18" t="str">
        <f>"5.39"</f>
        <v>5.39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>
      <c r="A9" s="14">
        <v>7</v>
      </c>
      <c r="B9" s="14">
        <v>1844</v>
      </c>
      <c r="C9" s="14" t="s">
        <v>50</v>
      </c>
      <c r="D9" s="14" t="s">
        <v>51</v>
      </c>
      <c r="E9" s="15" t="str">
        <f>"7.25"</f>
        <v>7.25</v>
      </c>
      <c r="F9" s="15"/>
      <c r="G9" s="16" t="str">
        <f>"12.93"</f>
        <v>12.93</v>
      </c>
      <c r="H9" s="17"/>
      <c r="I9" s="18">
        <v>3</v>
      </c>
      <c r="J9" s="18">
        <v>2016</v>
      </c>
      <c r="K9" s="18" t="str">
        <f>"7.25"</f>
        <v>7.25</v>
      </c>
      <c r="L9" s="18" t="str">
        <f>"10.95"</f>
        <v>10.95</v>
      </c>
      <c r="M9" s="18"/>
      <c r="N9" s="18" t="str">
        <f>"14.91"</f>
        <v>14.91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>
      <c r="A10" s="14">
        <v>8</v>
      </c>
      <c r="B10" s="14">
        <v>5499</v>
      </c>
      <c r="C10" s="14" t="s">
        <v>52</v>
      </c>
      <c r="D10" s="14" t="s">
        <v>53</v>
      </c>
      <c r="E10" s="15" t="str">
        <f>"8.00"</f>
        <v>8.00</v>
      </c>
      <c r="F10" s="15"/>
      <c r="G10" s="16" t="str">
        <f>"16.98"</f>
        <v>16.98</v>
      </c>
      <c r="H10" s="17" t="s">
        <v>54</v>
      </c>
      <c r="I10" s="18">
        <v>2</v>
      </c>
      <c r="J10" s="18">
        <v>2016</v>
      </c>
      <c r="K10" s="18" t="str">
        <f>"8.00"</f>
        <v>8.00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 t="str">
        <f>"11.79"</f>
        <v>11.79</v>
      </c>
      <c r="AB10" s="18"/>
      <c r="AC10" s="18"/>
      <c r="AD10" s="18"/>
      <c r="AE10" s="18"/>
      <c r="AF10" s="18"/>
      <c r="AG10" s="18"/>
      <c r="AH10" s="18"/>
      <c r="AI10" s="18"/>
    </row>
    <row r="11" spans="1:35">
      <c r="A11" s="14">
        <v>9</v>
      </c>
      <c r="B11" s="14">
        <v>3469</v>
      </c>
      <c r="C11" s="14" t="s">
        <v>55</v>
      </c>
      <c r="D11" s="14" t="s">
        <v>56</v>
      </c>
      <c r="E11" s="15" t="str">
        <f>"17.44"</f>
        <v>17.44</v>
      </c>
      <c r="F11" s="15"/>
      <c r="G11" s="16" t="str">
        <f>"17.44"</f>
        <v>17.44</v>
      </c>
      <c r="H11" s="17"/>
      <c r="I11" s="18">
        <v>3</v>
      </c>
      <c r="J11" s="18">
        <v>2016</v>
      </c>
      <c r="K11" s="18" t="str">
        <f>"32.11"</f>
        <v>32.11</v>
      </c>
      <c r="L11" s="18"/>
      <c r="M11" s="18" t="str">
        <f>"22.69"</f>
        <v>22.69</v>
      </c>
      <c r="N11" s="18"/>
      <c r="O11" s="18" t="str">
        <f>"12.19"</f>
        <v>12.19</v>
      </c>
      <c r="P11" s="18"/>
      <c r="Q11" s="18"/>
      <c r="R11" s="18"/>
      <c r="S11" s="18"/>
      <c r="T11" s="18"/>
      <c r="U11" s="18"/>
      <c r="V11" s="18" t="str">
        <f>"35.39"</f>
        <v>35.39</v>
      </c>
      <c r="W11" s="18"/>
      <c r="X11" s="18"/>
      <c r="Y11" s="18"/>
      <c r="Z11" s="18"/>
      <c r="AA11" s="18" t="str">
        <f>"79.47"</f>
        <v>79.47</v>
      </c>
      <c r="AB11" s="18"/>
      <c r="AC11" s="18"/>
      <c r="AD11" s="18"/>
      <c r="AE11" s="18"/>
      <c r="AF11" s="18"/>
      <c r="AG11" s="18"/>
      <c r="AH11" s="18"/>
      <c r="AI11" s="18"/>
    </row>
    <row r="12" spans="1:35">
      <c r="A12" s="14">
        <v>10</v>
      </c>
      <c r="B12" s="14">
        <v>4948</v>
      </c>
      <c r="C12" s="14" t="s">
        <v>57</v>
      </c>
      <c r="D12" s="14" t="s">
        <v>58</v>
      </c>
      <c r="E12" s="15" t="str">
        <f>"18.09"</f>
        <v>18.09</v>
      </c>
      <c r="F12" s="15"/>
      <c r="G12" s="16" t="str">
        <f>"18.09"</f>
        <v>18.09</v>
      </c>
      <c r="H12" s="17"/>
      <c r="I12" s="18">
        <v>5</v>
      </c>
      <c r="J12" s="18">
        <v>2016</v>
      </c>
      <c r="K12" s="18"/>
      <c r="L12" s="18" t="str">
        <f>"33.86"</f>
        <v>33.86</v>
      </c>
      <c r="M12" s="18"/>
      <c r="N12" s="18" t="str">
        <f>"2.31"</f>
        <v>2.31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>
      <c r="A13" s="14">
        <v>11</v>
      </c>
      <c r="B13" s="14">
        <v>6519</v>
      </c>
      <c r="C13" s="14" t="s">
        <v>59</v>
      </c>
      <c r="D13" s="14" t="s">
        <v>60</v>
      </c>
      <c r="E13" s="15" t="str">
        <f>"18.44"</f>
        <v>18.44</v>
      </c>
      <c r="F13" s="15"/>
      <c r="G13" s="16" t="str">
        <f>"18.44"</f>
        <v>18.44</v>
      </c>
      <c r="H13" s="17"/>
      <c r="I13" s="18">
        <v>3</v>
      </c>
      <c r="J13" s="18">
        <v>2016</v>
      </c>
      <c r="K13" s="18" t="str">
        <f>"30.98"</f>
        <v>30.98</v>
      </c>
      <c r="L13" s="18"/>
      <c r="M13" s="18" t="str">
        <f>"17.69"</f>
        <v>17.69</v>
      </c>
      <c r="N13" s="18"/>
      <c r="O13" s="18" t="str">
        <f>"19.19"</f>
        <v>19.19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>
      <c r="A14" s="14">
        <v>12</v>
      </c>
      <c r="B14" s="14">
        <v>3292</v>
      </c>
      <c r="C14" s="14" t="s">
        <v>61</v>
      </c>
      <c r="D14" s="14" t="s">
        <v>62</v>
      </c>
      <c r="E14" s="15" t="str">
        <f>"0.23"</f>
        <v>0.23</v>
      </c>
      <c r="F14" s="15"/>
      <c r="G14" s="16" t="str">
        <f>"19.42"</f>
        <v>19.42</v>
      </c>
      <c r="H14" s="17"/>
      <c r="I14" s="18">
        <v>3</v>
      </c>
      <c r="J14" s="18">
        <v>2016</v>
      </c>
      <c r="K14" s="18" t="str">
        <f>"0.23"</f>
        <v>0.23</v>
      </c>
      <c r="L14" s="18" t="str">
        <f>"25.72"</f>
        <v>25.72</v>
      </c>
      <c r="M14" s="18"/>
      <c r="N14" s="18" t="str">
        <f>"13.11"</f>
        <v>13.11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>
      <c r="A15" s="14">
        <v>13</v>
      </c>
      <c r="B15" s="14">
        <v>542</v>
      </c>
      <c r="C15" s="14" t="s">
        <v>63</v>
      </c>
      <c r="D15" s="14" t="s">
        <v>64</v>
      </c>
      <c r="E15" s="15" t="str">
        <f>"14.93"</f>
        <v>14.93</v>
      </c>
      <c r="F15" s="15"/>
      <c r="G15" s="16" t="str">
        <f>"22.14"</f>
        <v>22.14</v>
      </c>
      <c r="H15" s="17"/>
      <c r="I15" s="18">
        <v>3</v>
      </c>
      <c r="J15" s="18">
        <v>2016</v>
      </c>
      <c r="K15" s="18" t="str">
        <f>"15.08"</f>
        <v>15.08</v>
      </c>
      <c r="L15" s="18"/>
      <c r="M15" s="18" t="str">
        <f>"29.49"</f>
        <v>29.49</v>
      </c>
      <c r="N15" s="18"/>
      <c r="O15" s="18" t="str">
        <f>"14.78"</f>
        <v>14.78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>
      <c r="A16" s="14">
        <v>14</v>
      </c>
      <c r="B16" s="14">
        <v>10683</v>
      </c>
      <c r="C16" s="14" t="s">
        <v>65</v>
      </c>
      <c r="D16" s="14" t="s">
        <v>66</v>
      </c>
      <c r="E16" s="15" t="str">
        <f>"21.11"</f>
        <v>21.11</v>
      </c>
      <c r="F16" s="15"/>
      <c r="G16" s="16" t="str">
        <f>"22.94"</f>
        <v>22.94</v>
      </c>
      <c r="H16" s="17" t="s">
        <v>54</v>
      </c>
      <c r="I16" s="18">
        <v>2</v>
      </c>
      <c r="J16" s="18">
        <v>2016</v>
      </c>
      <c r="K16" s="18" t="str">
        <f>"26.29"</f>
        <v>26.29</v>
      </c>
      <c r="L16" s="18"/>
      <c r="M16" s="18"/>
      <c r="N16" s="18" t="str">
        <f>"15.93"</f>
        <v>15.93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>
      <c r="A17" s="14">
        <v>15</v>
      </c>
      <c r="B17" s="14">
        <v>6528</v>
      </c>
      <c r="C17" s="14" t="s">
        <v>67</v>
      </c>
      <c r="D17" s="14" t="s">
        <v>39</v>
      </c>
      <c r="E17" s="15" t="str">
        <f>"20.85"</f>
        <v>20.85</v>
      </c>
      <c r="F17" s="15"/>
      <c r="G17" s="16" t="str">
        <f>"25.90"</f>
        <v>25.90</v>
      </c>
      <c r="H17" s="17"/>
      <c r="I17" s="18">
        <v>3</v>
      </c>
      <c r="J17" s="18">
        <v>2016</v>
      </c>
      <c r="K17" s="18" t="str">
        <f>"20.85"</f>
        <v>20.85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 t="str">
        <f>"49.91"</f>
        <v>49.91</v>
      </c>
      <c r="AB17" s="18"/>
      <c r="AC17" s="18"/>
      <c r="AD17" s="18"/>
      <c r="AE17" s="18" t="str">
        <f>"31.26"</f>
        <v>31.26</v>
      </c>
      <c r="AF17" s="18" t="str">
        <f>"26.01"</f>
        <v>26.01</v>
      </c>
      <c r="AG17" s="18"/>
      <c r="AH17" s="18" t="str">
        <f>"25.79"</f>
        <v>25.79</v>
      </c>
      <c r="AI17" s="18"/>
    </row>
    <row r="18" spans="1:35">
      <c r="A18" s="14">
        <v>16</v>
      </c>
      <c r="B18" s="14">
        <v>10238</v>
      </c>
      <c r="C18" s="14" t="s">
        <v>68</v>
      </c>
      <c r="D18" s="14" t="s">
        <v>41</v>
      </c>
      <c r="E18" s="15" t="str">
        <f>"10.86"</f>
        <v>10.86</v>
      </c>
      <c r="F18" s="15"/>
      <c r="G18" s="16" t="str">
        <f>"26.97"</f>
        <v>26.97</v>
      </c>
      <c r="H18" s="17"/>
      <c r="I18" s="18">
        <v>3</v>
      </c>
      <c r="J18" s="18">
        <v>2016</v>
      </c>
      <c r="K18" s="18" t="str">
        <f>"10.86"</f>
        <v>10.86</v>
      </c>
      <c r="L18" s="18" t="str">
        <f>"30.04"</f>
        <v>30.04</v>
      </c>
      <c r="M18" s="18"/>
      <c r="N18" s="18" t="str">
        <f>"23.90"</f>
        <v>23.90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>
      <c r="A19" s="14">
        <v>17</v>
      </c>
      <c r="B19" s="14">
        <v>3984</v>
      </c>
      <c r="C19" s="14" t="s">
        <v>69</v>
      </c>
      <c r="D19" s="14" t="s">
        <v>70</v>
      </c>
      <c r="E19" s="15" t="str">
        <f>"9.30"</f>
        <v>9.30</v>
      </c>
      <c r="F19" s="15"/>
      <c r="G19" s="16" t="str">
        <f>"28.34"</f>
        <v>28.34</v>
      </c>
      <c r="H19" s="17"/>
      <c r="I19" s="18">
        <v>3</v>
      </c>
      <c r="J19" s="18">
        <v>2016</v>
      </c>
      <c r="K19" s="18" t="str">
        <f>"11.60"</f>
        <v>11.60</v>
      </c>
      <c r="L19" s="18"/>
      <c r="M19" s="18" t="str">
        <f>"49.68"</f>
        <v>49.68</v>
      </c>
      <c r="N19" s="18"/>
      <c r="O19" s="18" t="str">
        <f>"7.00"</f>
        <v>7.00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>
      <c r="A20" s="14">
        <v>18</v>
      </c>
      <c r="B20" s="14">
        <v>87</v>
      </c>
      <c r="C20" s="14" t="s">
        <v>71</v>
      </c>
      <c r="D20" s="14" t="s">
        <v>72</v>
      </c>
      <c r="E20" s="15" t="str">
        <f>"6.65"</f>
        <v>6.65</v>
      </c>
      <c r="F20" s="15"/>
      <c r="G20" s="16" t="str">
        <f>"30.96"</f>
        <v>30.96</v>
      </c>
      <c r="H20" s="17"/>
      <c r="I20" s="18">
        <v>3</v>
      </c>
      <c r="J20" s="18">
        <v>2016</v>
      </c>
      <c r="K20" s="18" t="str">
        <f>"6.65"</f>
        <v>6.65</v>
      </c>
      <c r="L20" s="18"/>
      <c r="M20" s="18" t="str">
        <f>"31.31"</f>
        <v>31.31</v>
      </c>
      <c r="N20" s="18"/>
      <c r="O20" s="18" t="str">
        <f>"30.60"</f>
        <v>30.60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>
      <c r="A21" s="14">
        <v>19</v>
      </c>
      <c r="B21" s="14">
        <v>6555</v>
      </c>
      <c r="C21" s="14" t="s">
        <v>73</v>
      </c>
      <c r="D21" s="14" t="s">
        <v>74</v>
      </c>
      <c r="E21" s="15" t="str">
        <f>"26.60"</f>
        <v>26.60</v>
      </c>
      <c r="F21" s="15"/>
      <c r="G21" s="16" t="str">
        <f>"31.91"</f>
        <v>31.91</v>
      </c>
      <c r="H21" s="17"/>
      <c r="I21" s="18">
        <v>3</v>
      </c>
      <c r="J21" s="18">
        <v>2016</v>
      </c>
      <c r="K21" s="18" t="str">
        <f>"43.59"</f>
        <v>43.59</v>
      </c>
      <c r="L21" s="18"/>
      <c r="M21" s="18" t="str">
        <f>"54.22"</f>
        <v>54.22</v>
      </c>
      <c r="N21" s="18"/>
      <c r="O21" s="18" t="str">
        <f>"9.60"</f>
        <v>9.60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 t="str">
        <f>"102.41"</f>
        <v>102.41</v>
      </c>
      <c r="AB21" s="18"/>
      <c r="AC21" s="18"/>
      <c r="AD21" s="18"/>
      <c r="AE21" s="18"/>
      <c r="AF21" s="18"/>
      <c r="AG21" s="18"/>
      <c r="AH21" s="18"/>
      <c r="AI21" s="18"/>
    </row>
    <row r="22" spans="1:35">
      <c r="A22" s="14">
        <v>20</v>
      </c>
      <c r="B22" s="14">
        <v>5105</v>
      </c>
      <c r="C22" s="14" t="s">
        <v>75</v>
      </c>
      <c r="D22" s="14" t="s">
        <v>76</v>
      </c>
      <c r="E22" s="15" t="str">
        <f>"32.63"</f>
        <v>32.63</v>
      </c>
      <c r="F22" s="15"/>
      <c r="G22" s="16" t="str">
        <f>"32.63"</f>
        <v>32.63</v>
      </c>
      <c r="H22" s="17"/>
      <c r="I22" s="18">
        <v>3</v>
      </c>
      <c r="J22" s="18">
        <v>2016</v>
      </c>
      <c r="K22" s="18" t="str">
        <f>"51.90"</f>
        <v>51.90</v>
      </c>
      <c r="L22" s="18" t="str">
        <f>"43.79"</f>
        <v>43.79</v>
      </c>
      <c r="M22" s="18"/>
      <c r="N22" s="18" t="str">
        <f>"24.93"</f>
        <v>24.93</v>
      </c>
      <c r="O22" s="18"/>
      <c r="P22" s="18"/>
      <c r="Q22" s="18"/>
      <c r="R22" s="18"/>
      <c r="S22" s="18"/>
      <c r="T22" s="18"/>
      <c r="U22" s="18"/>
      <c r="V22" s="18"/>
      <c r="W22" s="18"/>
      <c r="X22" s="18" t="str">
        <f>"60.91"</f>
        <v>60.91</v>
      </c>
      <c r="Y22" s="18" t="str">
        <f>"40.33"</f>
        <v>40.33</v>
      </c>
      <c r="Z22" s="18"/>
      <c r="AA22" s="18"/>
      <c r="AB22" s="18"/>
      <c r="AC22" s="18" t="str">
        <f>"50.40"</f>
        <v>50.40</v>
      </c>
      <c r="AD22" s="18" t="str">
        <f>"45.21"</f>
        <v>45.21</v>
      </c>
      <c r="AE22" s="18"/>
      <c r="AF22" s="18"/>
      <c r="AG22" s="18"/>
      <c r="AH22" s="18"/>
      <c r="AI22" s="18"/>
    </row>
    <row r="23" spans="1:35">
      <c r="A23" s="14">
        <v>21</v>
      </c>
      <c r="B23" s="14">
        <v>7820</v>
      </c>
      <c r="C23" s="14" t="s">
        <v>77</v>
      </c>
      <c r="D23" s="14" t="s">
        <v>76</v>
      </c>
      <c r="E23" s="15" t="str">
        <f>"27.81"</f>
        <v>27.81</v>
      </c>
      <c r="F23" s="15"/>
      <c r="G23" s="16">
        <v>33.979999999999997</v>
      </c>
      <c r="H23" s="17" t="s">
        <v>78</v>
      </c>
      <c r="I23" s="18">
        <v>1</v>
      </c>
      <c r="J23" s="18">
        <v>2016</v>
      </c>
      <c r="K23" s="18" t="str">
        <f>"27.81"</f>
        <v>27.81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>
      <c r="A24" s="14">
        <v>22</v>
      </c>
      <c r="B24" s="14">
        <v>6288</v>
      </c>
      <c r="C24" s="14" t="s">
        <v>79</v>
      </c>
      <c r="D24" s="14" t="s">
        <v>39</v>
      </c>
      <c r="E24" s="15" t="str">
        <f>"26.85"</f>
        <v>26.85</v>
      </c>
      <c r="F24" s="15"/>
      <c r="G24" s="16" t="str">
        <f>"38.66"</f>
        <v>38.66</v>
      </c>
      <c r="H24" s="17" t="s">
        <v>48</v>
      </c>
      <c r="I24" s="18">
        <v>1</v>
      </c>
      <c r="J24" s="18">
        <v>2016</v>
      </c>
      <c r="K24" s="18" t="str">
        <f>"26.85"</f>
        <v>26.85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>
      <c r="A25" s="14">
        <v>23</v>
      </c>
      <c r="B25" s="14">
        <v>6163</v>
      </c>
      <c r="C25" s="14" t="s">
        <v>80</v>
      </c>
      <c r="D25" s="14" t="s">
        <v>81</v>
      </c>
      <c r="E25" s="15" t="str">
        <f>"39.81"</f>
        <v>39.81</v>
      </c>
      <c r="F25" s="15"/>
      <c r="G25" s="16" t="str">
        <f>"39.81"</f>
        <v>39.81</v>
      </c>
      <c r="H25" s="17"/>
      <c r="I25" s="18">
        <v>3</v>
      </c>
      <c r="J25" s="18">
        <v>2016</v>
      </c>
      <c r="K25" s="18" t="str">
        <f>"47.33"</f>
        <v>47.33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 t="str">
        <f>"100.63"</f>
        <v>100.63</v>
      </c>
      <c r="AB25" s="18"/>
      <c r="AC25" s="18"/>
      <c r="AD25" s="18"/>
      <c r="AE25" s="18" t="str">
        <f>"42.91"</f>
        <v>42.91</v>
      </c>
      <c r="AF25" s="18" t="str">
        <f>"60.94"</f>
        <v>60.94</v>
      </c>
      <c r="AG25" s="18" t="str">
        <f>"36.71"</f>
        <v>36.71</v>
      </c>
      <c r="AH25" s="18"/>
      <c r="AI25" s="18"/>
    </row>
    <row r="26" spans="1:35">
      <c r="A26" s="14">
        <v>24</v>
      </c>
      <c r="B26" s="14">
        <v>3162</v>
      </c>
      <c r="C26" s="14" t="s">
        <v>82</v>
      </c>
      <c r="D26" s="14" t="s">
        <v>39</v>
      </c>
      <c r="E26" s="15" t="str">
        <f>"40.43"</f>
        <v>40.43</v>
      </c>
      <c r="F26" s="15"/>
      <c r="G26" s="16" t="str">
        <f>"40.43"</f>
        <v>40.43</v>
      </c>
      <c r="H26" s="17"/>
      <c r="I26" s="18">
        <v>3</v>
      </c>
      <c r="J26" s="18">
        <v>2016</v>
      </c>
      <c r="K26" s="18" t="str">
        <f>"51.39"</f>
        <v>51.39</v>
      </c>
      <c r="L26" s="18" t="str">
        <f>"38.70"</f>
        <v>38.70</v>
      </c>
      <c r="M26" s="18"/>
      <c r="N26" s="18" t="str">
        <f>"42.15"</f>
        <v>42.15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>
      <c r="A27" s="14">
        <v>25</v>
      </c>
      <c r="B27" s="14">
        <v>7217</v>
      </c>
      <c r="C27" s="14" t="s">
        <v>83</v>
      </c>
      <c r="D27" s="14" t="s">
        <v>84</v>
      </c>
      <c r="E27" s="15" t="str">
        <f>"41.30"</f>
        <v>41.30</v>
      </c>
      <c r="F27" s="15"/>
      <c r="G27" s="16" t="str">
        <f>"41.30"</f>
        <v>41.30</v>
      </c>
      <c r="H27" s="17"/>
      <c r="I27" s="18">
        <v>3</v>
      </c>
      <c r="J27" s="18">
        <v>2016</v>
      </c>
      <c r="K27" s="18" t="str">
        <f>"68.69"</f>
        <v>68.69</v>
      </c>
      <c r="L27" s="18"/>
      <c r="M27" s="18" t="str">
        <f>"42.65"</f>
        <v>42.65</v>
      </c>
      <c r="N27" s="18"/>
      <c r="O27" s="18" t="str">
        <f>"39.94"</f>
        <v>39.94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 t="str">
        <f>"91.26"</f>
        <v>91.26</v>
      </c>
      <c r="AB27" s="18"/>
      <c r="AC27" s="18"/>
      <c r="AD27" s="18"/>
      <c r="AE27" s="18"/>
      <c r="AF27" s="18"/>
      <c r="AG27" s="18"/>
      <c r="AH27" s="18"/>
      <c r="AI27" s="18"/>
    </row>
    <row r="28" spans="1:35">
      <c r="A28" s="14">
        <v>26</v>
      </c>
      <c r="B28" s="14">
        <v>4158</v>
      </c>
      <c r="C28" s="14" t="s">
        <v>85</v>
      </c>
      <c r="D28" s="14" t="s">
        <v>86</v>
      </c>
      <c r="E28" s="15" t="str">
        <f>"46.22"</f>
        <v>46.22</v>
      </c>
      <c r="F28" s="15"/>
      <c r="G28" s="16" t="str">
        <f>"46.22"</f>
        <v>46.22</v>
      </c>
      <c r="H28" s="17"/>
      <c r="I28" s="18">
        <v>3</v>
      </c>
      <c r="J28" s="18">
        <v>2016</v>
      </c>
      <c r="K28" s="18" t="str">
        <f>"72.38"</f>
        <v>72.38</v>
      </c>
      <c r="L28" s="18"/>
      <c r="M28" s="18" t="str">
        <f>"29.94"</f>
        <v>29.94</v>
      </c>
      <c r="N28" s="18"/>
      <c r="O28" s="18" t="str">
        <f>"62.50"</f>
        <v>62.50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 t="str">
        <f>"88.03"</f>
        <v>88.03</v>
      </c>
      <c r="AB28" s="18"/>
      <c r="AC28" s="18"/>
      <c r="AD28" s="18"/>
      <c r="AE28" s="18"/>
      <c r="AF28" s="18"/>
      <c r="AG28" s="18" t="str">
        <f>"88.99"</f>
        <v>88.99</v>
      </c>
      <c r="AH28" s="18"/>
      <c r="AI28" s="18"/>
    </row>
    <row r="29" spans="1:35">
      <c r="A29" s="14">
        <v>27</v>
      </c>
      <c r="B29" s="14">
        <v>1827</v>
      </c>
      <c r="C29" s="14" t="s">
        <v>87</v>
      </c>
      <c r="D29" s="14" t="s">
        <v>76</v>
      </c>
      <c r="E29" s="15" t="str">
        <f>"39.63"</f>
        <v>39.63</v>
      </c>
      <c r="F29" s="15"/>
      <c r="G29" s="16" t="str">
        <f>"46.33"</f>
        <v>46.33</v>
      </c>
      <c r="H29" s="17"/>
      <c r="I29" s="18">
        <v>3</v>
      </c>
      <c r="J29" s="18">
        <v>2016</v>
      </c>
      <c r="K29" s="18" t="str">
        <f>"39.63"</f>
        <v>39.63</v>
      </c>
      <c r="L29" s="18" t="str">
        <f>"66.71"</f>
        <v>66.71</v>
      </c>
      <c r="M29" s="18"/>
      <c r="N29" s="18" t="str">
        <f>"49.86"</f>
        <v>49.86</v>
      </c>
      <c r="O29" s="18"/>
      <c r="P29" s="18"/>
      <c r="Q29" s="18"/>
      <c r="R29" s="18"/>
      <c r="S29" s="18"/>
      <c r="T29" s="18"/>
      <c r="U29" s="18"/>
      <c r="V29" s="18"/>
      <c r="W29" s="18"/>
      <c r="X29" s="18" t="str">
        <f>"42.80"</f>
        <v>42.80</v>
      </c>
      <c r="Y29" s="18" t="str">
        <f>"54.80"</f>
        <v>54.80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>
      <c r="A30" s="14">
        <v>28</v>
      </c>
      <c r="B30" s="14">
        <v>3900</v>
      </c>
      <c r="C30" s="14" t="s">
        <v>88</v>
      </c>
      <c r="D30" s="14" t="s">
        <v>89</v>
      </c>
      <c r="E30" s="15" t="str">
        <f>"33.44"</f>
        <v>33.44</v>
      </c>
      <c r="F30" s="15"/>
      <c r="G30" s="16" t="str">
        <f>"48.15"</f>
        <v>48.15</v>
      </c>
      <c r="H30" s="17" t="s">
        <v>48</v>
      </c>
      <c r="I30" s="18">
        <v>1</v>
      </c>
      <c r="J30" s="18">
        <v>2016</v>
      </c>
      <c r="K30" s="18" t="str">
        <f>"33.44"</f>
        <v>33.44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>
      <c r="A31" s="14">
        <v>29</v>
      </c>
      <c r="B31" s="14">
        <v>4023</v>
      </c>
      <c r="C31" s="14" t="s">
        <v>90</v>
      </c>
      <c r="D31" s="14" t="s">
        <v>76</v>
      </c>
      <c r="E31" s="15" t="str">
        <f>"49.25"</f>
        <v>49.25</v>
      </c>
      <c r="F31" s="15"/>
      <c r="G31" s="16" t="str">
        <f>"49.25"</f>
        <v>49.25</v>
      </c>
      <c r="H31" s="17"/>
      <c r="I31" s="18">
        <v>3</v>
      </c>
      <c r="J31" s="18">
        <v>2016</v>
      </c>
      <c r="K31" s="18" t="str">
        <f>"54.02"</f>
        <v>54.02</v>
      </c>
      <c r="L31" s="18" t="str">
        <f>"82.24"</f>
        <v>82.24</v>
      </c>
      <c r="M31" s="18"/>
      <c r="N31" s="18" t="str">
        <f>"66.31"</f>
        <v>66.31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 t="str">
        <f>"52.79"</f>
        <v>52.79</v>
      </c>
      <c r="Z31" s="18"/>
      <c r="AA31" s="18"/>
      <c r="AB31" s="18"/>
      <c r="AC31" s="18"/>
      <c r="AD31" s="18"/>
      <c r="AE31" s="18"/>
      <c r="AF31" s="18"/>
      <c r="AG31" s="18" t="str">
        <f>"45.70"</f>
        <v>45.70</v>
      </c>
      <c r="AH31" s="18"/>
      <c r="AI31" s="18"/>
    </row>
    <row r="32" spans="1:35">
      <c r="A32" s="14">
        <v>30</v>
      </c>
      <c r="B32" s="14">
        <v>1938</v>
      </c>
      <c r="C32" s="14" t="s">
        <v>91</v>
      </c>
      <c r="D32" s="14" t="s">
        <v>89</v>
      </c>
      <c r="E32" s="15" t="str">
        <f>"34.69"</f>
        <v>34.69</v>
      </c>
      <c r="F32" s="15"/>
      <c r="G32" s="16" t="str">
        <f>"49.95"</f>
        <v>49.95</v>
      </c>
      <c r="H32" s="17" t="s">
        <v>48</v>
      </c>
      <c r="I32" s="18">
        <v>1</v>
      </c>
      <c r="J32" s="18">
        <v>2016</v>
      </c>
      <c r="K32" s="18" t="str">
        <f>"34.69"</f>
        <v>34.69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>
      <c r="A33" s="14">
        <v>31</v>
      </c>
      <c r="B33" s="14">
        <v>1312</v>
      </c>
      <c r="C33" s="14" t="s">
        <v>92</v>
      </c>
      <c r="D33" s="14" t="s">
        <v>93</v>
      </c>
      <c r="E33" s="15" t="str">
        <f>"51.91"</f>
        <v>51.91</v>
      </c>
      <c r="F33" s="15"/>
      <c r="G33" s="16" t="str">
        <f>"51.91"</f>
        <v>51.91</v>
      </c>
      <c r="H33" s="17"/>
      <c r="I33" s="18">
        <v>3</v>
      </c>
      <c r="J33" s="18">
        <v>2016</v>
      </c>
      <c r="K33" s="18" t="str">
        <f>"78.56"</f>
        <v>78.56</v>
      </c>
      <c r="L33" s="18"/>
      <c r="M33" s="18" t="str">
        <f>"50.13"</f>
        <v>50.13</v>
      </c>
      <c r="N33" s="18"/>
      <c r="O33" s="18" t="str">
        <f>"53.68"</f>
        <v>53.68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 t="str">
        <f>"113.72"</f>
        <v>113.72</v>
      </c>
      <c r="AB33" s="18"/>
      <c r="AC33" s="18"/>
      <c r="AD33" s="18"/>
      <c r="AE33" s="18"/>
      <c r="AF33" s="18"/>
      <c r="AG33" s="18"/>
      <c r="AH33" s="18"/>
      <c r="AI33" s="18"/>
    </row>
    <row r="34" spans="1:35">
      <c r="A34" s="14">
        <v>32</v>
      </c>
      <c r="B34" s="14">
        <v>4379</v>
      </c>
      <c r="C34" s="14" t="s">
        <v>94</v>
      </c>
      <c r="D34" s="14" t="s">
        <v>58</v>
      </c>
      <c r="E34" s="15" t="str">
        <f>"36.63"</f>
        <v>36.63</v>
      </c>
      <c r="F34" s="15"/>
      <c r="G34" s="16" t="str">
        <f>"52.75"</f>
        <v>52.75</v>
      </c>
      <c r="H34" s="17" t="s">
        <v>48</v>
      </c>
      <c r="I34" s="18">
        <v>1</v>
      </c>
      <c r="J34" s="18">
        <v>2016</v>
      </c>
      <c r="K34" s="18" t="str">
        <f>"36.63"</f>
        <v>36.63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>
      <c r="A35" s="14">
        <v>33</v>
      </c>
      <c r="B35" s="14">
        <v>2630</v>
      </c>
      <c r="C35" s="14" t="s">
        <v>95</v>
      </c>
      <c r="D35" s="14" t="s">
        <v>96</v>
      </c>
      <c r="E35" s="15" t="str">
        <f>"43.03"</f>
        <v>43.03</v>
      </c>
      <c r="F35" s="15"/>
      <c r="G35" s="16" t="str">
        <f>"53.15"</f>
        <v>53.15</v>
      </c>
      <c r="H35" s="17"/>
      <c r="I35" s="18">
        <v>3</v>
      </c>
      <c r="J35" s="18">
        <v>2016</v>
      </c>
      <c r="K35" s="18" t="str">
        <f>"46.84"</f>
        <v>46.84</v>
      </c>
      <c r="L35" s="18" t="str">
        <f>"39.21"</f>
        <v>39.21</v>
      </c>
      <c r="M35" s="18"/>
      <c r="N35" s="18" t="str">
        <f>"67.08"</f>
        <v>67.08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>
      <c r="A36" s="14">
        <v>34</v>
      </c>
      <c r="B36" s="14">
        <v>8308</v>
      </c>
      <c r="C36" s="14" t="s">
        <v>97</v>
      </c>
      <c r="D36" s="14" t="s">
        <v>98</v>
      </c>
      <c r="E36" s="15" t="str">
        <f>"49.60"</f>
        <v>49.60</v>
      </c>
      <c r="F36" s="15"/>
      <c r="G36" s="16" t="str">
        <f>"55.05"</f>
        <v>55.05</v>
      </c>
      <c r="H36" s="17"/>
      <c r="I36" s="18">
        <v>3</v>
      </c>
      <c r="J36" s="18">
        <v>2016</v>
      </c>
      <c r="K36" s="18" t="str">
        <f>"60.61"</f>
        <v>60.61</v>
      </c>
      <c r="L36" s="18" t="str">
        <f>"95.73"</f>
        <v>95.73</v>
      </c>
      <c r="M36" s="18"/>
      <c r="N36" s="18" t="str">
        <f>"119.00"</f>
        <v>119.00</v>
      </c>
      <c r="O36" s="18"/>
      <c r="P36" s="18"/>
      <c r="Q36" s="18" t="str">
        <f>"71.51"</f>
        <v>71.51</v>
      </c>
      <c r="R36" s="18"/>
      <c r="S36" s="18"/>
      <c r="T36" s="18"/>
      <c r="U36" s="18" t="str">
        <f>"75.32"</f>
        <v>75.32</v>
      </c>
      <c r="V36" s="18"/>
      <c r="W36" s="18"/>
      <c r="X36" s="18"/>
      <c r="Y36" s="18"/>
      <c r="Z36" s="18" t="str">
        <f>"79.43"</f>
        <v>79.43</v>
      </c>
      <c r="AA36" s="18"/>
      <c r="AB36" s="18"/>
      <c r="AC36" s="18"/>
      <c r="AD36" s="18"/>
      <c r="AE36" s="18"/>
      <c r="AF36" s="18"/>
      <c r="AG36" s="18" t="str">
        <f>"38.59"</f>
        <v>38.59</v>
      </c>
      <c r="AH36" s="18"/>
      <c r="AI36" s="18"/>
    </row>
    <row r="37" spans="1:35">
      <c r="A37" s="14">
        <v>35</v>
      </c>
      <c r="B37" s="14">
        <v>6587</v>
      </c>
      <c r="C37" s="14" t="s">
        <v>99</v>
      </c>
      <c r="D37" s="14" t="s">
        <v>98</v>
      </c>
      <c r="E37" s="15" t="str">
        <f>"56.33"</f>
        <v>56.33</v>
      </c>
      <c r="F37" s="15"/>
      <c r="G37" s="16" t="str">
        <f>"56.33"</f>
        <v>56.33</v>
      </c>
      <c r="H37" s="17"/>
      <c r="I37" s="18">
        <v>3</v>
      </c>
      <c r="J37" s="18">
        <v>2016</v>
      </c>
      <c r="K37" s="18" t="str">
        <f>"80.57"</f>
        <v>80.57</v>
      </c>
      <c r="L37" s="18" t="str">
        <f>"75.37"</f>
        <v>75.37</v>
      </c>
      <c r="M37" s="18"/>
      <c r="N37" s="18" t="str">
        <f>"57.06"</f>
        <v>57.06</v>
      </c>
      <c r="O37" s="18"/>
      <c r="P37" s="18"/>
      <c r="Q37" s="18" t="str">
        <f>"55.60"</f>
        <v>55.60</v>
      </c>
      <c r="R37" s="18"/>
      <c r="S37" s="18"/>
      <c r="T37" s="18"/>
      <c r="U37" s="18" t="str">
        <f>"63.95"</f>
        <v>63.95</v>
      </c>
      <c r="V37" s="18"/>
      <c r="W37" s="18"/>
      <c r="X37" s="18"/>
      <c r="Y37" s="18"/>
      <c r="Z37" s="18" t="str">
        <f>"104.57"</f>
        <v>104.57</v>
      </c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>
      <c r="A38" s="14">
        <v>36</v>
      </c>
      <c r="B38" s="14">
        <v>7696</v>
      </c>
      <c r="C38" s="14" t="s">
        <v>100</v>
      </c>
      <c r="D38" s="14" t="s">
        <v>76</v>
      </c>
      <c r="E38" s="15" t="str">
        <f>"56.76"</f>
        <v>56.76</v>
      </c>
      <c r="F38" s="15"/>
      <c r="G38" s="16" t="str">
        <f>"57.62"</f>
        <v>57.62</v>
      </c>
      <c r="H38" s="17"/>
      <c r="I38" s="18">
        <v>3</v>
      </c>
      <c r="J38" s="18">
        <v>2016</v>
      </c>
      <c r="K38" s="18" t="str">
        <f>"60.27"</f>
        <v>60.27</v>
      </c>
      <c r="L38" s="18" t="str">
        <f>"82.24"</f>
        <v>82.24</v>
      </c>
      <c r="M38" s="18"/>
      <c r="N38" s="18" t="str">
        <f>"78.39"</f>
        <v>78.39</v>
      </c>
      <c r="O38" s="18"/>
      <c r="P38" s="18"/>
      <c r="Q38" s="18" t="str">
        <f>"62.00"</f>
        <v>62.00</v>
      </c>
      <c r="R38" s="18"/>
      <c r="S38" s="18"/>
      <c r="T38" s="18"/>
      <c r="U38" s="18" t="str">
        <f>"72.21"</f>
        <v>72.21</v>
      </c>
      <c r="V38" s="18"/>
      <c r="W38" s="18"/>
      <c r="X38" s="18"/>
      <c r="Y38" s="18" t="str">
        <f>"70.28"</f>
        <v>70.28</v>
      </c>
      <c r="Z38" s="18"/>
      <c r="AA38" s="18"/>
      <c r="AB38" s="18"/>
      <c r="AC38" s="18" t="str">
        <f>"65.07"</f>
        <v>65.07</v>
      </c>
      <c r="AD38" s="18" t="str">
        <f>"53.24"</f>
        <v>53.24</v>
      </c>
      <c r="AE38" s="18"/>
      <c r="AF38" s="18"/>
      <c r="AG38" s="18"/>
      <c r="AH38" s="18"/>
      <c r="AI38" s="18"/>
    </row>
    <row r="39" spans="1:35">
      <c r="A39" s="14">
        <v>37</v>
      </c>
      <c r="B39" s="14">
        <v>4168</v>
      </c>
      <c r="C39" s="14" t="s">
        <v>101</v>
      </c>
      <c r="D39" s="14" t="s">
        <v>76</v>
      </c>
      <c r="E39" s="15" t="str">
        <f>"47.53"</f>
        <v>47.53</v>
      </c>
      <c r="F39" s="15"/>
      <c r="G39" s="16" t="str">
        <f>"58.27"</f>
        <v>58.27</v>
      </c>
      <c r="H39" s="17"/>
      <c r="I39" s="18">
        <v>3</v>
      </c>
      <c r="J39" s="18">
        <v>2016</v>
      </c>
      <c r="K39" s="18" t="str">
        <f>"47.53"</f>
        <v>47.53</v>
      </c>
      <c r="L39" s="18" t="str">
        <f>"85.80"</f>
        <v>85.80</v>
      </c>
      <c r="M39" s="18"/>
      <c r="N39" s="18" t="str">
        <f>"86.10"</f>
        <v>86.10</v>
      </c>
      <c r="O39" s="18"/>
      <c r="P39" s="18"/>
      <c r="Q39" s="18"/>
      <c r="R39" s="18"/>
      <c r="S39" s="18"/>
      <c r="T39" s="18"/>
      <c r="U39" s="18"/>
      <c r="V39" s="18"/>
      <c r="W39" s="18"/>
      <c r="X39" s="18" t="str">
        <f>"51.99"</f>
        <v>51.99</v>
      </c>
      <c r="Y39" s="18" t="str">
        <f>"64.55"</f>
        <v>64.55</v>
      </c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>
      <c r="A40" s="14">
        <v>38</v>
      </c>
      <c r="B40" s="14">
        <v>2615</v>
      </c>
      <c r="C40" s="14" t="s">
        <v>102</v>
      </c>
      <c r="D40" s="14" t="s">
        <v>103</v>
      </c>
      <c r="E40" s="15" t="str">
        <f>"57.74"</f>
        <v>57.74</v>
      </c>
      <c r="F40" s="15"/>
      <c r="G40" s="16" t="str">
        <f>"58.81"</f>
        <v>58.81</v>
      </c>
      <c r="H40" s="17"/>
      <c r="I40" s="18">
        <v>3</v>
      </c>
      <c r="J40" s="18">
        <v>2016</v>
      </c>
      <c r="K40" s="18" t="str">
        <f>"75.74"</f>
        <v>75.74</v>
      </c>
      <c r="L40" s="18"/>
      <c r="M40" s="18"/>
      <c r="N40" s="18" t="str">
        <f>"77.88"</f>
        <v>77.88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 t="str">
        <f>"39.74"</f>
        <v>39.74</v>
      </c>
      <c r="AB40" s="18"/>
      <c r="AC40" s="18"/>
      <c r="AD40" s="18"/>
      <c r="AE40" s="18"/>
      <c r="AF40" s="18"/>
      <c r="AG40" s="18"/>
      <c r="AH40" s="18"/>
      <c r="AI40" s="18"/>
    </row>
    <row r="41" spans="1:35">
      <c r="A41" s="14">
        <v>39</v>
      </c>
      <c r="B41" s="14">
        <v>5498</v>
      </c>
      <c r="C41" s="14" t="s">
        <v>104</v>
      </c>
      <c r="D41" s="14" t="s">
        <v>98</v>
      </c>
      <c r="E41" s="15" t="str">
        <f>"60.90"</f>
        <v>60.90</v>
      </c>
      <c r="F41" s="15"/>
      <c r="G41" s="16" t="str">
        <f>"60.90"</f>
        <v>60.90</v>
      </c>
      <c r="H41" s="17"/>
      <c r="I41" s="18">
        <v>3</v>
      </c>
      <c r="J41" s="18">
        <v>2016</v>
      </c>
      <c r="K41" s="18" t="str">
        <f>"71.03"</f>
        <v>71.03</v>
      </c>
      <c r="L41" s="18" t="str">
        <f>"68.49"</f>
        <v>68.49</v>
      </c>
      <c r="M41" s="18"/>
      <c r="N41" s="18" t="str">
        <f>"63.48"</f>
        <v>63.48</v>
      </c>
      <c r="O41" s="18"/>
      <c r="P41" s="18"/>
      <c r="Q41" s="18" t="str">
        <f>"64.50"</f>
        <v>64.50</v>
      </c>
      <c r="R41" s="18"/>
      <c r="S41" s="18"/>
      <c r="T41" s="18"/>
      <c r="U41" s="18" t="str">
        <f>"62.47"</f>
        <v>62.47</v>
      </c>
      <c r="V41" s="18"/>
      <c r="W41" s="18"/>
      <c r="X41" s="18"/>
      <c r="Y41" s="18"/>
      <c r="Z41" s="18" t="str">
        <f>"59.32"</f>
        <v>59.32</v>
      </c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>
      <c r="A42" s="14">
        <v>40</v>
      </c>
      <c r="B42" s="14">
        <v>5180</v>
      </c>
      <c r="C42" s="14" t="s">
        <v>105</v>
      </c>
      <c r="D42" s="14" t="s">
        <v>76</v>
      </c>
      <c r="E42" s="15" t="str">
        <f>"58.26"</f>
        <v>58.26</v>
      </c>
      <c r="F42" s="15"/>
      <c r="G42" s="16" t="str">
        <f>"61.78"</f>
        <v>61.78</v>
      </c>
      <c r="H42" s="17"/>
      <c r="I42" s="18">
        <v>3</v>
      </c>
      <c r="J42" s="18">
        <v>2016</v>
      </c>
      <c r="K42" s="18" t="str">
        <f>"58.26"</f>
        <v>58.26</v>
      </c>
      <c r="L42" s="18" t="str">
        <f>"60.85"</f>
        <v>60.85</v>
      </c>
      <c r="M42" s="18"/>
      <c r="N42" s="18" t="str">
        <f>"62.71"</f>
        <v>62.71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 t="str">
        <f>"90.39"</f>
        <v>90.39</v>
      </c>
      <c r="Z42" s="18"/>
      <c r="AA42" s="18"/>
      <c r="AB42" s="18"/>
      <c r="AC42" s="18"/>
      <c r="AD42" s="18"/>
      <c r="AE42" s="18"/>
      <c r="AF42" s="18"/>
      <c r="AG42" s="18"/>
      <c r="AH42" s="18" t="str">
        <f>"86.65"</f>
        <v>86.65</v>
      </c>
      <c r="AI42" s="18"/>
    </row>
    <row r="43" spans="1:35">
      <c r="A43" s="14">
        <v>41</v>
      </c>
      <c r="B43" s="14">
        <v>2358</v>
      </c>
      <c r="C43" s="14" t="s">
        <v>106</v>
      </c>
      <c r="D43" s="14" t="s">
        <v>107</v>
      </c>
      <c r="E43" s="15" t="str">
        <f>"44.47"</f>
        <v>44.47</v>
      </c>
      <c r="F43" s="15"/>
      <c r="G43" s="16" t="str">
        <f>"64.04"</f>
        <v>64.04</v>
      </c>
      <c r="H43" s="17" t="s">
        <v>48</v>
      </c>
      <c r="I43" s="18">
        <v>1</v>
      </c>
      <c r="J43" s="18">
        <v>2016</v>
      </c>
      <c r="K43" s="18" t="str">
        <f>"44.47"</f>
        <v>44.47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>
      <c r="A44" s="14">
        <v>42</v>
      </c>
      <c r="B44" s="14">
        <v>8329</v>
      </c>
      <c r="C44" s="14" t="s">
        <v>108</v>
      </c>
      <c r="D44" s="14" t="s">
        <v>109</v>
      </c>
      <c r="E44" s="15" t="str">
        <f>"44.78"</f>
        <v>44.78</v>
      </c>
      <c r="F44" s="15"/>
      <c r="G44" s="16" t="str">
        <f>"64.48"</f>
        <v>64.48</v>
      </c>
      <c r="H44" s="17" t="s">
        <v>48</v>
      </c>
      <c r="I44" s="18">
        <v>1</v>
      </c>
      <c r="J44" s="18">
        <v>2016</v>
      </c>
      <c r="K44" s="18" t="str">
        <f>"44.78"</f>
        <v>44.78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>
      <c r="A45" s="14">
        <v>43</v>
      </c>
      <c r="B45" s="14">
        <v>2568</v>
      </c>
      <c r="C45" s="14" t="s">
        <v>110</v>
      </c>
      <c r="D45" s="14" t="s">
        <v>76</v>
      </c>
      <c r="E45" s="15" t="str">
        <f>"45.26"</f>
        <v>45.26</v>
      </c>
      <c r="F45" s="15"/>
      <c r="G45" s="16" t="str">
        <f>"65.17"</f>
        <v>65.17</v>
      </c>
      <c r="H45" s="17" t="s">
        <v>48</v>
      </c>
      <c r="I45" s="18">
        <v>1</v>
      </c>
      <c r="J45" s="18">
        <v>2016</v>
      </c>
      <c r="K45" s="18" t="str">
        <f>"45.26"</f>
        <v>45.26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>
      <c r="A46" s="14">
        <v>44</v>
      </c>
      <c r="B46" s="14">
        <v>3007</v>
      </c>
      <c r="C46" s="14" t="s">
        <v>111</v>
      </c>
      <c r="D46" s="14" t="s">
        <v>112</v>
      </c>
      <c r="E46" s="15" t="str">
        <f>"45.04"</f>
        <v>45.04</v>
      </c>
      <c r="F46" s="15"/>
      <c r="G46" s="16" t="str">
        <f>"65.88"</f>
        <v>65.88</v>
      </c>
      <c r="H46" s="17"/>
      <c r="I46" s="18">
        <v>3</v>
      </c>
      <c r="J46" s="18">
        <v>2016</v>
      </c>
      <c r="K46" s="18" t="str">
        <f>"45.04"</f>
        <v>45.04</v>
      </c>
      <c r="L46" s="18" t="str">
        <f>"108.21"</f>
        <v>108.21</v>
      </c>
      <c r="M46" s="18"/>
      <c r="N46" s="18" t="str">
        <f>"96.38"</f>
        <v>96.38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 t="str">
        <f>"102.73"</f>
        <v>102.73</v>
      </c>
      <c r="AB46" s="18"/>
      <c r="AC46" s="18"/>
      <c r="AD46" s="18"/>
      <c r="AE46" s="18" t="str">
        <f>"67.44"</f>
        <v>67.44</v>
      </c>
      <c r="AF46" s="18" t="str">
        <f>"73.08"</f>
        <v>73.08</v>
      </c>
      <c r="AG46" s="18" t="str">
        <f>"64.32"</f>
        <v>64.32</v>
      </c>
      <c r="AH46" s="18"/>
      <c r="AI46" s="18"/>
    </row>
    <row r="47" spans="1:35">
      <c r="A47" s="14">
        <v>45</v>
      </c>
      <c r="B47" s="14">
        <v>3479</v>
      </c>
      <c r="C47" s="14" t="s">
        <v>113</v>
      </c>
      <c r="D47" s="14" t="s">
        <v>114</v>
      </c>
      <c r="E47" s="15" t="str">
        <f>"60.53"</f>
        <v>60.53</v>
      </c>
      <c r="F47" s="15"/>
      <c r="G47" s="16" t="str">
        <f>"67.09"</f>
        <v>67.09</v>
      </c>
      <c r="H47" s="17"/>
      <c r="I47" s="18">
        <v>3</v>
      </c>
      <c r="J47" s="18">
        <v>2016</v>
      </c>
      <c r="K47" s="18" t="str">
        <f>"77.50"</f>
        <v>77.50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 t="str">
        <f>"90.62"</f>
        <v>90.62</v>
      </c>
      <c r="AB47" s="18"/>
      <c r="AC47" s="18"/>
      <c r="AD47" s="18"/>
      <c r="AE47" s="18"/>
      <c r="AF47" s="18"/>
      <c r="AG47" s="18"/>
      <c r="AH47" s="18" t="str">
        <f>"43.55"</f>
        <v>43.55</v>
      </c>
      <c r="AI47" s="18"/>
    </row>
    <row r="48" spans="1:35">
      <c r="A48" s="14">
        <v>46</v>
      </c>
      <c r="B48" s="14">
        <v>3120</v>
      </c>
      <c r="C48" s="14" t="s">
        <v>115</v>
      </c>
      <c r="D48" s="14" t="s">
        <v>43</v>
      </c>
      <c r="E48" s="15" t="str">
        <f>"24.97"</f>
        <v>24.97</v>
      </c>
      <c r="F48" s="15"/>
      <c r="G48" s="16" t="str">
        <f>"68.22"</f>
        <v>68.22</v>
      </c>
      <c r="H48" s="17"/>
      <c r="I48" s="18">
        <v>3</v>
      </c>
      <c r="J48" s="18">
        <v>2016</v>
      </c>
      <c r="K48" s="18" t="str">
        <f>"24.97"</f>
        <v>24.97</v>
      </c>
      <c r="L48" s="18"/>
      <c r="M48" s="18"/>
      <c r="N48" s="18" t="str">
        <f>"68.11"</f>
        <v>68.11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 t="str">
        <f>"68.33"</f>
        <v>68.33</v>
      </c>
      <c r="AB48" s="18"/>
      <c r="AC48" s="18"/>
      <c r="AD48" s="18"/>
      <c r="AE48" s="18"/>
      <c r="AF48" s="18"/>
      <c r="AG48" s="18"/>
      <c r="AH48" s="18"/>
      <c r="AI48" s="18"/>
    </row>
    <row r="49" spans="1:35">
      <c r="A49" s="14">
        <v>47</v>
      </c>
      <c r="B49" s="14">
        <v>7883</v>
      </c>
      <c r="C49" s="14" t="s">
        <v>116</v>
      </c>
      <c r="D49" s="14" t="s">
        <v>39</v>
      </c>
      <c r="E49" s="15" t="str">
        <f>"54.97"</f>
        <v>54.97</v>
      </c>
      <c r="F49" s="15"/>
      <c r="G49" s="16" t="str">
        <f>"68.45"</f>
        <v>68.45</v>
      </c>
      <c r="H49" s="17"/>
      <c r="I49" s="18">
        <v>3</v>
      </c>
      <c r="J49" s="18">
        <v>2016</v>
      </c>
      <c r="K49" s="18" t="str">
        <f>"54.97"</f>
        <v>54.97</v>
      </c>
      <c r="L49" s="18"/>
      <c r="M49" s="18" t="str">
        <f>"65.33"</f>
        <v>65.33</v>
      </c>
      <c r="N49" s="18"/>
      <c r="O49" s="18" t="str">
        <f>"71.57"</f>
        <v>71.57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 t="str">
        <f>"94.98"</f>
        <v>94.98</v>
      </c>
      <c r="AB49" s="18"/>
      <c r="AC49" s="18"/>
      <c r="AD49" s="18"/>
      <c r="AE49" s="18"/>
      <c r="AF49" s="18"/>
      <c r="AG49" s="18"/>
      <c r="AH49" s="18"/>
      <c r="AI49" s="18"/>
    </row>
    <row r="50" spans="1:35">
      <c r="A50" s="14">
        <v>48</v>
      </c>
      <c r="B50" s="14">
        <v>7835</v>
      </c>
      <c r="C50" s="14" t="s">
        <v>117</v>
      </c>
      <c r="D50" s="14" t="s">
        <v>76</v>
      </c>
      <c r="E50" s="15" t="str">
        <f>"52.03"</f>
        <v>52.03</v>
      </c>
      <c r="F50" s="15"/>
      <c r="G50" s="16" t="str">
        <f>"68.75"</f>
        <v>68.75</v>
      </c>
      <c r="H50" s="17"/>
      <c r="I50" s="18">
        <v>3</v>
      </c>
      <c r="J50" s="18">
        <v>2016</v>
      </c>
      <c r="K50" s="18" t="str">
        <f>"52.03"</f>
        <v>52.03</v>
      </c>
      <c r="L50" s="18" t="str">
        <f>"103.12"</f>
        <v>103.12</v>
      </c>
      <c r="M50" s="18"/>
      <c r="N50" s="18" t="str">
        <f>"104.35"</f>
        <v>104.35</v>
      </c>
      <c r="O50" s="18"/>
      <c r="P50" s="18"/>
      <c r="Q50" s="18"/>
      <c r="R50" s="18"/>
      <c r="S50" s="18"/>
      <c r="T50" s="18"/>
      <c r="U50" s="18"/>
      <c r="V50" s="18"/>
      <c r="W50" s="18"/>
      <c r="X50" s="18" t="str">
        <f>"80.90"</f>
        <v>80.90</v>
      </c>
      <c r="Y50" s="18" t="str">
        <f>"76.11"</f>
        <v>76.11</v>
      </c>
      <c r="Z50" s="18"/>
      <c r="AA50" s="18"/>
      <c r="AB50" s="18"/>
      <c r="AC50" s="18"/>
      <c r="AD50" s="18" t="str">
        <f>"61.38"</f>
        <v>61.38</v>
      </c>
      <c r="AE50" s="18"/>
      <c r="AF50" s="18"/>
      <c r="AG50" s="18"/>
      <c r="AH50" s="18"/>
      <c r="AI50" s="18"/>
    </row>
    <row r="51" spans="1:35">
      <c r="A51" s="14">
        <v>49</v>
      </c>
      <c r="B51" s="14">
        <v>934</v>
      </c>
      <c r="C51" s="14" t="s">
        <v>118</v>
      </c>
      <c r="D51" s="14" t="s">
        <v>39</v>
      </c>
      <c r="E51" s="15" t="str">
        <f>"68.83"</f>
        <v>68.83</v>
      </c>
      <c r="F51" s="15"/>
      <c r="G51" s="16" t="str">
        <f>"68.83"</f>
        <v>68.83</v>
      </c>
      <c r="H51" s="17" t="s">
        <v>54</v>
      </c>
      <c r="I51" s="18">
        <v>4</v>
      </c>
      <c r="J51" s="18">
        <v>2016</v>
      </c>
      <c r="K51" s="18"/>
      <c r="L51" s="18"/>
      <c r="M51" s="18"/>
      <c r="N51" s="18" t="str">
        <f>"47.80"</f>
        <v>47.80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>
      <c r="A52" s="14">
        <v>50</v>
      </c>
      <c r="B52" s="14">
        <v>10272</v>
      </c>
      <c r="C52" s="14" t="s">
        <v>119</v>
      </c>
      <c r="D52" s="14" t="s">
        <v>39</v>
      </c>
      <c r="E52" s="15" t="str">
        <f>"48.72"</f>
        <v>48.72</v>
      </c>
      <c r="F52" s="15"/>
      <c r="G52" s="16" t="str">
        <f>"70.16"</f>
        <v>70.16</v>
      </c>
      <c r="H52" s="17" t="s">
        <v>48</v>
      </c>
      <c r="I52" s="18">
        <v>1</v>
      </c>
      <c r="J52" s="18">
        <v>2016</v>
      </c>
      <c r="K52" s="18" t="str">
        <f>"48.72"</f>
        <v>48.72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>
      <c r="A53" s="14">
        <v>51</v>
      </c>
      <c r="B53" s="14">
        <v>4140</v>
      </c>
      <c r="C53" s="14" t="s">
        <v>120</v>
      </c>
      <c r="D53" s="14" t="s">
        <v>98</v>
      </c>
      <c r="E53" s="15" t="str">
        <f>"70.18"</f>
        <v>70.18</v>
      </c>
      <c r="F53" s="15"/>
      <c r="G53" s="16" t="str">
        <f>"70.18"</f>
        <v>70.18</v>
      </c>
      <c r="H53" s="17"/>
      <c r="I53" s="18">
        <v>3</v>
      </c>
      <c r="J53" s="18">
        <v>2016</v>
      </c>
      <c r="K53" s="18" t="str">
        <f>"128.02"</f>
        <v>128.02</v>
      </c>
      <c r="L53" s="18" t="str">
        <f>"72.31"</f>
        <v>72.31</v>
      </c>
      <c r="M53" s="18"/>
      <c r="N53" s="18" t="str">
        <f>"75.82"</f>
        <v>75.82</v>
      </c>
      <c r="O53" s="18"/>
      <c r="P53" s="18"/>
      <c r="Q53" s="18" t="str">
        <f>"68.05"</f>
        <v>68.05</v>
      </c>
      <c r="R53" s="18"/>
      <c r="S53" s="18"/>
      <c r="T53" s="18"/>
      <c r="U53" s="18"/>
      <c r="V53" s="18"/>
      <c r="W53" s="18"/>
      <c r="X53" s="18"/>
      <c r="Y53" s="18"/>
      <c r="Z53" s="18" t="str">
        <f>"98.17"</f>
        <v>98.17</v>
      </c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>
      <c r="A54" s="14">
        <v>52</v>
      </c>
      <c r="B54" s="14">
        <v>2453</v>
      </c>
      <c r="C54" s="14" t="s">
        <v>121</v>
      </c>
      <c r="D54" s="14" t="s">
        <v>122</v>
      </c>
      <c r="E54" s="15" t="str">
        <f>"49.38"</f>
        <v>49.38</v>
      </c>
      <c r="F54" s="15"/>
      <c r="G54" s="16" t="str">
        <f>"71.11"</f>
        <v>71.11</v>
      </c>
      <c r="H54" s="17" t="s">
        <v>48</v>
      </c>
      <c r="I54" s="18">
        <v>1</v>
      </c>
      <c r="J54" s="18">
        <v>2016</v>
      </c>
      <c r="K54" s="18" t="str">
        <f>"49.38"</f>
        <v>49.38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>
      <c r="A55" s="14">
        <v>53</v>
      </c>
      <c r="B55" s="14">
        <v>9384</v>
      </c>
      <c r="C55" s="14" t="s">
        <v>123</v>
      </c>
      <c r="D55" s="14" t="s">
        <v>112</v>
      </c>
      <c r="E55" s="15" t="str">
        <f>"57.85"</f>
        <v>57.85</v>
      </c>
      <c r="F55" s="15"/>
      <c r="G55" s="16" t="str">
        <f>"71.91"</f>
        <v>71.91</v>
      </c>
      <c r="H55" s="17"/>
      <c r="I55" s="18">
        <v>3</v>
      </c>
      <c r="J55" s="18">
        <v>2016</v>
      </c>
      <c r="K55" s="18" t="str">
        <f>"57.85"</f>
        <v>57.85</v>
      </c>
      <c r="L55" s="18"/>
      <c r="M55" s="18" t="str">
        <f>"88.47"</f>
        <v>88.47</v>
      </c>
      <c r="N55" s="18"/>
      <c r="O55" s="18" t="str">
        <f>"86.87"</f>
        <v>86.87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 t="str">
        <f>"103.70"</f>
        <v>103.70</v>
      </c>
      <c r="AB55" s="18"/>
      <c r="AC55" s="18"/>
      <c r="AD55" s="18"/>
      <c r="AE55" s="18"/>
      <c r="AF55" s="18" t="str">
        <f>"69.46"</f>
        <v>69.46</v>
      </c>
      <c r="AG55" s="18" t="str">
        <f>"74.35"</f>
        <v>74.35</v>
      </c>
      <c r="AH55" s="18"/>
      <c r="AI55" s="18"/>
    </row>
    <row r="56" spans="1:35">
      <c r="A56" s="14">
        <v>54</v>
      </c>
      <c r="B56" s="14">
        <v>7626</v>
      </c>
      <c r="C56" s="14" t="s">
        <v>124</v>
      </c>
      <c r="D56" s="14" t="s">
        <v>125</v>
      </c>
      <c r="E56" s="15" t="str">
        <f>"72.21"</f>
        <v>72.21</v>
      </c>
      <c r="F56" s="15"/>
      <c r="G56" s="16" t="str">
        <f>"72.21"</f>
        <v>72.21</v>
      </c>
      <c r="H56" s="17"/>
      <c r="I56" s="18">
        <v>3</v>
      </c>
      <c r="J56" s="18">
        <v>2016</v>
      </c>
      <c r="K56" s="18" t="str">
        <f>"91.02"</f>
        <v>91.02</v>
      </c>
      <c r="L56" s="18"/>
      <c r="M56" s="18" t="str">
        <f>"82.80"</f>
        <v>82.80</v>
      </c>
      <c r="N56" s="18"/>
      <c r="O56" s="18" t="str">
        <f>"73.13"</f>
        <v>73.13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 t="str">
        <f>"116.30"</f>
        <v>116.30</v>
      </c>
      <c r="AB56" s="18"/>
      <c r="AC56" s="18"/>
      <c r="AD56" s="18"/>
      <c r="AE56" s="18"/>
      <c r="AF56" s="18"/>
      <c r="AG56" s="18"/>
      <c r="AH56" s="18" t="str">
        <f>"71.29"</f>
        <v>71.29</v>
      </c>
      <c r="AI56" s="18"/>
    </row>
    <row r="57" spans="1:35">
      <c r="A57" s="14">
        <v>55</v>
      </c>
      <c r="B57" s="14">
        <v>6289</v>
      </c>
      <c r="C57" s="14" t="s">
        <v>126</v>
      </c>
      <c r="D57" s="14" t="s">
        <v>127</v>
      </c>
      <c r="E57" s="15" t="str">
        <f>"43.58"</f>
        <v>43.58</v>
      </c>
      <c r="F57" s="15"/>
      <c r="G57" s="16" t="str">
        <f>"72.49"</f>
        <v>72.49</v>
      </c>
      <c r="H57" s="17"/>
      <c r="I57" s="18">
        <v>3</v>
      </c>
      <c r="J57" s="18">
        <v>2016</v>
      </c>
      <c r="K57" s="18" t="str">
        <f>"43.58"</f>
        <v>43.58</v>
      </c>
      <c r="L57" s="18"/>
      <c r="M57" s="18" t="str">
        <f>"69.42"</f>
        <v>69.42</v>
      </c>
      <c r="N57" s="18"/>
      <c r="O57" s="18" t="str">
        <f>"84.28"</f>
        <v>84.28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 t="str">
        <f>"91.10"</f>
        <v>91.10</v>
      </c>
      <c r="AB57" s="18"/>
      <c r="AC57" s="18"/>
      <c r="AD57" s="18"/>
      <c r="AE57" s="18"/>
      <c r="AF57" s="18"/>
      <c r="AG57" s="18"/>
      <c r="AH57" s="18" t="str">
        <f>"75.55"</f>
        <v>75.55</v>
      </c>
      <c r="AI57" s="18"/>
    </row>
    <row r="58" spans="1:35">
      <c r="A58" s="14">
        <v>56</v>
      </c>
      <c r="B58" s="14">
        <v>1768</v>
      </c>
      <c r="C58" s="14" t="s">
        <v>128</v>
      </c>
      <c r="D58" s="14" t="s">
        <v>129</v>
      </c>
      <c r="E58" s="15" t="str">
        <f>"52.11"</f>
        <v>52.11</v>
      </c>
      <c r="F58" s="15"/>
      <c r="G58" s="16" t="str">
        <f>"73.40"</f>
        <v>73.40</v>
      </c>
      <c r="H58" s="17"/>
      <c r="I58" s="18">
        <v>3</v>
      </c>
      <c r="J58" s="18">
        <v>2016</v>
      </c>
      <c r="K58" s="18" t="str">
        <f>"52.11"</f>
        <v>52.11</v>
      </c>
      <c r="L58" s="18"/>
      <c r="M58" s="18" t="str">
        <f>"60.57"</f>
        <v>60.57</v>
      </c>
      <c r="N58" s="18"/>
      <c r="O58" s="18" t="str">
        <f>"103.47"</f>
        <v>103.47</v>
      </c>
      <c r="P58" s="18"/>
      <c r="Q58" s="18"/>
      <c r="R58" s="18"/>
      <c r="S58" s="18"/>
      <c r="T58" s="18"/>
      <c r="U58" s="18"/>
      <c r="V58" s="18"/>
      <c r="W58" s="18" t="str">
        <f>"86.23"</f>
        <v>86.23</v>
      </c>
      <c r="X58" s="18"/>
      <c r="Y58" s="18"/>
      <c r="Z58" s="18"/>
      <c r="AA58" s="18" t="str">
        <f>"164.28"</f>
        <v>164.28</v>
      </c>
      <c r="AB58" s="18"/>
      <c r="AC58" s="18"/>
      <c r="AD58" s="18"/>
      <c r="AE58" s="18"/>
      <c r="AF58" s="18"/>
      <c r="AG58" s="18" t="str">
        <f>"87.74"</f>
        <v>87.74</v>
      </c>
      <c r="AH58" s="18" t="str">
        <f>"108.84"</f>
        <v>108.84</v>
      </c>
      <c r="AI58" s="18"/>
    </row>
    <row r="59" spans="1:35">
      <c r="A59" s="14">
        <v>57</v>
      </c>
      <c r="B59" s="14">
        <v>10660</v>
      </c>
      <c r="C59" s="14" t="s">
        <v>130</v>
      </c>
      <c r="D59" s="14" t="s">
        <v>39</v>
      </c>
      <c r="E59" s="15" t="str">
        <f>"73.77"</f>
        <v>73.77</v>
      </c>
      <c r="F59" s="15"/>
      <c r="G59" s="16" t="str">
        <f>"73.77"</f>
        <v>73.77</v>
      </c>
      <c r="H59" s="17"/>
      <c r="I59" s="18">
        <v>3</v>
      </c>
      <c r="J59" s="18">
        <v>2016</v>
      </c>
      <c r="K59" s="18" t="str">
        <f>"105.31"</f>
        <v>105.31</v>
      </c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 t="str">
        <f>"125.83"</f>
        <v>125.83</v>
      </c>
      <c r="AB59" s="18"/>
      <c r="AC59" s="18"/>
      <c r="AD59" s="18"/>
      <c r="AE59" s="18" t="str">
        <f>"78.08"</f>
        <v>78.08</v>
      </c>
      <c r="AF59" s="18" t="str">
        <f>"69.46"</f>
        <v>69.46</v>
      </c>
      <c r="AG59" s="18"/>
      <c r="AH59" s="18"/>
      <c r="AI59" s="18"/>
    </row>
    <row r="60" spans="1:35">
      <c r="A60" s="14">
        <v>58</v>
      </c>
      <c r="B60" s="14">
        <v>5010</v>
      </c>
      <c r="C60" s="14" t="s">
        <v>131</v>
      </c>
      <c r="D60" s="14" t="s">
        <v>39</v>
      </c>
      <c r="E60" s="15" t="str">
        <f>"52.55"</f>
        <v>52.55</v>
      </c>
      <c r="F60" s="15"/>
      <c r="G60" s="16" t="str">
        <f>"75.67"</f>
        <v>75.67</v>
      </c>
      <c r="H60" s="17" t="s">
        <v>48</v>
      </c>
      <c r="I60" s="18">
        <v>1</v>
      </c>
      <c r="J60" s="18">
        <v>2016</v>
      </c>
      <c r="K60" s="18" t="str">
        <f>"52.55"</f>
        <v>52.55</v>
      </c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>
      <c r="A61" s="14">
        <v>59</v>
      </c>
      <c r="B61" s="14">
        <v>5455</v>
      </c>
      <c r="C61" s="14" t="s">
        <v>132</v>
      </c>
      <c r="D61" s="14" t="s">
        <v>133</v>
      </c>
      <c r="E61" s="15" t="str">
        <f>"35.52"</f>
        <v>35.52</v>
      </c>
      <c r="F61" s="15"/>
      <c r="G61" s="16" t="str">
        <f>"76.04"</f>
        <v>76.04</v>
      </c>
      <c r="H61" s="17"/>
      <c r="I61" s="18">
        <v>3</v>
      </c>
      <c r="J61" s="18">
        <v>2016</v>
      </c>
      <c r="K61" s="18" t="str">
        <f>"35.52"</f>
        <v>35.52</v>
      </c>
      <c r="L61" s="18"/>
      <c r="M61" s="18" t="str">
        <f>"86.20"</f>
        <v>86.20</v>
      </c>
      <c r="N61" s="18"/>
      <c r="O61" s="18" t="str">
        <f>"65.87"</f>
        <v>65.87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 t="str">
        <f>"102.41"</f>
        <v>102.41</v>
      </c>
      <c r="AB61" s="18"/>
      <c r="AC61" s="18"/>
      <c r="AD61" s="18"/>
      <c r="AE61" s="18"/>
      <c r="AF61" s="18"/>
      <c r="AG61" s="18"/>
      <c r="AH61" s="18"/>
      <c r="AI61" s="18"/>
    </row>
    <row r="62" spans="1:35">
      <c r="A62" s="14">
        <v>60</v>
      </c>
      <c r="B62" s="14">
        <v>10262</v>
      </c>
      <c r="C62" s="14" t="s">
        <v>134</v>
      </c>
      <c r="D62" s="14" t="s">
        <v>39</v>
      </c>
      <c r="E62" s="15" t="str">
        <f>"70.13"</f>
        <v>70.13</v>
      </c>
      <c r="F62" s="15"/>
      <c r="G62" s="16" t="str">
        <f>"76.09"</f>
        <v>76.09</v>
      </c>
      <c r="H62" s="17"/>
      <c r="I62" s="18">
        <v>3</v>
      </c>
      <c r="J62" s="18">
        <v>2016</v>
      </c>
      <c r="K62" s="18" t="str">
        <f>"74.69"</f>
        <v>74.69</v>
      </c>
      <c r="L62" s="18"/>
      <c r="M62" s="18" t="str">
        <f>"65.56"</f>
        <v>65.56</v>
      </c>
      <c r="N62" s="18"/>
      <c r="O62" s="18" t="str">
        <f>"86.62"</f>
        <v>86.62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 t="str">
        <f>"118.72"</f>
        <v>118.72</v>
      </c>
      <c r="AB62" s="18"/>
      <c r="AC62" s="18"/>
      <c r="AD62" s="18"/>
      <c r="AE62" s="18" t="str">
        <f>"97.33"</f>
        <v>97.33</v>
      </c>
      <c r="AF62" s="18"/>
      <c r="AG62" s="18"/>
      <c r="AH62" s="18"/>
      <c r="AI62" s="18"/>
    </row>
    <row r="63" spans="1:35">
      <c r="A63" s="14">
        <v>61</v>
      </c>
      <c r="B63" s="14">
        <v>1786</v>
      </c>
      <c r="C63" s="14" t="s">
        <v>135</v>
      </c>
      <c r="D63" s="14" t="s">
        <v>76</v>
      </c>
      <c r="E63" s="15" t="str">
        <f>"76.54"</f>
        <v>76.54</v>
      </c>
      <c r="F63" s="15"/>
      <c r="G63" s="16" t="str">
        <f>"76.54"</f>
        <v>76.54</v>
      </c>
      <c r="H63" s="17"/>
      <c r="I63" s="18">
        <v>3</v>
      </c>
      <c r="J63" s="18">
        <v>2016</v>
      </c>
      <c r="K63" s="18" t="str">
        <f>"92.89"</f>
        <v>92.89</v>
      </c>
      <c r="L63" s="18" t="str">
        <f>"106.43"</f>
        <v>106.43</v>
      </c>
      <c r="M63" s="18"/>
      <c r="N63" s="18" t="str">
        <f>"86.61"</f>
        <v>86.61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 t="str">
        <f>"66.46"</f>
        <v>66.46</v>
      </c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>
      <c r="A64" s="14">
        <v>62</v>
      </c>
      <c r="B64" s="14">
        <v>6295</v>
      </c>
      <c r="C64" s="14" t="s">
        <v>136</v>
      </c>
      <c r="D64" s="14" t="s">
        <v>129</v>
      </c>
      <c r="E64" s="15" t="str">
        <f>"38.98"</f>
        <v>38.98</v>
      </c>
      <c r="F64" s="15"/>
      <c r="G64" s="16" t="str">
        <f>"77.30"</f>
        <v>77.30</v>
      </c>
      <c r="H64" s="17"/>
      <c r="I64" s="18">
        <v>3</v>
      </c>
      <c r="J64" s="18">
        <v>2016</v>
      </c>
      <c r="K64" s="18" t="str">
        <f>"38.98"</f>
        <v>38.98</v>
      </c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 t="str">
        <f>"76.09"</f>
        <v>76.09</v>
      </c>
      <c r="W64" s="18"/>
      <c r="X64" s="18"/>
      <c r="Y64" s="18"/>
      <c r="Z64" s="18"/>
      <c r="AA64" s="18" t="str">
        <f>"78.50"</f>
        <v>78.50</v>
      </c>
      <c r="AB64" s="18"/>
      <c r="AC64" s="18"/>
      <c r="AD64" s="18"/>
      <c r="AE64" s="18"/>
      <c r="AF64" s="18"/>
      <c r="AG64" s="18"/>
      <c r="AH64" s="18"/>
      <c r="AI64" s="18"/>
    </row>
    <row r="65" spans="1:35">
      <c r="A65" s="14">
        <v>63</v>
      </c>
      <c r="B65" s="14">
        <v>8478</v>
      </c>
      <c r="C65" s="14" t="s">
        <v>137</v>
      </c>
      <c r="D65" s="14" t="s">
        <v>76</v>
      </c>
      <c r="E65" s="15" t="str">
        <f>"63.89"</f>
        <v>63.89</v>
      </c>
      <c r="F65" s="15"/>
      <c r="G65" s="16" t="str">
        <f>"77.77"</f>
        <v>77.77</v>
      </c>
      <c r="H65" s="17"/>
      <c r="I65" s="18">
        <v>3</v>
      </c>
      <c r="J65" s="18">
        <v>2016</v>
      </c>
      <c r="K65" s="18" t="str">
        <f>"63.89"</f>
        <v>63.89</v>
      </c>
      <c r="L65" s="18" t="str">
        <f>"125.27"</f>
        <v>125.27</v>
      </c>
      <c r="M65" s="18"/>
      <c r="N65" s="18" t="str">
        <f>"82.24"</f>
        <v>82.24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 t="str">
        <f>"73.30"</f>
        <v>73.30</v>
      </c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>
      <c r="A66" s="14">
        <v>64</v>
      </c>
      <c r="B66" s="14">
        <v>2847</v>
      </c>
      <c r="C66" s="14" t="s">
        <v>138</v>
      </c>
      <c r="D66" s="14" t="s">
        <v>139</v>
      </c>
      <c r="E66" s="15" t="str">
        <f>"76.10"</f>
        <v>76.10</v>
      </c>
      <c r="F66" s="15"/>
      <c r="G66" s="16" t="str">
        <f>"78.47"</f>
        <v>78.47</v>
      </c>
      <c r="H66" s="17"/>
      <c r="I66" s="18">
        <v>3</v>
      </c>
      <c r="J66" s="18">
        <v>2016</v>
      </c>
      <c r="K66" s="18" t="str">
        <f>"83.74"</f>
        <v>83.74</v>
      </c>
      <c r="L66" s="18"/>
      <c r="M66" s="18" t="str">
        <f>"88.47"</f>
        <v>88.47</v>
      </c>
      <c r="N66" s="18"/>
      <c r="O66" s="18" t="str">
        <f>"68.46"</f>
        <v>68.46</v>
      </c>
      <c r="P66" s="18"/>
      <c r="Q66" s="18"/>
      <c r="R66" s="18"/>
      <c r="S66" s="18"/>
      <c r="T66" s="18"/>
      <c r="U66" s="18"/>
      <c r="V66" s="18" t="str">
        <f>"103.06"</f>
        <v>103.06</v>
      </c>
      <c r="W66" s="18"/>
      <c r="X66" s="18"/>
      <c r="Y66" s="18"/>
      <c r="Z66" s="18"/>
      <c r="AA66" s="18" t="str">
        <f>"92.88"</f>
        <v>92.88</v>
      </c>
      <c r="AB66" s="18"/>
      <c r="AC66" s="18"/>
      <c r="AD66" s="18"/>
      <c r="AE66" s="18"/>
      <c r="AF66" s="18"/>
      <c r="AG66" s="18" t="str">
        <f>"92.34"</f>
        <v>92.34</v>
      </c>
      <c r="AH66" s="18"/>
      <c r="AI66" s="18"/>
    </row>
    <row r="67" spans="1:35">
      <c r="A67" s="14">
        <v>65</v>
      </c>
      <c r="B67" s="14">
        <v>6269</v>
      </c>
      <c r="C67" s="14" t="s">
        <v>140</v>
      </c>
      <c r="D67" s="14" t="s">
        <v>98</v>
      </c>
      <c r="E67" s="15" t="str">
        <f>"79.21"</f>
        <v>79.21</v>
      </c>
      <c r="F67" s="15"/>
      <c r="G67" s="16" t="str">
        <f>"79.21"</f>
        <v>79.21</v>
      </c>
      <c r="H67" s="17"/>
      <c r="I67" s="18">
        <v>3</v>
      </c>
      <c r="J67" s="18">
        <v>2016</v>
      </c>
      <c r="K67" s="18" t="str">
        <f>"89.02"</f>
        <v>89.02</v>
      </c>
      <c r="L67" s="18" t="str">
        <f>"82.75"</f>
        <v>82.75</v>
      </c>
      <c r="M67" s="18"/>
      <c r="N67" s="18" t="str">
        <f>"110.00"</f>
        <v>110.00</v>
      </c>
      <c r="O67" s="18"/>
      <c r="P67" s="18"/>
      <c r="Q67" s="18" t="str">
        <f>"86.89"</f>
        <v>86.89</v>
      </c>
      <c r="R67" s="18"/>
      <c r="S67" s="18"/>
      <c r="T67" s="18"/>
      <c r="U67" s="18" t="str">
        <f>"75.67"</f>
        <v>75.67</v>
      </c>
      <c r="V67" s="18"/>
      <c r="W67" s="18"/>
      <c r="X67" s="18"/>
      <c r="Y67" s="18"/>
      <c r="Z67" s="18" t="str">
        <f>"95.89"</f>
        <v>95.89</v>
      </c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>
      <c r="A68" s="14">
        <v>66</v>
      </c>
      <c r="B68" s="14">
        <v>5096</v>
      </c>
      <c r="C68" s="14" t="s">
        <v>141</v>
      </c>
      <c r="D68" s="14" t="s">
        <v>98</v>
      </c>
      <c r="E68" s="15" t="str">
        <f>"42.33"</f>
        <v>42.33</v>
      </c>
      <c r="F68" s="15"/>
      <c r="G68" s="16" t="str">
        <f>"80.06"</f>
        <v>80.06</v>
      </c>
      <c r="H68" s="17" t="s">
        <v>54</v>
      </c>
      <c r="I68" s="18">
        <v>2</v>
      </c>
      <c r="J68" s="18">
        <v>2016</v>
      </c>
      <c r="K68" s="18" t="str">
        <f>"42.33"</f>
        <v>42.33</v>
      </c>
      <c r="L68" s="18"/>
      <c r="M68" s="18"/>
      <c r="N68" s="18"/>
      <c r="O68" s="18"/>
      <c r="P68" s="18"/>
      <c r="Q68" s="18" t="str">
        <f>"55.60"</f>
        <v>55.60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>
      <c r="A69" s="14">
        <v>67</v>
      </c>
      <c r="B69" s="14">
        <v>3287</v>
      </c>
      <c r="C69" s="14" t="s">
        <v>142</v>
      </c>
      <c r="D69" s="14" t="s">
        <v>143</v>
      </c>
      <c r="E69" s="15" t="str">
        <f>"76.48"</f>
        <v>76.48</v>
      </c>
      <c r="F69" s="15"/>
      <c r="G69" s="16" t="str">
        <f>"80.17"</f>
        <v>80.17</v>
      </c>
      <c r="H69" s="17"/>
      <c r="I69" s="18">
        <v>3</v>
      </c>
      <c r="J69" s="18">
        <v>2016</v>
      </c>
      <c r="K69" s="18" t="str">
        <f>"78.68"</f>
        <v>78.68</v>
      </c>
      <c r="L69" s="18" t="str">
        <f>"86.06"</f>
        <v>86.06</v>
      </c>
      <c r="M69" s="18"/>
      <c r="N69" s="18" t="str">
        <f>"74.28"</f>
        <v>74.28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>
      <c r="A70" s="14">
        <v>68</v>
      </c>
      <c r="B70" s="14">
        <v>4341</v>
      </c>
      <c r="C70" s="14" t="s">
        <v>144</v>
      </c>
      <c r="D70" s="14" t="s">
        <v>145</v>
      </c>
      <c r="E70" s="15" t="str">
        <f>"71.45"</f>
        <v>71.45</v>
      </c>
      <c r="F70" s="15"/>
      <c r="G70" s="16" t="str">
        <f>"80.37"</f>
        <v>80.37</v>
      </c>
      <c r="H70" s="17"/>
      <c r="I70" s="18">
        <v>3</v>
      </c>
      <c r="J70" s="18">
        <v>2016</v>
      </c>
      <c r="K70" s="18" t="str">
        <f>"71.45"</f>
        <v>71.45</v>
      </c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 t="str">
        <f>"98.48"</f>
        <v>98.48</v>
      </c>
      <c r="W70" s="18"/>
      <c r="X70" s="18"/>
      <c r="Y70" s="18"/>
      <c r="Z70" s="18"/>
      <c r="AA70" s="18" t="str">
        <f>"121.47"</f>
        <v>121.47</v>
      </c>
      <c r="AB70" s="18"/>
      <c r="AC70" s="18"/>
      <c r="AD70" s="18"/>
      <c r="AE70" s="18" t="str">
        <f>"86.59"</f>
        <v>86.59</v>
      </c>
      <c r="AF70" s="18" t="str">
        <f>"74.15"</f>
        <v>74.15</v>
      </c>
      <c r="AG70" s="18"/>
      <c r="AH70" s="18" t="str">
        <f>"92.20"</f>
        <v>92.20</v>
      </c>
      <c r="AI70" s="18"/>
    </row>
    <row r="71" spans="1:35">
      <c r="A71" s="14">
        <v>69</v>
      </c>
      <c r="B71" s="14">
        <v>10507</v>
      </c>
      <c r="C71" s="14" t="s">
        <v>146</v>
      </c>
      <c r="D71" s="14" t="s">
        <v>98</v>
      </c>
      <c r="E71" s="15" t="str">
        <f>"59.95"</f>
        <v>59.95</v>
      </c>
      <c r="F71" s="15"/>
      <c r="G71" s="16" t="str">
        <f>"80.83"</f>
        <v>80.83</v>
      </c>
      <c r="H71" s="17" t="s">
        <v>54</v>
      </c>
      <c r="I71" s="18">
        <v>2</v>
      </c>
      <c r="J71" s="18">
        <v>2016</v>
      </c>
      <c r="K71" s="18" t="str">
        <f>"63.76"</f>
        <v>63.76</v>
      </c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 t="str">
        <f>"56.13"</f>
        <v>56.13</v>
      </c>
      <c r="AI71" s="18"/>
    </row>
    <row r="72" spans="1:35">
      <c r="A72" s="14">
        <v>70</v>
      </c>
      <c r="B72" s="14">
        <v>6867</v>
      </c>
      <c r="C72" s="14" t="s">
        <v>147</v>
      </c>
      <c r="D72" s="14" t="s">
        <v>148</v>
      </c>
      <c r="E72" s="15" t="str">
        <f>"78.18"</f>
        <v>78.18</v>
      </c>
      <c r="F72" s="15"/>
      <c r="G72" s="16" t="str">
        <f>"80.99"</f>
        <v>80.99</v>
      </c>
      <c r="H72" s="17"/>
      <c r="I72" s="18">
        <v>3</v>
      </c>
      <c r="J72" s="18">
        <v>2016</v>
      </c>
      <c r="K72" s="18" t="str">
        <f>"79.76"</f>
        <v>79.76</v>
      </c>
      <c r="L72" s="18" t="str">
        <f>"107.19"</f>
        <v>107.19</v>
      </c>
      <c r="M72" s="18"/>
      <c r="N72" s="18" t="str">
        <f>"89.18"</f>
        <v>89.18</v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 t="str">
        <f>"85.37"</f>
        <v>85.37</v>
      </c>
      <c r="AF72" s="18" t="str">
        <f>"76.60"</f>
        <v>76.60</v>
      </c>
      <c r="AG72" s="18"/>
      <c r="AH72" s="18"/>
      <c r="AI72" s="18"/>
    </row>
    <row r="73" spans="1:35">
      <c r="A73" s="14">
        <v>71</v>
      </c>
      <c r="B73" s="14">
        <v>6282</v>
      </c>
      <c r="C73" s="14" t="s">
        <v>149</v>
      </c>
      <c r="D73" s="14" t="s">
        <v>53</v>
      </c>
      <c r="E73" s="15" t="str">
        <f>"81.14"</f>
        <v>81.14</v>
      </c>
      <c r="F73" s="15"/>
      <c r="G73" s="16" t="str">
        <f>"81.14"</f>
        <v>81.14</v>
      </c>
      <c r="H73" s="17"/>
      <c r="I73" s="18">
        <v>3</v>
      </c>
      <c r="J73" s="18">
        <v>2016</v>
      </c>
      <c r="K73" s="18" t="str">
        <f>"112.08"</f>
        <v>112.08</v>
      </c>
      <c r="L73" s="18"/>
      <c r="M73" s="18" t="str">
        <f>"71.00"</f>
        <v>71.00</v>
      </c>
      <c r="N73" s="18"/>
      <c r="O73" s="18" t="str">
        <f>"91.28"</f>
        <v>91.28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>
      <c r="A74" s="14">
        <v>72</v>
      </c>
      <c r="B74" s="14">
        <v>3961</v>
      </c>
      <c r="C74" s="14" t="s">
        <v>150</v>
      </c>
      <c r="D74" s="14" t="s">
        <v>76</v>
      </c>
      <c r="E74" s="15" t="str">
        <f>"60.68"</f>
        <v>60.68</v>
      </c>
      <c r="F74" s="15"/>
      <c r="G74" s="16" t="str">
        <f>"81.23"</f>
        <v>81.23</v>
      </c>
      <c r="H74" s="17" t="s">
        <v>54</v>
      </c>
      <c r="I74" s="18">
        <v>2</v>
      </c>
      <c r="J74" s="18">
        <v>2016</v>
      </c>
      <c r="K74" s="18" t="str">
        <f>"64.94"</f>
        <v>64.94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 t="str">
        <f>"56.41"</f>
        <v>56.41</v>
      </c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>
      <c r="A75" s="14">
        <v>73</v>
      </c>
      <c r="B75" s="14">
        <v>3299</v>
      </c>
      <c r="C75" s="14" t="s">
        <v>151</v>
      </c>
      <c r="D75" s="14" t="s">
        <v>112</v>
      </c>
      <c r="E75" s="15" t="str">
        <f>"49.27"</f>
        <v>49.27</v>
      </c>
      <c r="F75" s="15"/>
      <c r="G75" s="16" t="str">
        <f>"81.28"</f>
        <v>81.28</v>
      </c>
      <c r="H75" s="17"/>
      <c r="I75" s="18">
        <v>3</v>
      </c>
      <c r="J75" s="18">
        <v>2016</v>
      </c>
      <c r="K75" s="18" t="str">
        <f>"49.27"</f>
        <v>49.27</v>
      </c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 t="str">
        <f>"76.65"</f>
        <v>76.65</v>
      </c>
      <c r="AH75" s="18" t="str">
        <f>"85.91"</f>
        <v>85.91</v>
      </c>
      <c r="AI75" s="18"/>
    </row>
    <row r="76" spans="1:35">
      <c r="A76" s="14">
        <v>74</v>
      </c>
      <c r="B76" s="14">
        <v>8319</v>
      </c>
      <c r="C76" s="14" t="s">
        <v>152</v>
      </c>
      <c r="D76" s="14" t="s">
        <v>153</v>
      </c>
      <c r="E76" s="15" t="str">
        <f>"81.47"</f>
        <v>81.47</v>
      </c>
      <c r="F76" s="15"/>
      <c r="G76" s="16" t="str">
        <f>"81.47"</f>
        <v>81.47</v>
      </c>
      <c r="H76" s="17"/>
      <c r="I76" s="18">
        <v>3</v>
      </c>
      <c r="J76" s="18">
        <v>2016</v>
      </c>
      <c r="K76" s="18" t="str">
        <f>"95.68"</f>
        <v>95.68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 t="str">
        <f>"167.67"</f>
        <v>167.67</v>
      </c>
      <c r="AB76" s="18"/>
      <c r="AC76" s="18"/>
      <c r="AD76" s="18"/>
      <c r="AE76" s="18" t="str">
        <f>"80.81"</f>
        <v>80.81</v>
      </c>
      <c r="AF76" s="18" t="str">
        <f>"82.13"</f>
        <v>82.13</v>
      </c>
      <c r="AG76" s="18"/>
      <c r="AH76" s="18"/>
      <c r="AI76" s="18"/>
    </row>
    <row r="77" spans="1:35">
      <c r="A77" s="14">
        <v>75</v>
      </c>
      <c r="B77" s="14">
        <v>1174</v>
      </c>
      <c r="C77" s="14" t="s">
        <v>154</v>
      </c>
      <c r="D77" s="14" t="s">
        <v>127</v>
      </c>
      <c r="E77" s="15" t="str">
        <f>"81.53"</f>
        <v>81.53</v>
      </c>
      <c r="F77" s="15"/>
      <c r="G77" s="16" t="str">
        <f>"81.53"</f>
        <v>81.53</v>
      </c>
      <c r="H77" s="17"/>
      <c r="I77" s="18">
        <v>3</v>
      </c>
      <c r="J77" s="18">
        <v>2016</v>
      </c>
      <c r="K77" s="18" t="str">
        <f>"97.56"</f>
        <v>97.56</v>
      </c>
      <c r="L77" s="18"/>
      <c r="M77" s="18" t="str">
        <f>"83.25"</f>
        <v>83.25</v>
      </c>
      <c r="N77" s="18"/>
      <c r="O77" s="18" t="str">
        <f>"92.32"</f>
        <v>92.32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 t="str">
        <f>"145.05"</f>
        <v>145.05</v>
      </c>
      <c r="AB77" s="18"/>
      <c r="AC77" s="18"/>
      <c r="AD77" s="18"/>
      <c r="AE77" s="18" t="str">
        <f>"79.80"</f>
        <v>79.80</v>
      </c>
      <c r="AF77" s="18" t="str">
        <f>"105.14"</f>
        <v>105.14</v>
      </c>
      <c r="AG77" s="18" t="str">
        <f>"100.08"</f>
        <v>100.08</v>
      </c>
      <c r="AH77" s="18" t="str">
        <f>"113.84"</f>
        <v>113.84</v>
      </c>
      <c r="AI77" s="18"/>
    </row>
    <row r="78" spans="1:35">
      <c r="A78" s="14">
        <v>76</v>
      </c>
      <c r="B78" s="14">
        <v>6861</v>
      </c>
      <c r="C78" s="14" t="s">
        <v>155</v>
      </c>
      <c r="D78" s="14" t="s">
        <v>98</v>
      </c>
      <c r="E78" s="15" t="str">
        <f>"82.02"</f>
        <v>82.02</v>
      </c>
      <c r="F78" s="15"/>
      <c r="G78" s="16" t="str">
        <f>"82.02"</f>
        <v>82.02</v>
      </c>
      <c r="H78" s="17"/>
      <c r="I78" s="18">
        <v>3</v>
      </c>
      <c r="J78" s="18">
        <v>2016</v>
      </c>
      <c r="K78" s="18" t="str">
        <f>"121.19"</f>
        <v>121.19</v>
      </c>
      <c r="L78" s="18"/>
      <c r="M78" s="18"/>
      <c r="N78" s="18"/>
      <c r="O78" s="18"/>
      <c r="P78" s="18"/>
      <c r="Q78" s="18" t="str">
        <f>"108.68"</f>
        <v>108.68</v>
      </c>
      <c r="R78" s="18"/>
      <c r="S78" s="18"/>
      <c r="T78" s="18"/>
      <c r="U78" s="18"/>
      <c r="V78" s="18"/>
      <c r="W78" s="18"/>
      <c r="X78" s="18"/>
      <c r="Y78" s="18"/>
      <c r="Z78" s="18" t="str">
        <f>"96.80"</f>
        <v>96.80</v>
      </c>
      <c r="AA78" s="18" t="str">
        <f>"140.05"</f>
        <v>140.05</v>
      </c>
      <c r="AB78" s="18"/>
      <c r="AC78" s="18"/>
      <c r="AD78" s="18"/>
      <c r="AE78" s="18"/>
      <c r="AF78" s="18"/>
      <c r="AG78" s="18" t="str">
        <f>"67.24"</f>
        <v>67.24</v>
      </c>
      <c r="AH78" s="18"/>
      <c r="AI78" s="18"/>
    </row>
    <row r="79" spans="1:35">
      <c r="A79" s="14">
        <v>77</v>
      </c>
      <c r="B79" s="14">
        <v>5388</v>
      </c>
      <c r="C79" s="14" t="s">
        <v>156</v>
      </c>
      <c r="D79" s="14" t="s">
        <v>157</v>
      </c>
      <c r="E79" s="15" t="str">
        <f>"67.26"</f>
        <v>67.26</v>
      </c>
      <c r="F79" s="15"/>
      <c r="G79" s="16">
        <v>82.06</v>
      </c>
      <c r="H79" s="17" t="s">
        <v>78</v>
      </c>
      <c r="I79" s="18">
        <v>1</v>
      </c>
      <c r="J79" s="18">
        <v>2016</v>
      </c>
      <c r="K79" s="18" t="str">
        <f>"67.26"</f>
        <v>67.26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>
      <c r="A80" s="14">
        <v>78</v>
      </c>
      <c r="B80" s="14">
        <v>7891</v>
      </c>
      <c r="C80" s="14" t="s">
        <v>158</v>
      </c>
      <c r="D80" s="14" t="s">
        <v>125</v>
      </c>
      <c r="E80" s="15" t="str">
        <f>"57.89"</f>
        <v>57.89</v>
      </c>
      <c r="F80" s="15"/>
      <c r="G80" s="16" t="str">
        <f>"82.09"</f>
        <v>82.09</v>
      </c>
      <c r="H80" s="17"/>
      <c r="I80" s="18">
        <v>3</v>
      </c>
      <c r="J80" s="18">
        <v>2016</v>
      </c>
      <c r="K80" s="18" t="str">
        <f>"57.89"</f>
        <v>57.89</v>
      </c>
      <c r="L80" s="18"/>
      <c r="M80" s="18" t="str">
        <f>"80.53"</f>
        <v>80.53</v>
      </c>
      <c r="N80" s="18"/>
      <c r="O80" s="18" t="str">
        <f>"90.51"</f>
        <v>90.51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 t="str">
        <f>"140.05"</f>
        <v>140.05</v>
      </c>
      <c r="AB80" s="18"/>
      <c r="AC80" s="18"/>
      <c r="AD80" s="18"/>
      <c r="AE80" s="18" t="str">
        <f>"83.65"</f>
        <v>83.65</v>
      </c>
      <c r="AF80" s="18"/>
      <c r="AG80" s="18"/>
      <c r="AH80" s="18"/>
      <c r="AI80" s="18"/>
    </row>
    <row r="81" spans="1:35">
      <c r="A81" s="14">
        <v>79</v>
      </c>
      <c r="B81" s="14">
        <v>1836</v>
      </c>
      <c r="C81" s="14" t="s">
        <v>159</v>
      </c>
      <c r="D81" s="14" t="s">
        <v>109</v>
      </c>
      <c r="E81" s="15" t="str">
        <f>"82.11"</f>
        <v>82.11</v>
      </c>
      <c r="F81" s="15"/>
      <c r="G81" s="16" t="str">
        <f>"82.11"</f>
        <v>82.11</v>
      </c>
      <c r="H81" s="17"/>
      <c r="I81" s="18">
        <v>3</v>
      </c>
      <c r="J81" s="18">
        <v>2016</v>
      </c>
      <c r="K81" s="18" t="str">
        <f>"141.63"</f>
        <v>141.63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 t="str">
        <f>"70.86"</f>
        <v>70.86</v>
      </c>
      <c r="W81" s="18"/>
      <c r="X81" s="18"/>
      <c r="Y81" s="18"/>
      <c r="Z81" s="18"/>
      <c r="AA81" s="18"/>
      <c r="AB81" s="18" t="str">
        <f>"93.36"</f>
        <v>93.36</v>
      </c>
      <c r="AC81" s="18"/>
      <c r="AD81" s="18"/>
      <c r="AE81" s="18"/>
      <c r="AF81" s="18"/>
      <c r="AG81" s="18"/>
      <c r="AH81" s="18" t="str">
        <f>"175.99"</f>
        <v>175.99</v>
      </c>
      <c r="AI81" s="18"/>
    </row>
    <row r="82" spans="1:35">
      <c r="A82" s="14">
        <v>80</v>
      </c>
      <c r="B82" s="14">
        <v>6296</v>
      </c>
      <c r="C82" s="14" t="s">
        <v>160</v>
      </c>
      <c r="D82" s="14" t="s">
        <v>76</v>
      </c>
      <c r="E82" s="15" t="str">
        <f>"64.43"</f>
        <v>64.43</v>
      </c>
      <c r="F82" s="15"/>
      <c r="G82" s="16" t="str">
        <f>"82.37"</f>
        <v>82.37</v>
      </c>
      <c r="H82" s="17"/>
      <c r="I82" s="18">
        <v>3</v>
      </c>
      <c r="J82" s="18">
        <v>2016</v>
      </c>
      <c r="K82" s="18" t="str">
        <f>"64.43"</f>
        <v>64.43</v>
      </c>
      <c r="L82" s="18" t="str">
        <f>"97.52"</f>
        <v>97.52</v>
      </c>
      <c r="M82" s="18"/>
      <c r="N82" s="18" t="str">
        <f>"82.50"</f>
        <v>82.50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 t="str">
        <f>"82.24"</f>
        <v>82.24</v>
      </c>
      <c r="Z82" s="18"/>
      <c r="AA82" s="18"/>
      <c r="AB82" s="18"/>
      <c r="AC82" s="18" t="str">
        <f>"111.28"</f>
        <v>111.28</v>
      </c>
      <c r="AD82" s="18" t="str">
        <f>"96.98"</f>
        <v>96.98</v>
      </c>
      <c r="AE82" s="18"/>
      <c r="AF82" s="18"/>
      <c r="AG82" s="18"/>
      <c r="AH82" s="18"/>
      <c r="AI82" s="18"/>
    </row>
    <row r="83" spans="1:35">
      <c r="A83" s="14">
        <v>81</v>
      </c>
      <c r="B83" s="14">
        <v>6535</v>
      </c>
      <c r="C83" s="14" t="s">
        <v>161</v>
      </c>
      <c r="D83" s="14" t="s">
        <v>162</v>
      </c>
      <c r="E83" s="15" t="str">
        <f>"82.34"</f>
        <v>82.34</v>
      </c>
      <c r="F83" s="15"/>
      <c r="G83" s="16" t="str">
        <f>"82.90"</f>
        <v>82.90</v>
      </c>
      <c r="H83" s="17"/>
      <c r="I83" s="18">
        <v>3</v>
      </c>
      <c r="J83" s="18">
        <v>2016</v>
      </c>
      <c r="K83" s="18" t="str">
        <f>"87.32"</f>
        <v>87.32</v>
      </c>
      <c r="L83" s="18"/>
      <c r="M83" s="18" t="str">
        <f>"77.36"</f>
        <v>77.36</v>
      </c>
      <c r="N83" s="18"/>
      <c r="O83" s="18" t="str">
        <f>"88.43"</f>
        <v>88.43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 t="str">
        <f>"135.52"</f>
        <v>135.52</v>
      </c>
      <c r="AB83" s="18"/>
      <c r="AC83" s="18"/>
      <c r="AD83" s="18"/>
      <c r="AE83" s="18"/>
      <c r="AF83" s="18"/>
      <c r="AG83" s="18"/>
      <c r="AH83" s="18"/>
      <c r="AI83" s="18"/>
    </row>
    <row r="84" spans="1:35">
      <c r="A84" s="14">
        <v>82</v>
      </c>
      <c r="B84" s="14">
        <v>6680</v>
      </c>
      <c r="C84" s="14" t="s">
        <v>163</v>
      </c>
      <c r="D84" s="14" t="s">
        <v>76</v>
      </c>
      <c r="E84" s="15" t="str">
        <f>"83.13"</f>
        <v>83.13</v>
      </c>
      <c r="F84" s="15"/>
      <c r="G84" s="16" t="str">
        <f>"83.13"</f>
        <v>83.13</v>
      </c>
      <c r="H84" s="17"/>
      <c r="I84" s="18">
        <v>3</v>
      </c>
      <c r="J84" s="18">
        <v>2016</v>
      </c>
      <c r="K84" s="18" t="str">
        <f>"98.26"</f>
        <v>98.26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 t="str">
        <f>"76.01"</f>
        <v>76.01</v>
      </c>
      <c r="Z84" s="18"/>
      <c r="AA84" s="18" t="str">
        <f>"104.03"</f>
        <v>104.03</v>
      </c>
      <c r="AB84" s="18"/>
      <c r="AC84" s="18"/>
      <c r="AD84" s="18" t="str">
        <f>"91.77"</f>
        <v>91.77</v>
      </c>
      <c r="AE84" s="18"/>
      <c r="AF84" s="18"/>
      <c r="AG84" s="18" t="str">
        <f>"90.25"</f>
        <v>90.25</v>
      </c>
      <c r="AH84" s="18"/>
      <c r="AI84" s="18"/>
    </row>
    <row r="85" spans="1:35">
      <c r="A85" s="14">
        <v>83</v>
      </c>
      <c r="B85" s="14">
        <v>696</v>
      </c>
      <c r="C85" s="14" t="s">
        <v>164</v>
      </c>
      <c r="D85" s="14" t="s">
        <v>165</v>
      </c>
      <c r="E85" s="15" t="str">
        <f>"59.78"</f>
        <v>59.78</v>
      </c>
      <c r="F85" s="15"/>
      <c r="G85" s="16" t="str">
        <f>"83.77"</f>
        <v>83.77</v>
      </c>
      <c r="H85" s="17"/>
      <c r="I85" s="18">
        <v>3</v>
      </c>
      <c r="J85" s="18">
        <v>2016</v>
      </c>
      <c r="K85" s="18" t="str">
        <f>"59.78"</f>
        <v>59.78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 t="str">
        <f>"91.15"</f>
        <v>91.15</v>
      </c>
      <c r="AF85" s="18" t="str">
        <f>"76.38"</f>
        <v>76.38</v>
      </c>
      <c r="AG85" s="18"/>
      <c r="AH85" s="18"/>
      <c r="AI85" s="18"/>
    </row>
    <row r="86" spans="1:35">
      <c r="A86" s="14">
        <v>84</v>
      </c>
      <c r="B86" s="14">
        <v>6967</v>
      </c>
      <c r="C86" s="14" t="s">
        <v>166</v>
      </c>
      <c r="D86" s="14" t="s">
        <v>70</v>
      </c>
      <c r="E86" s="15" t="str">
        <f>"53.93"</f>
        <v>53.93</v>
      </c>
      <c r="F86" s="15"/>
      <c r="G86" s="16" t="str">
        <f>"84.49"</f>
        <v>84.49</v>
      </c>
      <c r="H86" s="17"/>
      <c r="I86" s="18">
        <v>3</v>
      </c>
      <c r="J86" s="18">
        <v>2016</v>
      </c>
      <c r="K86" s="18" t="str">
        <f>"53.93"</f>
        <v>53.93</v>
      </c>
      <c r="L86" s="18"/>
      <c r="M86" s="18" t="str">
        <f>"139.74"</f>
        <v>139.74</v>
      </c>
      <c r="N86" s="18"/>
      <c r="O86" s="18" t="str">
        <f>"135.89"</f>
        <v>135.89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 t="str">
        <f>"118.56"</f>
        <v>118.56</v>
      </c>
      <c r="AB86" s="18"/>
      <c r="AC86" s="18"/>
      <c r="AD86" s="18"/>
      <c r="AE86" s="18" t="str">
        <f>"87.30"</f>
        <v>87.30</v>
      </c>
      <c r="AF86" s="18" t="str">
        <f>"88.63"</f>
        <v>88.63</v>
      </c>
      <c r="AG86" s="18" t="str">
        <f>"81.67"</f>
        <v>81.67</v>
      </c>
      <c r="AH86" s="18"/>
      <c r="AI86" s="18"/>
    </row>
    <row r="87" spans="1:35">
      <c r="A87" s="14">
        <v>85</v>
      </c>
      <c r="B87" s="14">
        <v>4030</v>
      </c>
      <c r="C87" s="14" t="s">
        <v>167</v>
      </c>
      <c r="D87" s="14" t="s">
        <v>148</v>
      </c>
      <c r="E87" s="15" t="str">
        <f>"72.40"</f>
        <v>72.40</v>
      </c>
      <c r="F87" s="15"/>
      <c r="G87" s="16" t="str">
        <f>"84.63"</f>
        <v>84.63</v>
      </c>
      <c r="H87" s="17"/>
      <c r="I87" s="18">
        <v>3</v>
      </c>
      <c r="J87" s="18">
        <v>2016</v>
      </c>
      <c r="K87" s="18" t="str">
        <f>"72.40"</f>
        <v>72.40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 t="str">
        <f>"97.17"</f>
        <v>97.17</v>
      </c>
      <c r="W87" s="18"/>
      <c r="X87" s="18"/>
      <c r="Y87" s="18"/>
      <c r="Z87" s="18"/>
      <c r="AA87" s="18"/>
      <c r="AB87" s="18"/>
      <c r="AC87" s="18"/>
      <c r="AD87" s="18"/>
      <c r="AE87" s="18" t="str">
        <f>"88.51"</f>
        <v>88.51</v>
      </c>
      <c r="AF87" s="18" t="str">
        <f>"80.75"</f>
        <v>80.75</v>
      </c>
      <c r="AG87" s="18"/>
      <c r="AH87" s="18" t="str">
        <f>"92.01"</f>
        <v>92.01</v>
      </c>
      <c r="AI87" s="18"/>
    </row>
    <row r="88" spans="1:35">
      <c r="A88" s="14">
        <v>86</v>
      </c>
      <c r="B88" s="14">
        <v>5421</v>
      </c>
      <c r="C88" s="14" t="s">
        <v>168</v>
      </c>
      <c r="D88" s="14" t="s">
        <v>98</v>
      </c>
      <c r="E88" s="15" t="str">
        <f>"77.25"</f>
        <v>77.25</v>
      </c>
      <c r="F88" s="15"/>
      <c r="G88" s="16" t="str">
        <f>"84.70"</f>
        <v>84.70</v>
      </c>
      <c r="H88" s="17"/>
      <c r="I88" s="18">
        <v>3</v>
      </c>
      <c r="J88" s="18">
        <v>2016</v>
      </c>
      <c r="K88" s="18" t="str">
        <f>"78.04"</f>
        <v>78.04</v>
      </c>
      <c r="L88" s="18"/>
      <c r="M88" s="18"/>
      <c r="N88" s="18"/>
      <c r="O88" s="18"/>
      <c r="P88" s="18"/>
      <c r="Q88" s="18" t="str">
        <f>"92.95"</f>
        <v>92.95</v>
      </c>
      <c r="R88" s="18"/>
      <c r="S88" s="18"/>
      <c r="T88" s="18"/>
      <c r="U88" s="18" t="str">
        <f>"76.45"</f>
        <v>76.45</v>
      </c>
      <c r="V88" s="18"/>
      <c r="W88" s="18"/>
      <c r="X88" s="18"/>
      <c r="Y88" s="18"/>
      <c r="Z88" s="18" t="str">
        <f>"111.89"</f>
        <v>111.89</v>
      </c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>
      <c r="A89" s="14">
        <v>87</v>
      </c>
      <c r="B89" s="14">
        <v>5199</v>
      </c>
      <c r="C89" s="14" t="s">
        <v>169</v>
      </c>
      <c r="D89" s="14" t="s">
        <v>170</v>
      </c>
      <c r="E89" s="15" t="str">
        <f>"83.04"</f>
        <v>83.04</v>
      </c>
      <c r="F89" s="15"/>
      <c r="G89" s="16" t="str">
        <f>"85.06"</f>
        <v>85.06</v>
      </c>
      <c r="H89" s="17"/>
      <c r="I89" s="18">
        <v>3</v>
      </c>
      <c r="J89" s="18">
        <v>2016</v>
      </c>
      <c r="K89" s="18" t="str">
        <f>"83.83"</f>
        <v>83.83</v>
      </c>
      <c r="L89" s="18" t="str">
        <f>"104.65"</f>
        <v>104.65</v>
      </c>
      <c r="M89" s="18"/>
      <c r="N89" s="18" t="str">
        <f>"82.24"</f>
        <v>82.24</v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 t="str">
        <f>"87.87"</f>
        <v>87.87</v>
      </c>
      <c r="AB89" s="18"/>
      <c r="AC89" s="18"/>
      <c r="AD89" s="18"/>
      <c r="AE89" s="18"/>
      <c r="AF89" s="18"/>
      <c r="AG89" s="18"/>
      <c r="AH89" s="18"/>
      <c r="AI89" s="18"/>
    </row>
    <row r="90" spans="1:35">
      <c r="A90" s="14">
        <v>88</v>
      </c>
      <c r="B90" s="14">
        <v>2635</v>
      </c>
      <c r="C90" s="14" t="s">
        <v>171</v>
      </c>
      <c r="D90" s="14" t="s">
        <v>76</v>
      </c>
      <c r="E90" s="15" t="str">
        <f>"82.04"</f>
        <v>82.04</v>
      </c>
      <c r="F90" s="15"/>
      <c r="G90" s="16" t="str">
        <f>"85.33"</f>
        <v>85.33</v>
      </c>
      <c r="H90" s="17"/>
      <c r="I90" s="18">
        <v>3</v>
      </c>
      <c r="J90" s="18">
        <v>2016</v>
      </c>
      <c r="K90" s="18" t="str">
        <f>"82.04"</f>
        <v>82.04</v>
      </c>
      <c r="L90" s="18" t="str">
        <f>"119.16"</f>
        <v>119.16</v>
      </c>
      <c r="M90" s="18"/>
      <c r="N90" s="18" t="str">
        <f>"83.53"</f>
        <v>83.53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 t="str">
        <f>"93.70"</f>
        <v>93.70</v>
      </c>
      <c r="Z90" s="18"/>
      <c r="AA90" s="18"/>
      <c r="AB90" s="18"/>
      <c r="AC90" s="18" t="str">
        <f>"87.13"</f>
        <v>87.13</v>
      </c>
      <c r="AD90" s="18" t="str">
        <f>"103.93"</f>
        <v>103.93</v>
      </c>
      <c r="AE90" s="18"/>
      <c r="AF90" s="18"/>
      <c r="AG90" s="18"/>
      <c r="AH90" s="18"/>
      <c r="AI90" s="18"/>
    </row>
    <row r="91" spans="1:35">
      <c r="A91" s="14">
        <v>89</v>
      </c>
      <c r="B91" s="14">
        <v>4139</v>
      </c>
      <c r="C91" s="14" t="s">
        <v>172</v>
      </c>
      <c r="D91" s="14" t="s">
        <v>43</v>
      </c>
      <c r="E91" s="15" t="str">
        <f>"56.58"</f>
        <v>56.58</v>
      </c>
      <c r="F91" s="15"/>
      <c r="G91" s="16" t="str">
        <f>"88.69"</f>
        <v>88.69</v>
      </c>
      <c r="H91" s="17"/>
      <c r="I91" s="18">
        <v>3</v>
      </c>
      <c r="J91" s="18">
        <v>2016</v>
      </c>
      <c r="K91" s="18" t="str">
        <f>"56.58"</f>
        <v>56.58</v>
      </c>
      <c r="L91" s="18" t="str">
        <f>"105.66"</f>
        <v>105.66</v>
      </c>
      <c r="M91" s="18"/>
      <c r="N91" s="18" t="str">
        <f>"71.71"</f>
        <v>71.71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>
      <c r="A92" s="14">
        <v>90</v>
      </c>
      <c r="B92" s="14">
        <v>3351</v>
      </c>
      <c r="C92" s="14" t="s">
        <v>173</v>
      </c>
      <c r="D92" s="14" t="s">
        <v>109</v>
      </c>
      <c r="E92" s="15" t="str">
        <f>"43.92"</f>
        <v>43.92</v>
      </c>
      <c r="F92" s="15"/>
      <c r="G92" s="16" t="str">
        <f>"89.01"</f>
        <v>89.01</v>
      </c>
      <c r="H92" s="17" t="s">
        <v>54</v>
      </c>
      <c r="I92" s="18">
        <v>2</v>
      </c>
      <c r="J92" s="18">
        <v>2016</v>
      </c>
      <c r="K92" s="18" t="str">
        <f>"43.92"</f>
        <v>43.92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 t="str">
        <f>"61.81"</f>
        <v>61.81</v>
      </c>
      <c r="AH92" s="18"/>
      <c r="AI92" s="18"/>
    </row>
    <row r="93" spans="1:35">
      <c r="A93" s="14">
        <v>91</v>
      </c>
      <c r="B93" s="14">
        <v>5739</v>
      </c>
      <c r="C93" s="14" t="s">
        <v>174</v>
      </c>
      <c r="D93" s="14" t="s">
        <v>98</v>
      </c>
      <c r="E93" s="15" t="str">
        <f>"82.64"</f>
        <v>82.64</v>
      </c>
      <c r="F93" s="15"/>
      <c r="G93" s="16" t="str">
        <f>"89.58"</f>
        <v>89.58</v>
      </c>
      <c r="H93" s="17"/>
      <c r="I93" s="18">
        <v>3</v>
      </c>
      <c r="J93" s="18">
        <v>2016</v>
      </c>
      <c r="K93" s="18" t="str">
        <f>"85.20"</f>
        <v>85.20</v>
      </c>
      <c r="L93" s="18"/>
      <c r="M93" s="18"/>
      <c r="N93" s="18"/>
      <c r="O93" s="18"/>
      <c r="P93" s="18"/>
      <c r="Q93" s="18" t="str">
        <f>"80.07"</f>
        <v>80.07</v>
      </c>
      <c r="R93" s="18"/>
      <c r="S93" s="18"/>
      <c r="T93" s="18"/>
      <c r="U93" s="18"/>
      <c r="V93" s="18"/>
      <c r="W93" s="18"/>
      <c r="X93" s="18"/>
      <c r="Y93" s="18"/>
      <c r="Z93" s="18" t="str">
        <f>"99.09"</f>
        <v>99.09</v>
      </c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>
      <c r="A94" s="14">
        <v>92</v>
      </c>
      <c r="B94" s="14">
        <v>4292</v>
      </c>
      <c r="C94" s="14" t="s">
        <v>175</v>
      </c>
      <c r="D94" s="14" t="s">
        <v>176</v>
      </c>
      <c r="E94" s="15" t="str">
        <f>"76.97"</f>
        <v>76.97</v>
      </c>
      <c r="F94" s="15"/>
      <c r="G94" s="16" t="str">
        <f>"89.90"</f>
        <v>89.90</v>
      </c>
      <c r="H94" s="17" t="s">
        <v>54</v>
      </c>
      <c r="I94" s="18">
        <v>2</v>
      </c>
      <c r="J94" s="18">
        <v>2016</v>
      </c>
      <c r="K94" s="18" t="str">
        <f>"91.50"</f>
        <v>91.50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 t="str">
        <f>"62.43"</f>
        <v>62.43</v>
      </c>
      <c r="AH94" s="18"/>
      <c r="AI94" s="18"/>
    </row>
    <row r="95" spans="1:35">
      <c r="A95" s="14">
        <v>93</v>
      </c>
      <c r="B95" s="14">
        <v>1402</v>
      </c>
      <c r="C95" s="14" t="s">
        <v>177</v>
      </c>
      <c r="D95" s="14" t="s">
        <v>56</v>
      </c>
      <c r="E95" s="15" t="str">
        <f>"62.52"</f>
        <v>62.52</v>
      </c>
      <c r="F95" s="15"/>
      <c r="G95" s="16" t="str">
        <f>"90.03"</f>
        <v>90.03</v>
      </c>
      <c r="H95" s="17" t="s">
        <v>48</v>
      </c>
      <c r="I95" s="18">
        <v>1</v>
      </c>
      <c r="J95" s="18">
        <v>2016</v>
      </c>
      <c r="K95" s="18" t="str">
        <f>"62.52"</f>
        <v>62.52</v>
      </c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>
      <c r="A96" s="14">
        <v>94</v>
      </c>
      <c r="B96" s="14">
        <v>9114</v>
      </c>
      <c r="C96" s="14" t="s">
        <v>178</v>
      </c>
      <c r="D96" s="14" t="s">
        <v>179</v>
      </c>
      <c r="E96" s="15" t="str">
        <f>"38.26"</f>
        <v>38.26</v>
      </c>
      <c r="F96" s="15"/>
      <c r="G96" s="16" t="str">
        <f>"90.29"</f>
        <v>90.29</v>
      </c>
      <c r="H96" s="17"/>
      <c r="I96" s="18">
        <v>3</v>
      </c>
      <c r="J96" s="18">
        <v>2016</v>
      </c>
      <c r="K96" s="18" t="str">
        <f>"38.26"</f>
        <v>38.26</v>
      </c>
      <c r="L96" s="18" t="str">
        <f>"93.44"</f>
        <v>93.44</v>
      </c>
      <c r="M96" s="18"/>
      <c r="N96" s="18" t="str">
        <f>"87.13"</f>
        <v>87.13</v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>
      <c r="A97" s="14">
        <v>95</v>
      </c>
      <c r="B97" s="14">
        <v>1885</v>
      </c>
      <c r="C97" s="14" t="s">
        <v>180</v>
      </c>
      <c r="D97" s="14" t="s">
        <v>162</v>
      </c>
      <c r="E97" s="15" t="str">
        <f>"90.38"</f>
        <v>90.38</v>
      </c>
      <c r="F97" s="15"/>
      <c r="G97" s="16" t="str">
        <f>"90.38"</f>
        <v>90.38</v>
      </c>
      <c r="H97" s="17"/>
      <c r="I97" s="18">
        <v>3</v>
      </c>
      <c r="J97" s="18">
        <v>2016</v>
      </c>
      <c r="K97" s="18" t="str">
        <f>"116.00"</f>
        <v>116.00</v>
      </c>
      <c r="L97" s="18" t="str">
        <f>"204.96"</f>
        <v>204.96</v>
      </c>
      <c r="M97" s="18"/>
      <c r="N97" s="18" t="str">
        <f>"111.03"</f>
        <v>111.03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 t="str">
        <f>"175.74"</f>
        <v>175.74</v>
      </c>
      <c r="AB97" s="18"/>
      <c r="AC97" s="18"/>
      <c r="AD97" s="18"/>
      <c r="AE97" s="18" t="str">
        <f>"95.00"</f>
        <v>95.00</v>
      </c>
      <c r="AF97" s="18" t="str">
        <f>"85.76"</f>
        <v>85.76</v>
      </c>
      <c r="AG97" s="18"/>
      <c r="AH97" s="18"/>
      <c r="AI97" s="18"/>
    </row>
    <row r="98" spans="1:35">
      <c r="A98" s="14">
        <v>96</v>
      </c>
      <c r="B98" s="14">
        <v>5257</v>
      </c>
      <c r="C98" s="14" t="s">
        <v>181</v>
      </c>
      <c r="D98" s="14" t="s">
        <v>182</v>
      </c>
      <c r="E98" s="15" t="str">
        <f>"90.45"</f>
        <v>90.45</v>
      </c>
      <c r="F98" s="15"/>
      <c r="G98" s="16" t="str">
        <f>"90.45"</f>
        <v>90.45</v>
      </c>
      <c r="H98" s="17"/>
      <c r="I98" s="18">
        <v>3</v>
      </c>
      <c r="J98" s="18">
        <v>2016</v>
      </c>
      <c r="K98" s="18" t="str">
        <f>"123.03"</f>
        <v>123.03</v>
      </c>
      <c r="L98" s="18"/>
      <c r="M98" s="18" t="str">
        <f>"96.64"</f>
        <v>96.64</v>
      </c>
      <c r="N98" s="18"/>
      <c r="O98" s="18" t="str">
        <f>"146.00"</f>
        <v>146.00</v>
      </c>
      <c r="P98" s="18"/>
      <c r="Q98" s="18"/>
      <c r="R98" s="18"/>
      <c r="S98" s="18"/>
      <c r="T98" s="18"/>
      <c r="U98" s="18"/>
      <c r="V98" s="18" t="str">
        <f>"84.26"</f>
        <v>84.26</v>
      </c>
      <c r="W98" s="18"/>
      <c r="X98" s="18"/>
      <c r="Y98" s="18"/>
      <c r="Z98" s="18"/>
      <c r="AA98" s="18" t="str">
        <f>"203.20"</f>
        <v>203.20</v>
      </c>
      <c r="AB98" s="18"/>
      <c r="AC98" s="18"/>
      <c r="AD98" s="18"/>
      <c r="AE98" s="18"/>
      <c r="AF98" s="18"/>
      <c r="AG98" s="18" t="str">
        <f>"112.00"</f>
        <v>112.00</v>
      </c>
      <c r="AH98" s="18" t="str">
        <f>"131.60"</f>
        <v>131.60</v>
      </c>
      <c r="AI98" s="18"/>
    </row>
    <row r="99" spans="1:35">
      <c r="A99" s="14">
        <v>97</v>
      </c>
      <c r="B99" s="14">
        <v>7354</v>
      </c>
      <c r="C99" s="14" t="s">
        <v>183</v>
      </c>
      <c r="D99" s="14" t="s">
        <v>184</v>
      </c>
      <c r="E99" s="15" t="str">
        <f>"64.76"</f>
        <v>64.76</v>
      </c>
      <c r="F99" s="15"/>
      <c r="G99" s="16" t="str">
        <f>"90.59"</f>
        <v>90.59</v>
      </c>
      <c r="H99" s="17"/>
      <c r="I99" s="18">
        <v>3</v>
      </c>
      <c r="J99" s="18">
        <v>2016</v>
      </c>
      <c r="K99" s="18" t="str">
        <f>"64.76"</f>
        <v>64.76</v>
      </c>
      <c r="L99" s="18"/>
      <c r="M99" s="18" t="str">
        <f>"96.64"</f>
        <v>96.64</v>
      </c>
      <c r="N99" s="18"/>
      <c r="O99" s="18" t="str">
        <f>"84.54"</f>
        <v>84.54</v>
      </c>
      <c r="P99" s="18"/>
      <c r="Q99" s="18"/>
      <c r="R99" s="18"/>
      <c r="S99" s="18"/>
      <c r="T99" s="18"/>
      <c r="U99" s="18"/>
      <c r="V99" s="18" t="str">
        <f>"96.84"</f>
        <v>96.84</v>
      </c>
      <c r="W99" s="18"/>
      <c r="X99" s="18"/>
      <c r="Y99" s="18"/>
      <c r="Z99" s="18"/>
      <c r="AA99" s="18" t="str">
        <f>"146.67"</f>
        <v>146.67</v>
      </c>
      <c r="AB99" s="18"/>
      <c r="AC99" s="18"/>
      <c r="AD99" s="18"/>
      <c r="AE99" s="18"/>
      <c r="AF99" s="18"/>
      <c r="AG99" s="18"/>
      <c r="AH99" s="18"/>
      <c r="AI99" s="18"/>
    </row>
    <row r="100" spans="1:35">
      <c r="A100" s="14">
        <v>98</v>
      </c>
      <c r="B100" s="14">
        <v>5072</v>
      </c>
      <c r="C100" s="14" t="s">
        <v>185</v>
      </c>
      <c r="D100" s="14" t="s">
        <v>186</v>
      </c>
      <c r="E100" s="15" t="str">
        <f>"67.46"</f>
        <v>67.46</v>
      </c>
      <c r="F100" s="15"/>
      <c r="G100" s="16" t="str">
        <f>"90.95"</f>
        <v>90.95</v>
      </c>
      <c r="H100" s="17"/>
      <c r="I100" s="18">
        <v>3</v>
      </c>
      <c r="J100" s="18">
        <v>2016</v>
      </c>
      <c r="K100" s="18" t="str">
        <f>"67.46"</f>
        <v>67.46</v>
      </c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 t="str">
        <f>"82.03"</f>
        <v>82.03</v>
      </c>
      <c r="AF100" s="18"/>
      <c r="AG100" s="18" t="str">
        <f>"99.87"</f>
        <v>99.87</v>
      </c>
      <c r="AH100" s="18"/>
      <c r="AI100" s="18"/>
    </row>
    <row r="101" spans="1:35">
      <c r="A101" s="14">
        <v>99</v>
      </c>
      <c r="B101" s="14">
        <v>10674</v>
      </c>
      <c r="C101" s="14" t="s">
        <v>187</v>
      </c>
      <c r="D101" s="14" t="s">
        <v>188</v>
      </c>
      <c r="E101" s="15" t="str">
        <f>"91.66"</f>
        <v>91.66</v>
      </c>
      <c r="F101" s="15"/>
      <c r="G101" s="16" t="str">
        <f>"91.66"</f>
        <v>91.66</v>
      </c>
      <c r="H101" s="17"/>
      <c r="I101" s="18">
        <v>5</v>
      </c>
      <c r="J101" s="18">
        <v>2016</v>
      </c>
      <c r="K101" s="18"/>
      <c r="L101" s="18" t="str">
        <f>"102.10"</f>
        <v>102.10</v>
      </c>
      <c r="M101" s="18"/>
      <c r="N101" s="18" t="str">
        <f>"81.22"</f>
        <v>81.22</v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>
      <c r="A102" s="14">
        <v>100</v>
      </c>
      <c r="B102" s="14">
        <v>7816</v>
      </c>
      <c r="C102" s="14" t="s">
        <v>189</v>
      </c>
      <c r="D102" s="14" t="s">
        <v>76</v>
      </c>
      <c r="E102" s="15" t="str">
        <f>"91.48"</f>
        <v>91.48</v>
      </c>
      <c r="F102" s="15"/>
      <c r="G102" s="16" t="str">
        <f>"92.00"</f>
        <v>92.00</v>
      </c>
      <c r="H102" s="17"/>
      <c r="I102" s="18">
        <v>3</v>
      </c>
      <c r="J102" s="18">
        <v>2016</v>
      </c>
      <c r="K102" s="18" t="str">
        <f>"98.68"</f>
        <v>98.68</v>
      </c>
      <c r="L102" s="18" t="str">
        <f>"146.91"</f>
        <v>146.91</v>
      </c>
      <c r="M102" s="18"/>
      <c r="N102" s="18" t="str">
        <f>"99.72"</f>
        <v>99.72</v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 t="str">
        <f>"181.25"</f>
        <v>181.25</v>
      </c>
      <c r="Z102" s="18"/>
      <c r="AA102" s="18" t="str">
        <f>"104.35"</f>
        <v>104.35</v>
      </c>
      <c r="AB102" s="18"/>
      <c r="AC102" s="18"/>
      <c r="AD102" s="18" t="str">
        <f>"84.28"</f>
        <v>84.28</v>
      </c>
      <c r="AE102" s="18"/>
      <c r="AF102" s="18"/>
      <c r="AG102" s="18"/>
      <c r="AH102" s="18"/>
      <c r="AI102" s="18"/>
    </row>
    <row r="103" spans="1:35">
      <c r="A103" s="14">
        <v>101</v>
      </c>
      <c r="B103" s="14">
        <v>4893</v>
      </c>
      <c r="C103" s="14" t="s">
        <v>190</v>
      </c>
      <c r="D103" s="14" t="s">
        <v>148</v>
      </c>
      <c r="E103" s="15" t="str">
        <f>"74.05"</f>
        <v>74.05</v>
      </c>
      <c r="F103" s="15"/>
      <c r="G103" s="16" t="str">
        <f>"92.26"</f>
        <v>92.26</v>
      </c>
      <c r="H103" s="17"/>
      <c r="I103" s="18">
        <v>3</v>
      </c>
      <c r="J103" s="18">
        <v>2016</v>
      </c>
      <c r="K103" s="18" t="str">
        <f>"74.33"</f>
        <v>74.33</v>
      </c>
      <c r="L103" s="18" t="str">
        <f>"110.76"</f>
        <v>110.76</v>
      </c>
      <c r="M103" s="18"/>
      <c r="N103" s="18" t="str">
        <f>"73.76"</f>
        <v>73.76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>
      <c r="A104" s="14">
        <v>102</v>
      </c>
      <c r="B104" s="14">
        <v>5234</v>
      </c>
      <c r="C104" s="14" t="s">
        <v>191</v>
      </c>
      <c r="D104" s="14" t="s">
        <v>112</v>
      </c>
      <c r="E104" s="15" t="str">
        <f>"63.49"</f>
        <v>63.49</v>
      </c>
      <c r="F104" s="15"/>
      <c r="G104" s="16" t="str">
        <f>"93.04"</f>
        <v>93.04</v>
      </c>
      <c r="H104" s="17"/>
      <c r="I104" s="18">
        <v>3</v>
      </c>
      <c r="J104" s="18">
        <v>2016</v>
      </c>
      <c r="K104" s="18" t="str">
        <f>"63.49"</f>
        <v>63.49</v>
      </c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 t="str">
        <f>"116.46"</f>
        <v>116.46</v>
      </c>
      <c r="W104" s="18"/>
      <c r="X104" s="18"/>
      <c r="Y104" s="18"/>
      <c r="Z104" s="18"/>
      <c r="AA104" s="18"/>
      <c r="AB104" s="18"/>
      <c r="AC104" s="18"/>
      <c r="AD104" s="18"/>
      <c r="AE104" s="18" t="str">
        <f>"97.03"</f>
        <v>97.03</v>
      </c>
      <c r="AF104" s="18"/>
      <c r="AG104" s="18" t="str">
        <f>"103.21"</f>
        <v>103.21</v>
      </c>
      <c r="AH104" s="18" t="str">
        <f>"89.05"</f>
        <v>89.05</v>
      </c>
      <c r="AI104" s="18"/>
    </row>
    <row r="105" spans="1:35">
      <c r="A105" s="14">
        <v>103</v>
      </c>
      <c r="B105" s="14">
        <v>10313</v>
      </c>
      <c r="C105" s="14" t="s">
        <v>192</v>
      </c>
      <c r="D105" s="14" t="s">
        <v>193</v>
      </c>
      <c r="E105" s="15" t="str">
        <f>"93.75"</f>
        <v>93.75</v>
      </c>
      <c r="F105" s="15"/>
      <c r="G105" s="16" t="str">
        <f>"93.75"</f>
        <v>93.75</v>
      </c>
      <c r="H105" s="17"/>
      <c r="I105" s="18">
        <v>3</v>
      </c>
      <c r="J105" s="18">
        <v>2016</v>
      </c>
      <c r="K105" s="18" t="str">
        <f>"138.96"</f>
        <v>138.96</v>
      </c>
      <c r="L105" s="18" t="str">
        <f>"115.59"</f>
        <v>115.59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 t="str">
        <f>"131.97"</f>
        <v>131.97</v>
      </c>
      <c r="AB105" s="18"/>
      <c r="AC105" s="18"/>
      <c r="AD105" s="18"/>
      <c r="AE105" s="18"/>
      <c r="AF105" s="18" t="str">
        <f>"71.91"</f>
        <v>71.91</v>
      </c>
      <c r="AG105" s="18"/>
      <c r="AH105" s="18"/>
      <c r="AI105" s="18"/>
    </row>
    <row r="106" spans="1:35">
      <c r="A106" s="14">
        <v>104</v>
      </c>
      <c r="B106" s="14">
        <v>3088</v>
      </c>
      <c r="C106" s="14" t="s">
        <v>194</v>
      </c>
      <c r="D106" s="14" t="s">
        <v>176</v>
      </c>
      <c r="E106" s="15" t="str">
        <f>"94.57"</f>
        <v>94.57</v>
      </c>
      <c r="F106" s="15"/>
      <c r="G106" s="16" t="str">
        <f>"94.57"</f>
        <v>94.57</v>
      </c>
      <c r="H106" s="17"/>
      <c r="I106" s="18">
        <v>3</v>
      </c>
      <c r="J106" s="18">
        <v>2016</v>
      </c>
      <c r="K106" s="18" t="str">
        <f>"133.40"</f>
        <v>133.40</v>
      </c>
      <c r="L106" s="18" t="str">
        <f>"112.54"</f>
        <v>112.54</v>
      </c>
      <c r="M106" s="18"/>
      <c r="N106" s="18" t="str">
        <f>"76.59"</f>
        <v>76.59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>
      <c r="A107" s="14">
        <v>105</v>
      </c>
      <c r="B107" s="14">
        <v>1858</v>
      </c>
      <c r="C107" s="14" t="s">
        <v>195</v>
      </c>
      <c r="D107" s="14" t="s">
        <v>196</v>
      </c>
      <c r="E107" s="15" t="str">
        <f>"94.71"</f>
        <v>94.71</v>
      </c>
      <c r="F107" s="15"/>
      <c r="G107" s="16" t="str">
        <f>"94.71"</f>
        <v>94.71</v>
      </c>
      <c r="H107" s="17"/>
      <c r="I107" s="18">
        <v>3</v>
      </c>
      <c r="J107" s="18">
        <v>2016</v>
      </c>
      <c r="K107" s="18" t="str">
        <f>"109.68"</f>
        <v>109.68</v>
      </c>
      <c r="L107" s="18"/>
      <c r="M107" s="18" t="str">
        <f>"112.52"</f>
        <v>112.52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 t="str">
        <f>"184.95"</f>
        <v>184.95</v>
      </c>
      <c r="AB107" s="18"/>
      <c r="AC107" s="18"/>
      <c r="AD107" s="18"/>
      <c r="AE107" s="18" t="str">
        <f>"88.72"</f>
        <v>88.72</v>
      </c>
      <c r="AF107" s="18" t="str">
        <f>"111.85"</f>
        <v>111.85</v>
      </c>
      <c r="AG107" s="18" t="str">
        <f>"100.70"</f>
        <v>100.70</v>
      </c>
      <c r="AH107" s="18"/>
      <c r="AI107" s="18"/>
    </row>
    <row r="108" spans="1:35">
      <c r="A108" s="14">
        <v>106</v>
      </c>
      <c r="B108" s="14">
        <v>3523</v>
      </c>
      <c r="C108" s="14" t="s">
        <v>197</v>
      </c>
      <c r="D108" s="14" t="s">
        <v>198</v>
      </c>
      <c r="E108" s="15" t="str">
        <f>"61.26"</f>
        <v>61.26</v>
      </c>
      <c r="F108" s="15"/>
      <c r="G108" s="16" t="str">
        <f>"95.77"</f>
        <v>95.77</v>
      </c>
      <c r="H108" s="17"/>
      <c r="I108" s="18">
        <v>3</v>
      </c>
      <c r="J108" s="18">
        <v>2016</v>
      </c>
      <c r="K108" s="18" t="str">
        <f>"61.26"</f>
        <v>61.26</v>
      </c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 t="str">
        <f>"65.30"</f>
        <v>65.30</v>
      </c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 t="str">
        <f>"126.23"</f>
        <v>126.23</v>
      </c>
      <c r="AI108" s="18"/>
    </row>
    <row r="109" spans="1:35">
      <c r="A109" s="14">
        <v>107</v>
      </c>
      <c r="B109" s="14">
        <v>3076</v>
      </c>
      <c r="C109" s="14" t="s">
        <v>199</v>
      </c>
      <c r="D109" s="14" t="s">
        <v>200</v>
      </c>
      <c r="E109" s="15" t="str">
        <f>"92.83"</f>
        <v>92.83</v>
      </c>
      <c r="F109" s="15"/>
      <c r="G109" s="16" t="str">
        <f>"96.32"</f>
        <v>96.32</v>
      </c>
      <c r="H109" s="17"/>
      <c r="I109" s="18">
        <v>3</v>
      </c>
      <c r="J109" s="18">
        <v>2016</v>
      </c>
      <c r="K109" s="18" t="str">
        <f>"92.83"</f>
        <v>92.83</v>
      </c>
      <c r="L109" s="18" t="str">
        <f>"95.48"</f>
        <v>95.48</v>
      </c>
      <c r="M109" s="18"/>
      <c r="N109" s="18" t="str">
        <f>"97.15"</f>
        <v>97.15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>
      <c r="A110" s="14">
        <v>108</v>
      </c>
      <c r="B110" s="14">
        <v>10284</v>
      </c>
      <c r="C110" s="14" t="s">
        <v>201</v>
      </c>
      <c r="D110" s="14" t="s">
        <v>39</v>
      </c>
      <c r="E110" s="15" t="str">
        <f>"96.47"</f>
        <v>96.47</v>
      </c>
      <c r="F110" s="15"/>
      <c r="G110" s="16" t="str">
        <f>"96.47"</f>
        <v>96.47</v>
      </c>
      <c r="H110" s="17"/>
      <c r="I110" s="18">
        <v>3</v>
      </c>
      <c r="J110" s="18">
        <v>2016</v>
      </c>
      <c r="K110" s="18" t="str">
        <f>"117.02"</f>
        <v>117.02</v>
      </c>
      <c r="L110" s="18" t="str">
        <f>"158.62"</f>
        <v>158.62</v>
      </c>
      <c r="M110" s="18"/>
      <c r="N110" s="18" t="str">
        <f>"134.93"</f>
        <v>134.93</v>
      </c>
      <c r="O110" s="18"/>
      <c r="P110" s="18"/>
      <c r="Q110" s="18"/>
      <c r="R110" s="18"/>
      <c r="S110" s="18"/>
      <c r="T110" s="18"/>
      <c r="U110" s="18"/>
      <c r="V110" s="18" t="str">
        <f>"80.83"</f>
        <v>80.83</v>
      </c>
      <c r="W110" s="18"/>
      <c r="X110" s="18"/>
      <c r="Y110" s="18"/>
      <c r="Z110" s="18"/>
      <c r="AA110" s="18" t="str">
        <f>"112.10"</f>
        <v>112.10</v>
      </c>
      <c r="AB110" s="18"/>
      <c r="AC110" s="18"/>
      <c r="AD110" s="18"/>
      <c r="AE110" s="18"/>
      <c r="AF110" s="18"/>
      <c r="AG110" s="18" t="str">
        <f>"112.83"</f>
        <v>112.83</v>
      </c>
      <c r="AH110" s="18"/>
      <c r="AI110" s="18"/>
    </row>
    <row r="111" spans="1:35">
      <c r="A111" s="14">
        <v>109</v>
      </c>
      <c r="B111" s="14">
        <v>4108</v>
      </c>
      <c r="C111" s="14" t="s">
        <v>202</v>
      </c>
      <c r="D111" s="14" t="s">
        <v>39</v>
      </c>
      <c r="E111" s="15" t="str">
        <f>"43.24"</f>
        <v>43.24</v>
      </c>
      <c r="F111" s="15"/>
      <c r="G111" s="16" t="str">
        <f>"96.81"</f>
        <v>96.81</v>
      </c>
      <c r="H111" s="17"/>
      <c r="I111" s="18">
        <v>3</v>
      </c>
      <c r="J111" s="18">
        <v>2016</v>
      </c>
      <c r="K111" s="18" t="str">
        <f>"43.24"</f>
        <v>43.24</v>
      </c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 t="str">
        <f>"79.85"</f>
        <v>79.85</v>
      </c>
      <c r="W111" s="18"/>
      <c r="X111" s="18"/>
      <c r="Y111" s="18"/>
      <c r="Z111" s="18"/>
      <c r="AA111" s="18" t="str">
        <f>"118.40"</f>
        <v>118.40</v>
      </c>
      <c r="AB111" s="18"/>
      <c r="AC111" s="18"/>
      <c r="AD111" s="18"/>
      <c r="AE111" s="18"/>
      <c r="AF111" s="18" t="str">
        <f>"113.76"</f>
        <v>113.76</v>
      </c>
      <c r="AG111" s="18"/>
      <c r="AH111" s="18"/>
      <c r="AI111" s="18"/>
    </row>
    <row r="112" spans="1:35">
      <c r="A112" s="14">
        <v>110</v>
      </c>
      <c r="B112" s="14">
        <v>11053</v>
      </c>
      <c r="C112" s="14" t="s">
        <v>203</v>
      </c>
      <c r="D112" s="14" t="s">
        <v>127</v>
      </c>
      <c r="E112" s="15" t="str">
        <f>"97.14"</f>
        <v>97.14</v>
      </c>
      <c r="F112" s="15"/>
      <c r="G112" s="16" t="str">
        <f>"97.14"</f>
        <v>97.14</v>
      </c>
      <c r="H112" s="17"/>
      <c r="I112" s="18">
        <v>5</v>
      </c>
      <c r="J112" s="18">
        <v>2016</v>
      </c>
      <c r="K112" s="18"/>
      <c r="L112" s="18" t="str">
        <f>"125.01"</f>
        <v>125.01</v>
      </c>
      <c r="M112" s="18"/>
      <c r="N112" s="18" t="str">
        <f>"119.51"</f>
        <v>119.51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 t="str">
        <f>"74.77"</f>
        <v>74.77</v>
      </c>
      <c r="AH112" s="18"/>
      <c r="AI112" s="18"/>
    </row>
    <row r="113" spans="1:35">
      <c r="A113" s="14">
        <v>111</v>
      </c>
      <c r="B113" s="14">
        <v>7844</v>
      </c>
      <c r="C113" s="14" t="s">
        <v>204</v>
      </c>
      <c r="D113" s="14" t="s">
        <v>98</v>
      </c>
      <c r="E113" s="15" t="str">
        <f>"97.27"</f>
        <v>97.27</v>
      </c>
      <c r="F113" s="15"/>
      <c r="G113" s="16" t="str">
        <f>"97.27"</f>
        <v>97.27</v>
      </c>
      <c r="H113" s="17" t="s">
        <v>78</v>
      </c>
      <c r="I113" s="18">
        <v>3</v>
      </c>
      <c r="J113" s="18">
        <v>2016</v>
      </c>
      <c r="K113" s="18" t="str">
        <f>"219.08"</f>
        <v>219.08</v>
      </c>
      <c r="L113" s="18"/>
      <c r="M113" s="18"/>
      <c r="N113" s="18"/>
      <c r="O113" s="18"/>
      <c r="P113" s="18"/>
      <c r="Q113" s="18" t="str">
        <f>"57.50"</f>
        <v>57.50</v>
      </c>
      <c r="R113" s="18"/>
      <c r="S113" s="18"/>
      <c r="T113" s="18"/>
      <c r="U113" s="18"/>
      <c r="V113" s="18"/>
      <c r="W113" s="18"/>
      <c r="X113" s="18"/>
      <c r="Y113" s="18"/>
      <c r="Z113" s="18" t="str">
        <f>"137.03"</f>
        <v>137.03</v>
      </c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>
      <c r="A114" s="14">
        <v>112</v>
      </c>
      <c r="B114" s="14">
        <v>2541</v>
      </c>
      <c r="C114" s="14" t="s">
        <v>205</v>
      </c>
      <c r="D114" s="14" t="s">
        <v>39</v>
      </c>
      <c r="E114" s="15" t="str">
        <f>"76.99"</f>
        <v>76.99</v>
      </c>
      <c r="F114" s="15"/>
      <c r="G114" s="16" t="str">
        <f>"97.86"</f>
        <v>97.86</v>
      </c>
      <c r="H114" s="17" t="s">
        <v>54</v>
      </c>
      <c r="I114" s="18">
        <v>2</v>
      </c>
      <c r="J114" s="18">
        <v>2016</v>
      </c>
      <c r="K114" s="18" t="str">
        <f>"86.01"</f>
        <v>86.01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 t="str">
        <f>"67.96"</f>
        <v>67.96</v>
      </c>
      <c r="AI114" s="18"/>
    </row>
    <row r="115" spans="1:35">
      <c r="A115" s="14">
        <v>113</v>
      </c>
      <c r="B115" s="14">
        <v>3630</v>
      </c>
      <c r="C115" s="14" t="s">
        <v>206</v>
      </c>
      <c r="D115" s="14" t="s">
        <v>39</v>
      </c>
      <c r="E115" s="15" t="str">
        <f>"77.22"</f>
        <v>77.22</v>
      </c>
      <c r="F115" s="15"/>
      <c r="G115" s="16" t="str">
        <f>"98.40"</f>
        <v>98.40</v>
      </c>
      <c r="H115" s="17" t="s">
        <v>54</v>
      </c>
      <c r="I115" s="18">
        <v>2</v>
      </c>
      <c r="J115" s="18">
        <v>2016</v>
      </c>
      <c r="K115" s="18" t="str">
        <f>"86.11"</f>
        <v>86.11</v>
      </c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 t="str">
        <f>"68.33"</f>
        <v>68.33</v>
      </c>
      <c r="AB115" s="18"/>
      <c r="AC115" s="18"/>
      <c r="AD115" s="18"/>
      <c r="AE115" s="18"/>
      <c r="AF115" s="18"/>
      <c r="AG115" s="18"/>
      <c r="AH115" s="18"/>
      <c r="AI115" s="18"/>
    </row>
    <row r="116" spans="1:35">
      <c r="A116" s="14">
        <v>114</v>
      </c>
      <c r="B116" s="14">
        <v>3192</v>
      </c>
      <c r="C116" s="14" t="s">
        <v>207</v>
      </c>
      <c r="D116" s="14" t="s">
        <v>76</v>
      </c>
      <c r="E116" s="15" t="str">
        <f>"98.41"</f>
        <v>98.41</v>
      </c>
      <c r="F116" s="15"/>
      <c r="G116" s="16" t="str">
        <f>"98.41"</f>
        <v>98.41</v>
      </c>
      <c r="H116" s="17"/>
      <c r="I116" s="18">
        <v>3</v>
      </c>
      <c r="J116" s="18">
        <v>2016</v>
      </c>
      <c r="K116" s="18" t="str">
        <f>"128.74"</f>
        <v>128.74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 t="str">
        <f>"109.28"</f>
        <v>109.28</v>
      </c>
      <c r="Z116" s="18"/>
      <c r="AA116" s="18"/>
      <c r="AB116" s="18"/>
      <c r="AC116" s="18"/>
      <c r="AD116" s="18" t="str">
        <f>"87.54"</f>
        <v>87.54</v>
      </c>
      <c r="AE116" s="18"/>
      <c r="AF116" s="18"/>
      <c r="AG116" s="18"/>
      <c r="AH116" s="18"/>
      <c r="AI116" s="18"/>
    </row>
    <row r="117" spans="1:35">
      <c r="A117" s="14">
        <v>115</v>
      </c>
      <c r="B117" s="14">
        <v>10669</v>
      </c>
      <c r="C117" s="14" t="s">
        <v>208</v>
      </c>
      <c r="D117" s="14" t="s">
        <v>39</v>
      </c>
      <c r="E117" s="15" t="str">
        <f>"79.13"</f>
        <v>79.13</v>
      </c>
      <c r="F117" s="15"/>
      <c r="G117" s="16">
        <v>98.54</v>
      </c>
      <c r="H117" s="17" t="s">
        <v>78</v>
      </c>
      <c r="I117" s="18">
        <v>3</v>
      </c>
      <c r="J117" s="18">
        <v>2016</v>
      </c>
      <c r="K117" s="18" t="str">
        <f>"79.13"</f>
        <v>79.13</v>
      </c>
      <c r="L117" s="18" t="str">
        <f>"126.80"</f>
        <v>126.80</v>
      </c>
      <c r="M117" s="18"/>
      <c r="N117" s="18" t="str">
        <f>"97.15"</f>
        <v>97.15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>
      <c r="A118" s="14">
        <v>116</v>
      </c>
      <c r="B118" s="14">
        <v>10682</v>
      </c>
      <c r="C118" s="14" t="s">
        <v>209</v>
      </c>
      <c r="D118" s="14" t="s">
        <v>210</v>
      </c>
      <c r="E118" s="15" t="str">
        <f>"95.29"</f>
        <v>95.29</v>
      </c>
      <c r="F118" s="15"/>
      <c r="G118" s="16" t="str">
        <f>"98.78"</f>
        <v>98.78</v>
      </c>
      <c r="H118" s="17"/>
      <c r="I118" s="18">
        <v>3</v>
      </c>
      <c r="J118" s="18">
        <v>2016</v>
      </c>
      <c r="K118" s="18" t="str">
        <f>"110.65"</f>
        <v>110.65</v>
      </c>
      <c r="L118" s="18" t="str">
        <f>"117.63"</f>
        <v>117.63</v>
      </c>
      <c r="M118" s="18"/>
      <c r="N118" s="18" t="str">
        <f>"79.93"</f>
        <v>79.93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>
      <c r="A119" s="14">
        <v>117</v>
      </c>
      <c r="B119" s="14">
        <v>2491</v>
      </c>
      <c r="C119" s="14" t="s">
        <v>211</v>
      </c>
      <c r="D119" s="14" t="s">
        <v>184</v>
      </c>
      <c r="E119" s="15" t="str">
        <f>"71.87"</f>
        <v>71.87</v>
      </c>
      <c r="F119" s="15"/>
      <c r="G119" s="16" t="str">
        <f>"99.09"</f>
        <v>99.09</v>
      </c>
      <c r="H119" s="17"/>
      <c r="I119" s="18">
        <v>3</v>
      </c>
      <c r="J119" s="18">
        <v>2016</v>
      </c>
      <c r="K119" s="18" t="str">
        <f>"71.87"</f>
        <v>71.87</v>
      </c>
      <c r="L119" s="18"/>
      <c r="M119" s="18" t="str">
        <f>"141.33"</f>
        <v>141.33</v>
      </c>
      <c r="N119" s="18"/>
      <c r="O119" s="18" t="str">
        <f>"137.96"</f>
        <v>137.96</v>
      </c>
      <c r="P119" s="18"/>
      <c r="Q119" s="18"/>
      <c r="R119" s="18"/>
      <c r="S119" s="18"/>
      <c r="T119" s="18"/>
      <c r="U119" s="18"/>
      <c r="V119" s="18" t="str">
        <f>"90.63"</f>
        <v>90.63</v>
      </c>
      <c r="W119" s="18"/>
      <c r="X119" s="18"/>
      <c r="Y119" s="18"/>
      <c r="Z119" s="18"/>
      <c r="AA119" s="18" t="str">
        <f>"162.66"</f>
        <v>162.66</v>
      </c>
      <c r="AB119" s="18"/>
      <c r="AC119" s="18"/>
      <c r="AD119" s="18"/>
      <c r="AE119" s="18" t="str">
        <f>"108.38"</f>
        <v>108.38</v>
      </c>
      <c r="AF119" s="18" t="str">
        <f>"119.41"</f>
        <v>119.41</v>
      </c>
      <c r="AG119" s="18" t="str">
        <f>"124.96"</f>
        <v>124.96</v>
      </c>
      <c r="AH119" s="18" t="str">
        <f>"107.55"</f>
        <v>107.55</v>
      </c>
      <c r="AI119" s="18"/>
    </row>
    <row r="120" spans="1:35">
      <c r="A120" s="14">
        <v>118</v>
      </c>
      <c r="B120" s="14">
        <v>3987</v>
      </c>
      <c r="C120" s="14" t="s">
        <v>212</v>
      </c>
      <c r="D120" s="14" t="s">
        <v>213</v>
      </c>
      <c r="E120" s="15" t="str">
        <f>"78.80"</f>
        <v>78.80</v>
      </c>
      <c r="F120" s="15"/>
      <c r="G120" s="16" t="str">
        <f>"99.93"</f>
        <v>99.93</v>
      </c>
      <c r="H120" s="17"/>
      <c r="I120" s="18">
        <v>3</v>
      </c>
      <c r="J120" s="18">
        <v>2016</v>
      </c>
      <c r="K120" s="18" t="str">
        <f>"78.80"</f>
        <v>78.80</v>
      </c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 t="str">
        <f>"137.78"</f>
        <v>137.78</v>
      </c>
      <c r="AB120" s="18"/>
      <c r="AC120" s="18"/>
      <c r="AD120" s="18"/>
      <c r="AE120" s="18"/>
      <c r="AF120" s="18" t="str">
        <f>"115.89"</f>
        <v>115.89</v>
      </c>
      <c r="AG120" s="18" t="str">
        <f>"83.97"</f>
        <v>83.97</v>
      </c>
      <c r="AH120" s="18"/>
      <c r="AI120" s="18"/>
    </row>
    <row r="121" spans="1:35">
      <c r="A121" s="14">
        <v>119</v>
      </c>
      <c r="B121" s="14">
        <v>10950</v>
      </c>
      <c r="C121" s="14" t="s">
        <v>214</v>
      </c>
      <c r="D121" s="14" t="s">
        <v>215</v>
      </c>
      <c r="E121" s="15" t="str">
        <f>"100.23"</f>
        <v>100.23</v>
      </c>
      <c r="F121" s="15"/>
      <c r="G121" s="16" t="str">
        <f>"100.23"</f>
        <v>100.23</v>
      </c>
      <c r="H121" s="17"/>
      <c r="I121" s="18">
        <v>5</v>
      </c>
      <c r="J121" s="18">
        <v>2016</v>
      </c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 t="str">
        <f>"87.36"</f>
        <v>87.36</v>
      </c>
      <c r="W121" s="18"/>
      <c r="X121" s="18"/>
      <c r="Y121" s="18"/>
      <c r="Z121" s="18"/>
      <c r="AA121" s="18"/>
      <c r="AB121" s="18"/>
      <c r="AC121" s="18"/>
      <c r="AD121" s="18"/>
      <c r="AE121" s="18"/>
      <c r="AF121" s="18" t="str">
        <f>"129.85"</f>
        <v>129.85</v>
      </c>
      <c r="AG121" s="18" t="str">
        <f>"148.18"</f>
        <v>148.18</v>
      </c>
      <c r="AH121" s="18" t="str">
        <f>"113.10"</f>
        <v>113.10</v>
      </c>
      <c r="AI121" s="18"/>
    </row>
    <row r="122" spans="1:35">
      <c r="A122" s="14">
        <v>120</v>
      </c>
      <c r="B122" s="14">
        <v>4218</v>
      </c>
      <c r="C122" s="14" t="s">
        <v>216</v>
      </c>
      <c r="D122" s="14" t="s">
        <v>39</v>
      </c>
      <c r="E122" s="15" t="str">
        <f>"73.50"</f>
        <v>73.50</v>
      </c>
      <c r="F122" s="15"/>
      <c r="G122" s="16" t="str">
        <f>"100.27"</f>
        <v>100.27</v>
      </c>
      <c r="H122" s="17" t="s">
        <v>54</v>
      </c>
      <c r="I122" s="18">
        <v>2</v>
      </c>
      <c r="J122" s="18">
        <v>2016</v>
      </c>
      <c r="K122" s="18" t="str">
        <f>"77.36"</f>
        <v>77.36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 t="str">
        <f>"69.63"</f>
        <v>69.63</v>
      </c>
      <c r="AI122" s="18"/>
    </row>
    <row r="123" spans="1:35">
      <c r="A123" s="14">
        <v>121</v>
      </c>
      <c r="B123" s="14">
        <v>6131</v>
      </c>
      <c r="C123" s="14" t="s">
        <v>217</v>
      </c>
      <c r="D123" s="14" t="s">
        <v>98</v>
      </c>
      <c r="E123" s="15" t="str">
        <f>"100.29"</f>
        <v>100.29</v>
      </c>
      <c r="F123" s="15"/>
      <c r="G123" s="16" t="str">
        <f>"100.29"</f>
        <v>100.29</v>
      </c>
      <c r="H123" s="17"/>
      <c r="I123" s="18">
        <v>3</v>
      </c>
      <c r="J123" s="18">
        <v>2016</v>
      </c>
      <c r="K123" s="18" t="str">
        <f>"123.98"</f>
        <v>123.98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 t="str">
        <f>"110.97"</f>
        <v>110.97</v>
      </c>
      <c r="AA123" s="18"/>
      <c r="AB123" s="18"/>
      <c r="AC123" s="18"/>
      <c r="AD123" s="18"/>
      <c r="AE123" s="18"/>
      <c r="AF123" s="18"/>
      <c r="AG123" s="18"/>
      <c r="AH123" s="18" t="str">
        <f>"89.61"</f>
        <v>89.61</v>
      </c>
      <c r="AI123" s="18"/>
    </row>
    <row r="124" spans="1:35">
      <c r="A124" s="14">
        <v>122</v>
      </c>
      <c r="B124" s="14">
        <v>5279</v>
      </c>
      <c r="C124" s="14" t="s">
        <v>218</v>
      </c>
      <c r="D124" s="14" t="s">
        <v>43</v>
      </c>
      <c r="E124" s="15" t="str">
        <f>"70.19"</f>
        <v>70.19</v>
      </c>
      <c r="F124" s="15"/>
      <c r="G124" s="16" t="str">
        <f>"101.07"</f>
        <v>101.07</v>
      </c>
      <c r="H124" s="17" t="s">
        <v>48</v>
      </c>
      <c r="I124" s="18">
        <v>1</v>
      </c>
      <c r="J124" s="18">
        <v>2016</v>
      </c>
      <c r="K124" s="18" t="str">
        <f>"70.19"</f>
        <v>70.19</v>
      </c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>
      <c r="A125" s="14">
        <v>123</v>
      </c>
      <c r="B125" s="14">
        <v>5759</v>
      </c>
      <c r="C125" s="14" t="s">
        <v>219</v>
      </c>
      <c r="D125" s="14" t="s">
        <v>220</v>
      </c>
      <c r="E125" s="15" t="str">
        <f>"80.16"</f>
        <v>80.16</v>
      </c>
      <c r="F125" s="15"/>
      <c r="G125" s="16" t="str">
        <f>"101.10"</f>
        <v>101.10</v>
      </c>
      <c r="H125" s="17"/>
      <c r="I125" s="18">
        <v>3</v>
      </c>
      <c r="J125" s="18">
        <v>2016</v>
      </c>
      <c r="K125" s="18" t="str">
        <f>"85.38"</f>
        <v>85.38</v>
      </c>
      <c r="L125" s="18"/>
      <c r="M125" s="18" t="str">
        <f>"127.26"</f>
        <v>127.26</v>
      </c>
      <c r="N125" s="18"/>
      <c r="O125" s="18" t="str">
        <f>"151.97"</f>
        <v>151.97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 t="str">
        <f>"74.93"</f>
        <v>74.93</v>
      </c>
      <c r="AC125" s="18"/>
      <c r="AD125" s="18"/>
      <c r="AE125" s="18"/>
      <c r="AF125" s="18"/>
      <c r="AG125" s="18"/>
      <c r="AH125" s="18"/>
      <c r="AI125" s="18"/>
    </row>
    <row r="126" spans="1:35">
      <c r="A126" s="14">
        <v>124</v>
      </c>
      <c r="B126" s="14">
        <v>3405</v>
      </c>
      <c r="C126" s="14" t="s">
        <v>221</v>
      </c>
      <c r="D126" s="14" t="s">
        <v>222</v>
      </c>
      <c r="E126" s="15" t="str">
        <f>"69.70"</f>
        <v>69.70</v>
      </c>
      <c r="F126" s="15"/>
      <c r="G126" s="16" t="str">
        <f>"101.16"</f>
        <v>101.16</v>
      </c>
      <c r="H126" s="17"/>
      <c r="I126" s="18">
        <v>3</v>
      </c>
      <c r="J126" s="18">
        <v>2016</v>
      </c>
      <c r="K126" s="18" t="str">
        <f>"69.70"</f>
        <v>69.70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 t="str">
        <f>"110.81"</f>
        <v>110.81</v>
      </c>
      <c r="AB126" s="18"/>
      <c r="AC126" s="18"/>
      <c r="AD126" s="18"/>
      <c r="AE126" s="18"/>
      <c r="AF126" s="18"/>
      <c r="AG126" s="18" t="str">
        <f>"91.50"</f>
        <v>91.50</v>
      </c>
      <c r="AH126" s="18"/>
      <c r="AI126" s="18"/>
    </row>
    <row r="127" spans="1:35">
      <c r="A127" s="14">
        <v>125</v>
      </c>
      <c r="B127" s="14">
        <v>2038</v>
      </c>
      <c r="C127" s="14" t="s">
        <v>223</v>
      </c>
      <c r="D127" s="14" t="s">
        <v>109</v>
      </c>
      <c r="E127" s="15" t="str">
        <f>"95.10"</f>
        <v>95.10</v>
      </c>
      <c r="F127" s="15"/>
      <c r="G127" s="16" t="str">
        <f>"101.77"</f>
        <v>101.77</v>
      </c>
      <c r="H127" s="17"/>
      <c r="I127" s="18">
        <v>3</v>
      </c>
      <c r="J127" s="18">
        <v>2016</v>
      </c>
      <c r="K127" s="18" t="str">
        <f>"102.67"</f>
        <v>102.67</v>
      </c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 t="str">
        <f>"87.53"</f>
        <v>87.53</v>
      </c>
      <c r="W127" s="18"/>
      <c r="X127" s="18"/>
      <c r="Y127" s="18"/>
      <c r="Z127" s="18"/>
      <c r="AA127" s="18"/>
      <c r="AB127" s="18" t="str">
        <f>"116.00"</f>
        <v>116.00</v>
      </c>
      <c r="AC127" s="18"/>
      <c r="AD127" s="18"/>
      <c r="AE127" s="18"/>
      <c r="AF127" s="18"/>
      <c r="AG127" s="18" t="str">
        <f>"130.19"</f>
        <v>130.19</v>
      </c>
      <c r="AH127" s="18" t="str">
        <f>"141.95"</f>
        <v>141.95</v>
      </c>
      <c r="AI127" s="18"/>
    </row>
    <row r="128" spans="1:35">
      <c r="A128" s="14">
        <v>126</v>
      </c>
      <c r="B128" s="14">
        <v>8310</v>
      </c>
      <c r="C128" s="14" t="s">
        <v>224</v>
      </c>
      <c r="D128" s="14" t="s">
        <v>225</v>
      </c>
      <c r="E128" s="15" t="str">
        <f>"76.69"</f>
        <v>76.69</v>
      </c>
      <c r="F128" s="15"/>
      <c r="G128" s="16" t="str">
        <f>"101.82"</f>
        <v>101.82</v>
      </c>
      <c r="H128" s="17"/>
      <c r="I128" s="18">
        <v>3</v>
      </c>
      <c r="J128" s="18">
        <v>2016</v>
      </c>
      <c r="K128" s="18" t="str">
        <f>"76.69"</f>
        <v>76.69</v>
      </c>
      <c r="L128" s="18"/>
      <c r="M128" s="18" t="str">
        <f>"119.32"</f>
        <v>119.32</v>
      </c>
      <c r="N128" s="18"/>
      <c r="O128" s="18" t="str">
        <f>"124.48"</f>
        <v>124.48</v>
      </c>
      <c r="P128" s="18"/>
      <c r="Q128" s="18"/>
      <c r="R128" s="18"/>
      <c r="S128" s="18"/>
      <c r="T128" s="18"/>
      <c r="U128" s="18"/>
      <c r="V128" s="18" t="str">
        <f>"104.85"</f>
        <v>104.85</v>
      </c>
      <c r="W128" s="18"/>
      <c r="X128" s="18"/>
      <c r="Y128" s="18"/>
      <c r="Z128" s="18"/>
      <c r="AA128" s="18"/>
      <c r="AB128" s="18" t="str">
        <f>"98.78"</f>
        <v>98.78</v>
      </c>
      <c r="AC128" s="18"/>
      <c r="AD128" s="18"/>
      <c r="AE128" s="18"/>
      <c r="AF128" s="18"/>
      <c r="AG128" s="18"/>
      <c r="AH128" s="18"/>
      <c r="AI128" s="18"/>
    </row>
    <row r="129" spans="1:35">
      <c r="A129" s="14">
        <v>127</v>
      </c>
      <c r="B129" s="14">
        <v>4454</v>
      </c>
      <c r="C129" s="14" t="s">
        <v>226</v>
      </c>
      <c r="D129" s="14" t="s">
        <v>39</v>
      </c>
      <c r="E129" s="15" t="str">
        <f>"102.08"</f>
        <v>102.08</v>
      </c>
      <c r="F129" s="15"/>
      <c r="G129" s="16" t="str">
        <f>"102.08"</f>
        <v>102.08</v>
      </c>
      <c r="H129" s="17"/>
      <c r="I129" s="18">
        <v>3</v>
      </c>
      <c r="J129" s="18">
        <v>2016</v>
      </c>
      <c r="K129" s="18" t="str">
        <f>"142.25"</f>
        <v>142.25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 t="str">
        <f>"235.67"</f>
        <v>235.67</v>
      </c>
      <c r="AB129" s="18"/>
      <c r="AC129" s="18"/>
      <c r="AD129" s="18"/>
      <c r="AE129" s="18" t="str">
        <f>"116.58"</f>
        <v>116.58</v>
      </c>
      <c r="AF129" s="18"/>
      <c r="AG129" s="18"/>
      <c r="AH129" s="18" t="str">
        <f>"87.57"</f>
        <v>87.57</v>
      </c>
      <c r="AI129" s="18"/>
    </row>
    <row r="130" spans="1:35">
      <c r="A130" s="14">
        <v>128</v>
      </c>
      <c r="B130" s="14">
        <v>1706</v>
      </c>
      <c r="C130" s="14" t="s">
        <v>227</v>
      </c>
      <c r="D130" s="14" t="s">
        <v>76</v>
      </c>
      <c r="E130" s="15" t="str">
        <f>"71.01"</f>
        <v>71.01</v>
      </c>
      <c r="F130" s="15"/>
      <c r="G130" s="16" t="str">
        <f>"102.25"</f>
        <v>102.25</v>
      </c>
      <c r="H130" s="17" t="s">
        <v>48</v>
      </c>
      <c r="I130" s="18">
        <v>1</v>
      </c>
      <c r="J130" s="18">
        <v>2016</v>
      </c>
      <c r="K130" s="18" t="str">
        <f>"71.01"</f>
        <v>71.01</v>
      </c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>
      <c r="A131" s="14">
        <v>129</v>
      </c>
      <c r="B131" s="14">
        <v>8490</v>
      </c>
      <c r="C131" s="14" t="s">
        <v>228</v>
      </c>
      <c r="D131" s="14" t="s">
        <v>76</v>
      </c>
      <c r="E131" s="15" t="str">
        <f>"102.34"</f>
        <v>102.34</v>
      </c>
      <c r="F131" s="15"/>
      <c r="G131" s="16" t="str">
        <f>"102.34"</f>
        <v>102.34</v>
      </c>
      <c r="H131" s="17"/>
      <c r="I131" s="18">
        <v>3</v>
      </c>
      <c r="J131" s="18">
        <v>2016</v>
      </c>
      <c r="K131" s="18" t="str">
        <f>"107.32"</f>
        <v>107.32</v>
      </c>
      <c r="L131" s="18" t="str">
        <f>"138.51"</f>
        <v>138.51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 t="str">
        <f>"132.97"</f>
        <v>132.97</v>
      </c>
      <c r="W131" s="18"/>
      <c r="X131" s="18"/>
      <c r="Y131" s="18" t="str">
        <f>"136.92"</f>
        <v>136.92</v>
      </c>
      <c r="Z131" s="18"/>
      <c r="AA131" s="18" t="str">
        <f>"138.59"</f>
        <v>138.59</v>
      </c>
      <c r="AB131" s="18"/>
      <c r="AC131" s="18"/>
      <c r="AD131" s="18" t="str">
        <f>"123.90"</f>
        <v>123.90</v>
      </c>
      <c r="AE131" s="18"/>
      <c r="AF131" s="18"/>
      <c r="AG131" s="18" t="str">
        <f>"100.08"</f>
        <v>100.08</v>
      </c>
      <c r="AH131" s="18" t="str">
        <f>"104.59"</f>
        <v>104.59</v>
      </c>
      <c r="AI131" s="18"/>
    </row>
    <row r="132" spans="1:35">
      <c r="A132" s="14">
        <v>130</v>
      </c>
      <c r="B132" s="14">
        <v>7050</v>
      </c>
      <c r="C132" s="14" t="s">
        <v>229</v>
      </c>
      <c r="D132" s="14" t="s">
        <v>139</v>
      </c>
      <c r="E132" s="15" t="str">
        <f>"102.35"</f>
        <v>102.35</v>
      </c>
      <c r="F132" s="15"/>
      <c r="G132" s="16" t="str">
        <f>"102.35"</f>
        <v>102.35</v>
      </c>
      <c r="H132" s="17"/>
      <c r="I132" s="18">
        <v>3</v>
      </c>
      <c r="J132" s="18">
        <v>2016</v>
      </c>
      <c r="K132" s="18" t="str">
        <f>"119.03"</f>
        <v>119.03</v>
      </c>
      <c r="L132" s="18"/>
      <c r="M132" s="18" t="str">
        <f>"128.63"</f>
        <v>128.63</v>
      </c>
      <c r="N132" s="18"/>
      <c r="O132" s="18" t="str">
        <f>"94.91"</f>
        <v>94.91</v>
      </c>
      <c r="P132" s="18"/>
      <c r="Q132" s="18"/>
      <c r="R132" s="18"/>
      <c r="S132" s="18"/>
      <c r="T132" s="18"/>
      <c r="U132" s="18"/>
      <c r="V132" s="18" t="str">
        <f>"151.11"</f>
        <v>151.11</v>
      </c>
      <c r="W132" s="18"/>
      <c r="X132" s="18"/>
      <c r="Y132" s="18"/>
      <c r="Z132" s="18"/>
      <c r="AA132" s="18" t="str">
        <f>"194.16"</f>
        <v>194.16</v>
      </c>
      <c r="AB132" s="18"/>
      <c r="AC132" s="18"/>
      <c r="AD132" s="18"/>
      <c r="AE132" s="18" t="str">
        <f>"109.79"</f>
        <v>109.79</v>
      </c>
      <c r="AF132" s="18" t="str">
        <f>"117.60"</f>
        <v>117.60</v>
      </c>
      <c r="AG132" s="18"/>
      <c r="AH132" s="18"/>
      <c r="AI132" s="18"/>
    </row>
    <row r="133" spans="1:35">
      <c r="A133" s="14">
        <v>131</v>
      </c>
      <c r="B133" s="14">
        <v>2573</v>
      </c>
      <c r="C133" s="14" t="s">
        <v>230</v>
      </c>
      <c r="D133" s="14" t="s">
        <v>47</v>
      </c>
      <c r="E133" s="15" t="str">
        <f>"95.93"</f>
        <v>95.93</v>
      </c>
      <c r="F133" s="15"/>
      <c r="G133" s="16" t="str">
        <f>"103.11"</f>
        <v>103.11</v>
      </c>
      <c r="H133" s="17"/>
      <c r="I133" s="18">
        <v>3</v>
      </c>
      <c r="J133" s="18">
        <v>2016</v>
      </c>
      <c r="K133" s="18" t="str">
        <f>"95.93"</f>
        <v>95.93</v>
      </c>
      <c r="L133" s="18" t="str">
        <f>"98.79"</f>
        <v>98.79</v>
      </c>
      <c r="M133" s="18"/>
      <c r="N133" s="18" t="str">
        <f>"107.43"</f>
        <v>107.43</v>
      </c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>
      <c r="A134" s="14">
        <v>132</v>
      </c>
      <c r="B134" s="14">
        <v>2179</v>
      </c>
      <c r="C134" s="14" t="s">
        <v>231</v>
      </c>
      <c r="D134" s="14" t="s">
        <v>232</v>
      </c>
      <c r="E134" s="15" t="str">
        <f>"72.47"</f>
        <v>72.47</v>
      </c>
      <c r="F134" s="15"/>
      <c r="G134" s="16" t="str">
        <f>"103.61"</f>
        <v>103.61</v>
      </c>
      <c r="H134" s="17" t="s">
        <v>54</v>
      </c>
      <c r="I134" s="18">
        <v>2</v>
      </c>
      <c r="J134" s="18">
        <v>2016</v>
      </c>
      <c r="K134" s="18" t="str">
        <f>"72.99"</f>
        <v>72.99</v>
      </c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 t="str">
        <f>"71.95"</f>
        <v>71.95</v>
      </c>
      <c r="AC134" s="18"/>
      <c r="AD134" s="18"/>
      <c r="AE134" s="18"/>
      <c r="AF134" s="18"/>
      <c r="AG134" s="18"/>
      <c r="AH134" s="18"/>
      <c r="AI134" s="18"/>
    </row>
    <row r="135" spans="1:35">
      <c r="A135" s="14">
        <v>133</v>
      </c>
      <c r="B135" s="14">
        <v>2154</v>
      </c>
      <c r="C135" s="14" t="s">
        <v>233</v>
      </c>
      <c r="D135" s="14" t="s">
        <v>76</v>
      </c>
      <c r="E135" s="15" t="str">
        <f>"85.49"</f>
        <v>85.49</v>
      </c>
      <c r="F135" s="15"/>
      <c r="G135" s="16" t="str">
        <f>"104.20"</f>
        <v>104.20</v>
      </c>
      <c r="H135" s="17"/>
      <c r="I135" s="18">
        <v>3</v>
      </c>
      <c r="J135" s="18">
        <v>2016</v>
      </c>
      <c r="K135" s="18" t="str">
        <f>"85.49"</f>
        <v>85.49</v>
      </c>
      <c r="L135" s="18" t="str">
        <f>"113.30"</f>
        <v>113.30</v>
      </c>
      <c r="M135" s="18"/>
      <c r="N135" s="18" t="str">
        <f>"95.10"</f>
        <v>95.10</v>
      </c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 t="str">
        <f>"129.89"</f>
        <v>129.89</v>
      </c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>
      <c r="A136" s="14">
        <v>134</v>
      </c>
      <c r="B136" s="14">
        <v>9392</v>
      </c>
      <c r="C136" s="14" t="s">
        <v>234</v>
      </c>
      <c r="D136" s="14" t="s">
        <v>127</v>
      </c>
      <c r="E136" s="15" t="str">
        <f>"46.32"</f>
        <v>46.32</v>
      </c>
      <c r="F136" s="15"/>
      <c r="G136" s="16" t="str">
        <f>"104.21"</f>
        <v>104.21</v>
      </c>
      <c r="H136" s="17" t="s">
        <v>54</v>
      </c>
      <c r="I136" s="18">
        <v>2</v>
      </c>
      <c r="J136" s="18">
        <v>2016</v>
      </c>
      <c r="K136" s="18" t="str">
        <f>"46.32"</f>
        <v>46.32</v>
      </c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 t="str">
        <f>"72.37"</f>
        <v>72.37</v>
      </c>
      <c r="AB136" s="18"/>
      <c r="AC136" s="18"/>
      <c r="AD136" s="18"/>
      <c r="AE136" s="18"/>
      <c r="AF136" s="18"/>
      <c r="AG136" s="18"/>
      <c r="AH136" s="18"/>
      <c r="AI136" s="18"/>
    </row>
    <row r="137" spans="1:35">
      <c r="A137" s="14">
        <v>135</v>
      </c>
      <c r="B137" s="14">
        <v>6466</v>
      </c>
      <c r="C137" s="14" t="s">
        <v>235</v>
      </c>
      <c r="D137" s="14" t="s">
        <v>165</v>
      </c>
      <c r="E137" s="15" t="str">
        <f>"101.88"</f>
        <v>101.88</v>
      </c>
      <c r="F137" s="15"/>
      <c r="G137" s="16" t="str">
        <f>"104.60"</f>
        <v>104.60</v>
      </c>
      <c r="H137" s="17"/>
      <c r="I137" s="18">
        <v>3</v>
      </c>
      <c r="J137" s="18">
        <v>2016</v>
      </c>
      <c r="K137" s="18" t="str">
        <f>"106.33"</f>
        <v>106.33</v>
      </c>
      <c r="L137" s="18"/>
      <c r="M137" s="18" t="str">
        <f>"121.37"</f>
        <v>121.37</v>
      </c>
      <c r="N137" s="18"/>
      <c r="O137" s="18" t="str">
        <f>"111.77"</f>
        <v>111.77</v>
      </c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 t="str">
        <f>"179.14"</f>
        <v>179.14</v>
      </c>
      <c r="AB137" s="18"/>
      <c r="AC137" s="18"/>
      <c r="AD137" s="18"/>
      <c r="AE137" s="18" t="str">
        <f>"97.43"</f>
        <v>97.43</v>
      </c>
      <c r="AF137" s="18"/>
      <c r="AG137" s="18"/>
      <c r="AH137" s="18"/>
      <c r="AI137" s="18"/>
    </row>
    <row r="138" spans="1:35">
      <c r="A138" s="14">
        <v>136</v>
      </c>
      <c r="B138" s="14">
        <v>10291</v>
      </c>
      <c r="C138" s="14" t="s">
        <v>236</v>
      </c>
      <c r="D138" s="14" t="s">
        <v>76</v>
      </c>
      <c r="E138" s="15" t="str">
        <f>"94.52"</f>
        <v>94.52</v>
      </c>
      <c r="F138" s="15"/>
      <c r="G138" s="16" t="str">
        <f>"105.50"</f>
        <v>105.50</v>
      </c>
      <c r="H138" s="17"/>
      <c r="I138" s="18">
        <v>3</v>
      </c>
      <c r="J138" s="18">
        <v>2016</v>
      </c>
      <c r="K138" s="18" t="str">
        <f>"94.52"</f>
        <v>94.52</v>
      </c>
      <c r="L138" s="18" t="str">
        <f>"103.12"</f>
        <v>103.12</v>
      </c>
      <c r="M138" s="18"/>
      <c r="N138" s="18" t="str">
        <f>"111.80"</f>
        <v>111.80</v>
      </c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 t="str">
        <f>"107.87"</f>
        <v>107.87</v>
      </c>
      <c r="Z138" s="18"/>
      <c r="AA138" s="18" t="str">
        <f>"162.34"</f>
        <v>162.34</v>
      </c>
      <c r="AB138" s="18"/>
      <c r="AC138" s="18"/>
      <c r="AD138" s="18" t="str">
        <f>"109.68"</f>
        <v>109.68</v>
      </c>
      <c r="AE138" s="18"/>
      <c r="AF138" s="18"/>
      <c r="AG138" s="18" t="str">
        <f>"119.95"</f>
        <v>119.95</v>
      </c>
      <c r="AH138" s="18" t="str">
        <f>"159.34"</f>
        <v>159.34</v>
      </c>
      <c r="AI138" s="18"/>
    </row>
    <row r="139" spans="1:35">
      <c r="A139" s="14">
        <v>137</v>
      </c>
      <c r="B139" s="14">
        <v>3139</v>
      </c>
      <c r="C139" s="14" t="s">
        <v>237</v>
      </c>
      <c r="D139" s="14" t="s">
        <v>89</v>
      </c>
      <c r="E139" s="15" t="str">
        <f>"73.73"</f>
        <v>73.73</v>
      </c>
      <c r="F139" s="15"/>
      <c r="G139" s="16" t="str">
        <f>"106.17"</f>
        <v>106.17</v>
      </c>
      <c r="H139" s="17" t="s">
        <v>48</v>
      </c>
      <c r="I139" s="18">
        <v>1</v>
      </c>
      <c r="J139" s="18">
        <v>2016</v>
      </c>
      <c r="K139" s="18" t="str">
        <f>"73.73"</f>
        <v>73.73</v>
      </c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>
      <c r="A140" s="14">
        <v>138</v>
      </c>
      <c r="B140" s="14">
        <v>146</v>
      </c>
      <c r="C140" s="14" t="s">
        <v>238</v>
      </c>
      <c r="D140" s="14" t="s">
        <v>176</v>
      </c>
      <c r="E140" s="15" t="str">
        <f>"92.23"</f>
        <v>92.23</v>
      </c>
      <c r="F140" s="15"/>
      <c r="G140" s="16" t="str">
        <f>"106.88"</f>
        <v>106.88</v>
      </c>
      <c r="H140" s="17"/>
      <c r="I140" s="18">
        <v>3</v>
      </c>
      <c r="J140" s="18">
        <v>2016</v>
      </c>
      <c r="K140" s="18" t="str">
        <f>"92.23"</f>
        <v>92.23</v>
      </c>
      <c r="L140" s="18" t="str">
        <f>"116.61"</f>
        <v>116.61</v>
      </c>
      <c r="M140" s="18"/>
      <c r="N140" s="18" t="str">
        <f>"97.15"</f>
        <v>97.15</v>
      </c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>
      <c r="A141" s="14">
        <v>139</v>
      </c>
      <c r="B141" s="14">
        <v>3368</v>
      </c>
      <c r="C141" s="14" t="s">
        <v>239</v>
      </c>
      <c r="D141" s="14" t="s">
        <v>240</v>
      </c>
      <c r="E141" s="15" t="str">
        <f>"107.04"</f>
        <v>107.04</v>
      </c>
      <c r="F141" s="15"/>
      <c r="G141" s="16" t="str">
        <f>"107.04"</f>
        <v>107.04</v>
      </c>
      <c r="H141" s="17"/>
      <c r="I141" s="18">
        <v>3</v>
      </c>
      <c r="J141" s="18">
        <v>2016</v>
      </c>
      <c r="K141" s="18" t="str">
        <f>"161.93"</f>
        <v>161.93</v>
      </c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 t="str">
        <f>"118.91"</f>
        <v>118.91</v>
      </c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 t="str">
        <f>"95.16"</f>
        <v>95.16</v>
      </c>
      <c r="AI141" s="18"/>
    </row>
    <row r="142" spans="1:35">
      <c r="A142" s="14">
        <v>140</v>
      </c>
      <c r="B142" s="14">
        <v>4286</v>
      </c>
      <c r="C142" s="14" t="s">
        <v>241</v>
      </c>
      <c r="D142" s="14" t="s">
        <v>242</v>
      </c>
      <c r="E142" s="15" t="str">
        <f>"106.07"</f>
        <v>106.07</v>
      </c>
      <c r="F142" s="15"/>
      <c r="G142" s="16" t="str">
        <f>"107.21"</f>
        <v>107.21</v>
      </c>
      <c r="H142" s="17"/>
      <c r="I142" s="18">
        <v>3</v>
      </c>
      <c r="J142" s="18">
        <v>2016</v>
      </c>
      <c r="K142" s="18" t="str">
        <f>"108.43"</f>
        <v>108.43</v>
      </c>
      <c r="L142" s="18"/>
      <c r="M142" s="18" t="str">
        <f>"110.70"</f>
        <v>110.70</v>
      </c>
      <c r="N142" s="18"/>
      <c r="O142" s="18" t="str">
        <f>"123.44"</f>
        <v>123.44</v>
      </c>
      <c r="P142" s="18"/>
      <c r="Q142" s="18"/>
      <c r="R142" s="18"/>
      <c r="S142" s="18"/>
      <c r="T142" s="18"/>
      <c r="U142" s="18"/>
      <c r="V142" s="18" t="str">
        <f>"103.71"</f>
        <v>103.71</v>
      </c>
      <c r="W142" s="18"/>
      <c r="X142" s="18"/>
      <c r="Y142" s="18"/>
      <c r="Z142" s="18"/>
      <c r="AA142" s="18" t="str">
        <f>"152.00"</f>
        <v>152.00</v>
      </c>
      <c r="AB142" s="18"/>
      <c r="AC142" s="18"/>
      <c r="AD142" s="18"/>
      <c r="AE142" s="18"/>
      <c r="AF142" s="18"/>
      <c r="AG142" s="18"/>
      <c r="AH142" s="18"/>
      <c r="AI142" s="18"/>
    </row>
    <row r="143" spans="1:35">
      <c r="A143" s="14">
        <v>141</v>
      </c>
      <c r="B143" s="14">
        <v>1764</v>
      </c>
      <c r="C143" s="14" t="s">
        <v>243</v>
      </c>
      <c r="D143" s="14" t="s">
        <v>244</v>
      </c>
      <c r="E143" s="15" t="str">
        <f>"75.11"</f>
        <v>75.11</v>
      </c>
      <c r="F143" s="15"/>
      <c r="G143" s="16" t="str">
        <f>"108.16"</f>
        <v>108.16</v>
      </c>
      <c r="H143" s="17" t="s">
        <v>48</v>
      </c>
      <c r="I143" s="18">
        <v>1</v>
      </c>
      <c r="J143" s="18">
        <v>2016</v>
      </c>
      <c r="K143" s="18" t="str">
        <f>"75.11"</f>
        <v>75.11</v>
      </c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>
      <c r="A144" s="14">
        <v>142</v>
      </c>
      <c r="B144" s="14">
        <v>3954</v>
      </c>
      <c r="C144" s="14" t="s">
        <v>245</v>
      </c>
      <c r="D144" s="14" t="s">
        <v>62</v>
      </c>
      <c r="E144" s="15" t="str">
        <f>"80.68"</f>
        <v>80.68</v>
      </c>
      <c r="F144" s="15"/>
      <c r="G144" s="16" t="str">
        <f>"108.38"</f>
        <v>108.38</v>
      </c>
      <c r="H144" s="17"/>
      <c r="I144" s="18">
        <v>3</v>
      </c>
      <c r="J144" s="18">
        <v>2016</v>
      </c>
      <c r="K144" s="18" t="str">
        <f>"80.68"</f>
        <v>80.68</v>
      </c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 t="str">
        <f>"89.37"</f>
        <v>89.37</v>
      </c>
      <c r="X144" s="18"/>
      <c r="Y144" s="18"/>
      <c r="Z144" s="18"/>
      <c r="AA144" s="18"/>
      <c r="AB144" s="18" t="str">
        <f>"127.38"</f>
        <v>127.38</v>
      </c>
      <c r="AC144" s="18"/>
      <c r="AD144" s="18"/>
      <c r="AE144" s="18"/>
      <c r="AF144" s="18"/>
      <c r="AG144" s="18"/>
      <c r="AH144" s="18"/>
      <c r="AI144" s="18"/>
    </row>
    <row r="145" spans="1:35">
      <c r="A145" s="14">
        <v>143</v>
      </c>
      <c r="B145" s="14">
        <v>2845</v>
      </c>
      <c r="C145" s="14" t="s">
        <v>246</v>
      </c>
      <c r="D145" s="14" t="s">
        <v>125</v>
      </c>
      <c r="E145" s="15" t="str">
        <f>"108.77"</f>
        <v>108.77</v>
      </c>
      <c r="F145" s="15"/>
      <c r="G145" s="16" t="str">
        <f>"108.77"</f>
        <v>108.77</v>
      </c>
      <c r="H145" s="17"/>
      <c r="I145" s="18">
        <v>3</v>
      </c>
      <c r="J145" s="18">
        <v>2016</v>
      </c>
      <c r="K145" s="18" t="str">
        <f>"116.74"</f>
        <v>116.74</v>
      </c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 t="str">
        <f>"230.02"</f>
        <v>230.02</v>
      </c>
      <c r="AB145" s="18"/>
      <c r="AC145" s="18"/>
      <c r="AD145" s="18"/>
      <c r="AE145" s="18" t="str">
        <f>"132.59"</f>
        <v>132.59</v>
      </c>
      <c r="AF145" s="18" t="str">
        <f>"109.61"</f>
        <v>109.61</v>
      </c>
      <c r="AG145" s="18"/>
      <c r="AH145" s="18" t="str">
        <f>"107.92"</f>
        <v>107.92</v>
      </c>
      <c r="AI145" s="18"/>
    </row>
    <row r="146" spans="1:35">
      <c r="A146" s="14">
        <v>144</v>
      </c>
      <c r="B146" s="14">
        <v>1610</v>
      </c>
      <c r="C146" s="14" t="s">
        <v>247</v>
      </c>
      <c r="D146" s="14" t="s">
        <v>248</v>
      </c>
      <c r="E146" s="15" t="str">
        <f>"82.89"</f>
        <v>82.89</v>
      </c>
      <c r="F146" s="15"/>
      <c r="G146" s="16" t="str">
        <f>"108.83"</f>
        <v>108.83</v>
      </c>
      <c r="H146" s="17"/>
      <c r="I146" s="18">
        <v>3</v>
      </c>
      <c r="J146" s="18">
        <v>2016</v>
      </c>
      <c r="K146" s="18" t="str">
        <f>"82.89"</f>
        <v>82.89</v>
      </c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 t="str">
        <f>"104.20"</f>
        <v>104.20</v>
      </c>
      <c r="W146" s="18"/>
      <c r="X146" s="18"/>
      <c r="Y146" s="18"/>
      <c r="Z146" s="18"/>
      <c r="AA146" s="18" t="str">
        <f>"223.23"</f>
        <v>223.23</v>
      </c>
      <c r="AB146" s="18"/>
      <c r="AC146" s="18"/>
      <c r="AD146" s="18"/>
      <c r="AE146" s="18"/>
      <c r="AF146" s="18"/>
      <c r="AG146" s="18" t="str">
        <f>"113.46"</f>
        <v>113.46</v>
      </c>
      <c r="AH146" s="18"/>
      <c r="AI146" s="18"/>
    </row>
    <row r="147" spans="1:35">
      <c r="A147" s="14">
        <v>145</v>
      </c>
      <c r="B147" s="14">
        <v>1740</v>
      </c>
      <c r="C147" s="14" t="s">
        <v>249</v>
      </c>
      <c r="D147" s="14" t="s">
        <v>114</v>
      </c>
      <c r="E147" s="15" t="str">
        <f>"89.48"</f>
        <v>89.48</v>
      </c>
      <c r="F147" s="15"/>
      <c r="G147" s="16" t="str">
        <f>"109.23"</f>
        <v>109.23</v>
      </c>
      <c r="H147" s="17"/>
      <c r="I147" s="18">
        <v>3</v>
      </c>
      <c r="J147" s="18">
        <v>2016</v>
      </c>
      <c r="K147" s="18" t="str">
        <f>"89.48"</f>
        <v>89.48</v>
      </c>
      <c r="L147" s="18"/>
      <c r="M147" s="18" t="str">
        <f>"109.80"</f>
        <v>109.80</v>
      </c>
      <c r="N147" s="18"/>
      <c r="O147" s="18" t="str">
        <f>"108.66"</f>
        <v>108.66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 t="str">
        <f>"153.61"</f>
        <v>153.61</v>
      </c>
      <c r="AB147" s="18"/>
      <c r="AC147" s="18"/>
      <c r="AD147" s="18"/>
      <c r="AE147" s="18"/>
      <c r="AF147" s="18"/>
      <c r="AG147" s="18"/>
      <c r="AH147" s="18"/>
      <c r="AI147" s="18"/>
    </row>
    <row r="148" spans="1:35">
      <c r="A148" s="14">
        <v>146</v>
      </c>
      <c r="B148" s="14">
        <v>3112</v>
      </c>
      <c r="C148" s="14" t="s">
        <v>250</v>
      </c>
      <c r="D148" s="14" t="s">
        <v>251</v>
      </c>
      <c r="E148" s="15" t="str">
        <f>"89.39"</f>
        <v>89.39</v>
      </c>
      <c r="F148" s="15"/>
      <c r="G148" s="16" t="str">
        <f>"110.04"</f>
        <v>110.04</v>
      </c>
      <c r="H148" s="17" t="s">
        <v>54</v>
      </c>
      <c r="I148" s="18">
        <v>2</v>
      </c>
      <c r="J148" s="18">
        <v>2016</v>
      </c>
      <c r="K148" s="18" t="str">
        <f>"102.35"</f>
        <v>102.35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 t="str">
        <f>"76.42"</f>
        <v>76.42</v>
      </c>
      <c r="AC148" s="18"/>
      <c r="AD148" s="18"/>
      <c r="AE148" s="18"/>
      <c r="AF148" s="18"/>
      <c r="AG148" s="18"/>
      <c r="AH148" s="18"/>
      <c r="AI148" s="18"/>
    </row>
    <row r="149" spans="1:35">
      <c r="A149" s="14">
        <v>147</v>
      </c>
      <c r="B149" s="14">
        <v>7550</v>
      </c>
      <c r="C149" s="14" t="s">
        <v>252</v>
      </c>
      <c r="D149" s="14" t="s">
        <v>56</v>
      </c>
      <c r="E149" s="15" t="str">
        <f>"110.09"</f>
        <v>110.09</v>
      </c>
      <c r="F149" s="15"/>
      <c r="G149" s="16" t="str">
        <f>"110.09"</f>
        <v>110.09</v>
      </c>
      <c r="H149" s="17"/>
      <c r="I149" s="18">
        <v>3</v>
      </c>
      <c r="J149" s="18">
        <v>2016</v>
      </c>
      <c r="K149" s="18" t="str">
        <f>"116.58"</f>
        <v>116.58</v>
      </c>
      <c r="L149" s="18"/>
      <c r="M149" s="18" t="str">
        <f>"110.48"</f>
        <v>110.48</v>
      </c>
      <c r="N149" s="18"/>
      <c r="O149" s="18" t="str">
        <f>"109.70"</f>
        <v>109.70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>
      <c r="A150" s="14">
        <v>148</v>
      </c>
      <c r="B150" s="14">
        <v>7806</v>
      </c>
      <c r="C150" s="14" t="s">
        <v>253</v>
      </c>
      <c r="D150" s="14" t="s">
        <v>162</v>
      </c>
      <c r="E150" s="15" t="str">
        <f>"82.79"</f>
        <v>82.79</v>
      </c>
      <c r="F150" s="15"/>
      <c r="G150" s="16" t="str">
        <f>"110.12"</f>
        <v>110.12</v>
      </c>
      <c r="H150" s="17"/>
      <c r="I150" s="18">
        <v>3</v>
      </c>
      <c r="J150" s="18">
        <v>2016</v>
      </c>
      <c r="K150" s="18" t="str">
        <f>"82.79"</f>
        <v>82.79</v>
      </c>
      <c r="L150" s="18" t="str">
        <f>"146.91"</f>
        <v>146.91</v>
      </c>
      <c r="M150" s="18"/>
      <c r="N150" s="18" t="str">
        <f>"114.11"</f>
        <v>114.11</v>
      </c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 t="str">
        <f>"106.12"</f>
        <v>106.12</v>
      </c>
      <c r="AB150" s="18"/>
      <c r="AC150" s="18"/>
      <c r="AD150" s="18"/>
      <c r="AE150" s="18"/>
      <c r="AF150" s="18"/>
      <c r="AG150" s="18"/>
      <c r="AH150" s="18"/>
      <c r="AI150" s="18"/>
    </row>
    <row r="151" spans="1:35">
      <c r="A151" s="14">
        <v>149</v>
      </c>
      <c r="B151" s="14">
        <v>10040</v>
      </c>
      <c r="C151" s="14" t="s">
        <v>254</v>
      </c>
      <c r="D151" s="14" t="s">
        <v>76</v>
      </c>
      <c r="E151" s="15" t="str">
        <f>"111.65"</f>
        <v>111.65</v>
      </c>
      <c r="F151" s="15"/>
      <c r="G151" s="16" t="str">
        <f>"111.65"</f>
        <v>111.65</v>
      </c>
      <c r="H151" s="17"/>
      <c r="I151" s="18">
        <v>3</v>
      </c>
      <c r="J151" s="18">
        <v>2016</v>
      </c>
      <c r="K151" s="18" t="str">
        <f>"153.40"</f>
        <v>153.40</v>
      </c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 t="str">
        <f>"101.14"</f>
        <v>101.14</v>
      </c>
      <c r="Z151" s="18"/>
      <c r="AA151" s="18" t="str">
        <f>"208.21"</f>
        <v>208.21</v>
      </c>
      <c r="AB151" s="18"/>
      <c r="AC151" s="18"/>
      <c r="AD151" s="18" t="str">
        <f>"122.16"</f>
        <v>122.16</v>
      </c>
      <c r="AE151" s="18"/>
      <c r="AF151" s="18"/>
      <c r="AG151" s="18"/>
      <c r="AH151" s="18" t="str">
        <f>"144.91"</f>
        <v>144.91</v>
      </c>
      <c r="AI151" s="18"/>
    </row>
    <row r="152" spans="1:35">
      <c r="A152" s="14">
        <v>150</v>
      </c>
      <c r="B152" s="14">
        <v>11084</v>
      </c>
      <c r="C152" s="14" t="s">
        <v>255</v>
      </c>
      <c r="D152" s="14" t="s">
        <v>256</v>
      </c>
      <c r="E152" s="15" t="str">
        <f>"111.74"</f>
        <v>111.74</v>
      </c>
      <c r="F152" s="15"/>
      <c r="G152" s="16" t="str">
        <f>"111.74"</f>
        <v>111.74</v>
      </c>
      <c r="H152" s="17" t="s">
        <v>54</v>
      </c>
      <c r="I152" s="18">
        <v>4</v>
      </c>
      <c r="J152" s="18">
        <v>2016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 t="str">
        <f>"77.60"</f>
        <v>77.60</v>
      </c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>
      <c r="A153" s="14">
        <v>151</v>
      </c>
      <c r="B153" s="14">
        <v>2519</v>
      </c>
      <c r="C153" s="14" t="s">
        <v>257</v>
      </c>
      <c r="D153" s="14" t="s">
        <v>84</v>
      </c>
      <c r="E153" s="15" t="str">
        <f>"83.74"</f>
        <v>83.74</v>
      </c>
      <c r="F153" s="15"/>
      <c r="G153" s="16" t="str">
        <f>"112.17"</f>
        <v>112.17</v>
      </c>
      <c r="H153" s="17"/>
      <c r="I153" s="18">
        <v>3</v>
      </c>
      <c r="J153" s="18">
        <v>2016</v>
      </c>
      <c r="K153" s="18" t="str">
        <f>"83.74"</f>
        <v>83.74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 t="str">
        <f>"110.03"</f>
        <v>110.03</v>
      </c>
      <c r="AC153" s="18"/>
      <c r="AD153" s="18"/>
      <c r="AE153" s="18"/>
      <c r="AF153" s="18"/>
      <c r="AG153" s="18" t="str">
        <f>"114.30"</f>
        <v>114.30</v>
      </c>
      <c r="AH153" s="18"/>
      <c r="AI153" s="18"/>
    </row>
    <row r="154" spans="1:35">
      <c r="A154" s="14">
        <v>152</v>
      </c>
      <c r="B154" s="14">
        <v>6847</v>
      </c>
      <c r="C154" s="14" t="s">
        <v>258</v>
      </c>
      <c r="D154" s="14" t="s">
        <v>98</v>
      </c>
      <c r="E154" s="15" t="str">
        <f>"110.50"</f>
        <v>110.50</v>
      </c>
      <c r="F154" s="15"/>
      <c r="G154" s="16" t="str">
        <f>"112.20"</f>
        <v>112.20</v>
      </c>
      <c r="H154" s="17"/>
      <c r="I154" s="18">
        <v>3</v>
      </c>
      <c r="J154" s="18">
        <v>2016</v>
      </c>
      <c r="K154" s="18" t="str">
        <f>"117.35"</f>
        <v>117.35</v>
      </c>
      <c r="L154" s="18"/>
      <c r="M154" s="18"/>
      <c r="N154" s="18"/>
      <c r="O154" s="18"/>
      <c r="P154" s="18"/>
      <c r="Q154" s="18" t="str">
        <f>"177.84"</f>
        <v>177.84</v>
      </c>
      <c r="R154" s="18"/>
      <c r="S154" s="18"/>
      <c r="T154" s="18"/>
      <c r="U154" s="18"/>
      <c r="V154" s="18"/>
      <c r="W154" s="18"/>
      <c r="X154" s="18"/>
      <c r="Y154" s="18"/>
      <c r="Z154" s="18" t="str">
        <f>"206.96"</f>
        <v>206.96</v>
      </c>
      <c r="AA154" s="18"/>
      <c r="AB154" s="18"/>
      <c r="AC154" s="18"/>
      <c r="AD154" s="18"/>
      <c r="AE154" s="18" t="str">
        <f>"120.74"</f>
        <v>120.74</v>
      </c>
      <c r="AF154" s="18" t="str">
        <f>"103.65"</f>
        <v>103.65</v>
      </c>
      <c r="AG154" s="18"/>
      <c r="AH154" s="18"/>
      <c r="AI154" s="18"/>
    </row>
    <row r="155" spans="1:35">
      <c r="A155" s="14">
        <v>153</v>
      </c>
      <c r="B155" s="14">
        <v>4951</v>
      </c>
      <c r="C155" s="14" t="s">
        <v>259</v>
      </c>
      <c r="D155" s="14" t="s">
        <v>170</v>
      </c>
      <c r="E155" s="15" t="str">
        <f>"79.75"</f>
        <v>79.75</v>
      </c>
      <c r="F155" s="15"/>
      <c r="G155" s="16" t="str">
        <f>"112.20"</f>
        <v>112.20</v>
      </c>
      <c r="H155" s="17"/>
      <c r="I155" s="18">
        <v>3</v>
      </c>
      <c r="J155" s="18">
        <v>2016</v>
      </c>
      <c r="K155" s="18" t="str">
        <f>"79.75"</f>
        <v>79.75</v>
      </c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 t="str">
        <f>"117.76"</f>
        <v>117.76</v>
      </c>
      <c r="W155" s="18"/>
      <c r="X155" s="18"/>
      <c r="Y155" s="18"/>
      <c r="Z155" s="18"/>
      <c r="AA155" s="18" t="str">
        <f>"136.82"</f>
        <v>136.82</v>
      </c>
      <c r="AB155" s="18"/>
      <c r="AC155" s="18"/>
      <c r="AD155" s="18"/>
      <c r="AE155" s="18"/>
      <c r="AF155" s="18" t="str">
        <f>"106.63"</f>
        <v>106.63</v>
      </c>
      <c r="AG155" s="18"/>
      <c r="AH155" s="18"/>
      <c r="AI155" s="18"/>
    </row>
    <row r="156" spans="1:35">
      <c r="A156" s="14">
        <v>154</v>
      </c>
      <c r="B156" s="14">
        <v>5726</v>
      </c>
      <c r="C156" s="14" t="s">
        <v>260</v>
      </c>
      <c r="D156" s="14" t="s">
        <v>98</v>
      </c>
      <c r="E156" s="15" t="str">
        <f>"112.31"</f>
        <v>112.31</v>
      </c>
      <c r="F156" s="15"/>
      <c r="G156" s="16" t="str">
        <f>"112.31"</f>
        <v>112.31</v>
      </c>
      <c r="H156" s="17"/>
      <c r="I156" s="18">
        <v>3</v>
      </c>
      <c r="J156" s="18">
        <v>2016</v>
      </c>
      <c r="K156" s="18" t="str">
        <f>"140.01"</f>
        <v>140.01</v>
      </c>
      <c r="L156" s="18"/>
      <c r="M156" s="18"/>
      <c r="N156" s="18"/>
      <c r="O156" s="18"/>
      <c r="P156" s="18"/>
      <c r="Q156" s="18" t="str">
        <f>"152.42"</f>
        <v>152.42</v>
      </c>
      <c r="R156" s="18"/>
      <c r="S156" s="18"/>
      <c r="T156" s="18"/>
      <c r="U156" s="18" t="str">
        <f>"142.03"</f>
        <v>142.03</v>
      </c>
      <c r="V156" s="18"/>
      <c r="W156" s="18"/>
      <c r="X156" s="18"/>
      <c r="Y156" s="18"/>
      <c r="Z156" s="18" t="str">
        <f>"115.54"</f>
        <v>115.54</v>
      </c>
      <c r="AA156" s="18"/>
      <c r="AB156" s="18"/>
      <c r="AC156" s="18"/>
      <c r="AD156" s="18"/>
      <c r="AE156" s="18"/>
      <c r="AF156" s="18"/>
      <c r="AG156" s="18" t="str">
        <f>"109.07"</f>
        <v>109.07</v>
      </c>
      <c r="AH156" s="18"/>
      <c r="AI156" s="18"/>
    </row>
    <row r="157" spans="1:35">
      <c r="A157" s="14">
        <v>155</v>
      </c>
      <c r="B157" s="14">
        <v>5252</v>
      </c>
      <c r="C157" s="14" t="s">
        <v>261</v>
      </c>
      <c r="D157" s="14" t="s">
        <v>210</v>
      </c>
      <c r="E157" s="15" t="str">
        <f>"104.96"</f>
        <v>104.96</v>
      </c>
      <c r="F157" s="15"/>
      <c r="G157" s="16" t="str">
        <f>"112.46"</f>
        <v>112.46</v>
      </c>
      <c r="H157" s="17"/>
      <c r="I157" s="18">
        <v>3</v>
      </c>
      <c r="J157" s="18">
        <v>2016</v>
      </c>
      <c r="K157" s="18" t="str">
        <f>"130.88"</f>
        <v>130.88</v>
      </c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 t="str">
        <f>"79.03"</f>
        <v>79.03</v>
      </c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 t="str">
        <f>"145.88"</f>
        <v>145.88</v>
      </c>
      <c r="AH157" s="18"/>
      <c r="AI157" s="18"/>
    </row>
    <row r="158" spans="1:35">
      <c r="A158" s="14">
        <v>156</v>
      </c>
      <c r="B158" s="14">
        <v>9214</v>
      </c>
      <c r="C158" s="14" t="s">
        <v>262</v>
      </c>
      <c r="D158" s="14" t="s">
        <v>186</v>
      </c>
      <c r="E158" s="15" t="str">
        <f>"86.46"</f>
        <v>86.46</v>
      </c>
      <c r="F158" s="15"/>
      <c r="G158" s="16" t="str">
        <f>"113.22"</f>
        <v>113.22</v>
      </c>
      <c r="H158" s="17"/>
      <c r="I158" s="18">
        <v>3</v>
      </c>
      <c r="J158" s="18">
        <v>2016</v>
      </c>
      <c r="K158" s="18" t="str">
        <f>"86.46"</f>
        <v>86.46</v>
      </c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 t="str">
        <f>"105.03"</f>
        <v>105.03</v>
      </c>
      <c r="AF158" s="18"/>
      <c r="AG158" s="18" t="str">
        <f>"121.41"</f>
        <v>121.41</v>
      </c>
      <c r="AH158" s="18"/>
      <c r="AI158" s="18"/>
    </row>
    <row r="159" spans="1:35">
      <c r="A159" s="14">
        <v>157</v>
      </c>
      <c r="B159" s="14">
        <v>7177</v>
      </c>
      <c r="C159" s="14" t="s">
        <v>263</v>
      </c>
      <c r="D159" s="14" t="s">
        <v>112</v>
      </c>
      <c r="E159" s="15" t="str">
        <f>"113.23"</f>
        <v>113.23</v>
      </c>
      <c r="F159" s="15"/>
      <c r="G159" s="16" t="str">
        <f>"113.23"</f>
        <v>113.23</v>
      </c>
      <c r="H159" s="17"/>
      <c r="I159" s="18">
        <v>3</v>
      </c>
      <c r="J159" s="18">
        <v>2016</v>
      </c>
      <c r="K159" s="18" t="str">
        <f>"142.50"</f>
        <v>142.50</v>
      </c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 t="str">
        <f>"129.21"</f>
        <v>129.21</v>
      </c>
      <c r="W159" s="18"/>
      <c r="X159" s="18"/>
      <c r="Y159" s="18"/>
      <c r="Z159" s="18"/>
      <c r="AA159" s="18" t="str">
        <f>"168.15"</f>
        <v>168.15</v>
      </c>
      <c r="AB159" s="18"/>
      <c r="AC159" s="18"/>
      <c r="AD159" s="18"/>
      <c r="AE159" s="18" t="str">
        <f>"151.44"</f>
        <v>151.44</v>
      </c>
      <c r="AF159" s="18" t="str">
        <f>"116.75"</f>
        <v>116.75</v>
      </c>
      <c r="AG159" s="18" t="str">
        <f>"109.70"</f>
        <v>109.70</v>
      </c>
      <c r="AH159" s="18" t="str">
        <f>"126.05"</f>
        <v>126.05</v>
      </c>
      <c r="AI159" s="18"/>
    </row>
    <row r="160" spans="1:35">
      <c r="A160" s="14">
        <v>158</v>
      </c>
      <c r="B160" s="14">
        <v>9095</v>
      </c>
      <c r="C160" s="14" t="s">
        <v>264</v>
      </c>
      <c r="D160" s="14" t="s">
        <v>114</v>
      </c>
      <c r="E160" s="15" t="str">
        <f>"79.11"</f>
        <v>79.11</v>
      </c>
      <c r="F160" s="15"/>
      <c r="G160" s="16" t="str">
        <f>"113.92"</f>
        <v>113.92</v>
      </c>
      <c r="H160" s="17" t="s">
        <v>48</v>
      </c>
      <c r="I160" s="18">
        <v>1</v>
      </c>
      <c r="J160" s="18">
        <v>2016</v>
      </c>
      <c r="K160" s="18" t="str">
        <f>"79.11"</f>
        <v>79.11</v>
      </c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>
      <c r="A161" s="14">
        <v>159</v>
      </c>
      <c r="B161" s="14">
        <v>9224</v>
      </c>
      <c r="C161" s="14" t="s">
        <v>265</v>
      </c>
      <c r="D161" s="14" t="s">
        <v>266</v>
      </c>
      <c r="E161" s="15" t="str">
        <f>"103.90"</f>
        <v>103.90</v>
      </c>
      <c r="F161" s="15"/>
      <c r="G161" s="16" t="str">
        <f>"114.21"</f>
        <v>114.21</v>
      </c>
      <c r="H161" s="17"/>
      <c r="I161" s="18">
        <v>3</v>
      </c>
      <c r="J161" s="18">
        <v>2016</v>
      </c>
      <c r="K161" s="18" t="str">
        <f>"144.78"</f>
        <v>144.78</v>
      </c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 t="str">
        <f>"63.01"</f>
        <v>63.01</v>
      </c>
      <c r="W161" s="18"/>
      <c r="X161" s="18"/>
      <c r="Y161" s="18"/>
      <c r="Z161" s="18"/>
      <c r="AA161" s="18" t="str">
        <f>"165.41"</f>
        <v>165.41</v>
      </c>
      <c r="AB161" s="18"/>
      <c r="AC161" s="18"/>
      <c r="AD161" s="18"/>
      <c r="AE161" s="18"/>
      <c r="AF161" s="18"/>
      <c r="AG161" s="18"/>
      <c r="AH161" s="18"/>
      <c r="AI161" s="18"/>
    </row>
    <row r="162" spans="1:35">
      <c r="A162" s="14">
        <v>160</v>
      </c>
      <c r="B162" s="14">
        <v>2408</v>
      </c>
      <c r="C162" s="14" t="s">
        <v>267</v>
      </c>
      <c r="D162" s="14" t="s">
        <v>76</v>
      </c>
      <c r="E162" s="15" t="str">
        <f>"115.16"</f>
        <v>115.16</v>
      </c>
      <c r="F162" s="15"/>
      <c r="G162" s="16" t="str">
        <f>"115.16"</f>
        <v>115.16</v>
      </c>
      <c r="H162" s="17"/>
      <c r="I162" s="18">
        <v>3</v>
      </c>
      <c r="J162" s="18">
        <v>2016</v>
      </c>
      <c r="K162" s="18" t="str">
        <f>"164.08"</f>
        <v>164.08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18" t="str">
        <f>"142.45"</f>
        <v>142.45</v>
      </c>
      <c r="V162" s="18"/>
      <c r="W162" s="18"/>
      <c r="X162" s="18"/>
      <c r="Y162" s="18" t="str">
        <f>"188.69"</f>
        <v>188.69</v>
      </c>
      <c r="Z162" s="18"/>
      <c r="AA162" s="18"/>
      <c r="AB162" s="18"/>
      <c r="AC162" s="18"/>
      <c r="AD162" s="18" t="str">
        <f>"87.87"</f>
        <v>87.87</v>
      </c>
      <c r="AE162" s="18"/>
      <c r="AF162" s="18"/>
      <c r="AG162" s="18"/>
      <c r="AH162" s="18"/>
      <c r="AI162" s="18"/>
    </row>
    <row r="163" spans="1:35">
      <c r="A163" s="14">
        <v>161</v>
      </c>
      <c r="B163" s="14">
        <v>1820</v>
      </c>
      <c r="C163" s="14" t="s">
        <v>268</v>
      </c>
      <c r="D163" s="14" t="s">
        <v>76</v>
      </c>
      <c r="E163" s="15" t="str">
        <f>"58.98"</f>
        <v>58.98</v>
      </c>
      <c r="F163" s="15"/>
      <c r="G163" s="16" t="str">
        <f>"115.39"</f>
        <v>115.39</v>
      </c>
      <c r="H163" s="17"/>
      <c r="I163" s="18">
        <v>3</v>
      </c>
      <c r="J163" s="18">
        <v>2016</v>
      </c>
      <c r="K163" s="18" t="str">
        <f>"58.98"</f>
        <v>58.98</v>
      </c>
      <c r="L163" s="18" t="str">
        <f>"145.64"</f>
        <v>145.64</v>
      </c>
      <c r="M163" s="18"/>
      <c r="N163" s="18" t="str">
        <f>"108.72"</f>
        <v>108.72</v>
      </c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 t="str">
        <f>"122.05"</f>
        <v>122.05</v>
      </c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>
      <c r="A164" s="14">
        <v>162</v>
      </c>
      <c r="B164" s="14">
        <v>1983</v>
      </c>
      <c r="C164" s="14" t="s">
        <v>269</v>
      </c>
      <c r="D164" s="14" t="s">
        <v>84</v>
      </c>
      <c r="E164" s="15" t="str">
        <f>"85.70"</f>
        <v>85.70</v>
      </c>
      <c r="F164" s="15"/>
      <c r="G164" s="16" t="str">
        <f>"115.48"</f>
        <v>115.48</v>
      </c>
      <c r="H164" s="17"/>
      <c r="I164" s="18">
        <v>3</v>
      </c>
      <c r="J164" s="18">
        <v>2016</v>
      </c>
      <c r="K164" s="18" t="str">
        <f>"100.84"</f>
        <v>100.84</v>
      </c>
      <c r="L164" s="18"/>
      <c r="M164" s="18" t="str">
        <f>"70.55"</f>
        <v>70.55</v>
      </c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 t="str">
        <f>"160.40"</f>
        <v>160.40</v>
      </c>
      <c r="AB164" s="18"/>
      <c r="AC164" s="18"/>
      <c r="AD164" s="18"/>
      <c r="AE164" s="18"/>
      <c r="AF164" s="18"/>
      <c r="AG164" s="18"/>
      <c r="AH164" s="18"/>
      <c r="AI164" s="18"/>
    </row>
    <row r="165" spans="1:35">
      <c r="A165" s="14">
        <v>163</v>
      </c>
      <c r="B165" s="14">
        <v>10278</v>
      </c>
      <c r="C165" s="14" t="s">
        <v>270</v>
      </c>
      <c r="D165" s="14" t="s">
        <v>148</v>
      </c>
      <c r="E165" s="15" t="str">
        <f>"115.63"</f>
        <v>115.63</v>
      </c>
      <c r="F165" s="15"/>
      <c r="G165" s="16" t="str">
        <f>"115.63"</f>
        <v>115.63</v>
      </c>
      <c r="H165" s="17"/>
      <c r="I165" s="18">
        <v>3</v>
      </c>
      <c r="J165" s="18">
        <v>2016</v>
      </c>
      <c r="K165" s="18" t="str">
        <f>"252.74"</f>
        <v>252.74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 t="str">
        <f>"131.49"</f>
        <v>131.49</v>
      </c>
      <c r="W165" s="18"/>
      <c r="X165" s="18"/>
      <c r="Y165" s="18"/>
      <c r="Z165" s="18"/>
      <c r="AA165" s="18"/>
      <c r="AB165" s="18"/>
      <c r="AC165" s="18"/>
      <c r="AD165" s="18"/>
      <c r="AE165" s="18" t="str">
        <f>"99.76"</f>
        <v>99.76</v>
      </c>
      <c r="AF165" s="18" t="str">
        <f>"164.78"</f>
        <v>164.78</v>
      </c>
      <c r="AG165" s="18"/>
      <c r="AH165" s="18"/>
      <c r="AI165" s="18"/>
    </row>
    <row r="166" spans="1:35">
      <c r="A166" s="14">
        <v>164</v>
      </c>
      <c r="B166" s="14">
        <v>10355</v>
      </c>
      <c r="C166" s="14" t="s">
        <v>271</v>
      </c>
      <c r="D166" s="14" t="s">
        <v>272</v>
      </c>
      <c r="E166" s="15" t="str">
        <f>"96.22"</f>
        <v>96.22</v>
      </c>
      <c r="F166" s="15"/>
      <c r="G166" s="16" t="str">
        <f>"116.28"</f>
        <v>116.28</v>
      </c>
      <c r="H166" s="17"/>
      <c r="I166" s="18">
        <v>3</v>
      </c>
      <c r="J166" s="18">
        <v>2016</v>
      </c>
      <c r="K166" s="18" t="str">
        <f>"115.04"</f>
        <v>115.04</v>
      </c>
      <c r="L166" s="18"/>
      <c r="M166" s="18" t="str">
        <f>"155.17"</f>
        <v>155.17</v>
      </c>
      <c r="N166" s="18"/>
      <c r="O166" s="18" t="str">
        <f>"168.56"</f>
        <v>168.56</v>
      </c>
      <c r="P166" s="18"/>
      <c r="Q166" s="18"/>
      <c r="R166" s="18"/>
      <c r="S166" s="18"/>
      <c r="T166" s="18"/>
      <c r="U166" s="18"/>
      <c r="V166" s="18" t="str">
        <f>"77.39"</f>
        <v>77.39</v>
      </c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>
      <c r="A167" s="14">
        <v>165</v>
      </c>
      <c r="B167" s="14">
        <v>8103</v>
      </c>
      <c r="C167" s="14" t="s">
        <v>273</v>
      </c>
      <c r="D167" s="14" t="s">
        <v>274</v>
      </c>
      <c r="E167" s="15" t="str">
        <f>"96.00"</f>
        <v>96.00</v>
      </c>
      <c r="F167" s="15"/>
      <c r="G167" s="16" t="str">
        <f>"116.89"</f>
        <v>116.89</v>
      </c>
      <c r="H167" s="17"/>
      <c r="I167" s="18">
        <v>3</v>
      </c>
      <c r="J167" s="18">
        <v>2016</v>
      </c>
      <c r="K167" s="18" t="str">
        <f>"96.00"</f>
        <v>96.00</v>
      </c>
      <c r="L167" s="18"/>
      <c r="M167" s="18" t="str">
        <f>"183.30"</f>
        <v>183.30</v>
      </c>
      <c r="N167" s="18"/>
      <c r="O167" s="18" t="str">
        <f>"168.82"</f>
        <v>168.82</v>
      </c>
      <c r="P167" s="18"/>
      <c r="Q167" s="18"/>
      <c r="R167" s="18"/>
      <c r="S167" s="18"/>
      <c r="T167" s="18"/>
      <c r="U167" s="18"/>
      <c r="V167" s="18" t="str">
        <f>"142.44"</f>
        <v>142.44</v>
      </c>
      <c r="W167" s="18"/>
      <c r="X167" s="18"/>
      <c r="Y167" s="18"/>
      <c r="Z167" s="18"/>
      <c r="AA167" s="18" t="str">
        <f>"186.41"</f>
        <v>186.41</v>
      </c>
      <c r="AB167" s="18"/>
      <c r="AC167" s="18"/>
      <c r="AD167" s="18"/>
      <c r="AE167" s="18"/>
      <c r="AF167" s="18" t="str">
        <f>"117.81"</f>
        <v>117.81</v>
      </c>
      <c r="AG167" s="18" t="str">
        <f>"115.97"</f>
        <v>115.97</v>
      </c>
      <c r="AH167" s="18"/>
      <c r="AI167" s="18"/>
    </row>
    <row r="168" spans="1:35">
      <c r="A168" s="14">
        <v>166</v>
      </c>
      <c r="B168" s="14">
        <v>600</v>
      </c>
      <c r="C168" s="14" t="s">
        <v>275</v>
      </c>
      <c r="D168" s="14" t="s">
        <v>276</v>
      </c>
      <c r="E168" s="15" t="str">
        <f>"87.86"</f>
        <v>87.86</v>
      </c>
      <c r="F168" s="15"/>
      <c r="G168" s="16" t="str">
        <f>"117.13"</f>
        <v>117.13</v>
      </c>
      <c r="H168" s="17"/>
      <c r="I168" s="18">
        <v>3</v>
      </c>
      <c r="J168" s="18">
        <v>2016</v>
      </c>
      <c r="K168" s="18" t="str">
        <f>"87.92"</f>
        <v>87.92</v>
      </c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 t="str">
        <f>"87.80"</f>
        <v>87.80</v>
      </c>
      <c r="AF168" s="18" t="str">
        <f>"146.46"</f>
        <v>146.46</v>
      </c>
      <c r="AG168" s="18"/>
      <c r="AH168" s="18"/>
      <c r="AI168" s="18"/>
    </row>
    <row r="169" spans="1:35">
      <c r="A169" s="14">
        <v>167</v>
      </c>
      <c r="B169" s="14">
        <v>1226</v>
      </c>
      <c r="C169" s="14" t="s">
        <v>277</v>
      </c>
      <c r="D169" s="14" t="s">
        <v>112</v>
      </c>
      <c r="E169" s="15" t="str">
        <f>"96.29"</f>
        <v>96.29</v>
      </c>
      <c r="F169" s="15"/>
      <c r="G169" s="16" t="str">
        <f>"117.89"</f>
        <v>117.89</v>
      </c>
      <c r="H169" s="17"/>
      <c r="I169" s="18">
        <v>3</v>
      </c>
      <c r="J169" s="18">
        <v>2016</v>
      </c>
      <c r="K169" s="18" t="str">
        <f>"108.14"</f>
        <v>108.14</v>
      </c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 t="str">
        <f>"151.35"</f>
        <v>151.35</v>
      </c>
      <c r="AB169" s="18"/>
      <c r="AC169" s="18"/>
      <c r="AD169" s="18"/>
      <c r="AE169" s="18"/>
      <c r="AF169" s="18"/>
      <c r="AG169" s="18"/>
      <c r="AH169" s="18" t="str">
        <f>"84.43"</f>
        <v>84.43</v>
      </c>
      <c r="AI169" s="18"/>
    </row>
    <row r="170" spans="1:35">
      <c r="A170" s="14">
        <v>168</v>
      </c>
      <c r="B170" s="14">
        <v>7210</v>
      </c>
      <c r="C170" s="14" t="s">
        <v>278</v>
      </c>
      <c r="D170" s="14" t="s">
        <v>279</v>
      </c>
      <c r="E170" s="15" t="str">
        <f>"97.27"</f>
        <v>97.27</v>
      </c>
      <c r="F170" s="15"/>
      <c r="G170" s="16" t="str">
        <f>"118.12"</f>
        <v>118.12</v>
      </c>
      <c r="H170" s="17"/>
      <c r="I170" s="18">
        <v>3</v>
      </c>
      <c r="J170" s="18">
        <v>2016</v>
      </c>
      <c r="K170" s="18" t="str">
        <f>"97.27"</f>
        <v>97.27</v>
      </c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 t="str">
        <f>"107.09"</f>
        <v>107.09</v>
      </c>
      <c r="AB170" s="18"/>
      <c r="AC170" s="18"/>
      <c r="AD170" s="18"/>
      <c r="AE170" s="18"/>
      <c r="AF170" s="18"/>
      <c r="AG170" s="18" t="str">
        <f>"129.15"</f>
        <v>129.15</v>
      </c>
      <c r="AH170" s="18"/>
      <c r="AI170" s="18"/>
    </row>
    <row r="171" spans="1:35">
      <c r="A171" s="14">
        <v>169</v>
      </c>
      <c r="B171" s="14">
        <v>3623</v>
      </c>
      <c r="C171" s="14" t="s">
        <v>280</v>
      </c>
      <c r="D171" s="14" t="s">
        <v>170</v>
      </c>
      <c r="E171" s="15" t="str">
        <f>"83.23"</f>
        <v>83.23</v>
      </c>
      <c r="F171" s="15"/>
      <c r="G171" s="16" t="str">
        <f>"118.43"</f>
        <v>118.43</v>
      </c>
      <c r="H171" s="17" t="s">
        <v>54</v>
      </c>
      <c r="I171" s="18">
        <v>2</v>
      </c>
      <c r="J171" s="18">
        <v>2016</v>
      </c>
      <c r="K171" s="18" t="str">
        <f>"84.21"</f>
        <v>84.21</v>
      </c>
      <c r="L171" s="18"/>
      <c r="M171" s="18"/>
      <c r="N171" s="18" t="str">
        <f>"82.24"</f>
        <v>82.24</v>
      </c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>
      <c r="A172" s="14">
        <v>170</v>
      </c>
      <c r="B172" s="14">
        <v>412</v>
      </c>
      <c r="C172" s="14" t="s">
        <v>281</v>
      </c>
      <c r="D172" s="14" t="s">
        <v>282</v>
      </c>
      <c r="E172" s="15" t="str">
        <f>"118.63"</f>
        <v>118.63</v>
      </c>
      <c r="F172" s="15"/>
      <c r="G172" s="16" t="str">
        <f>"118.63"</f>
        <v>118.63</v>
      </c>
      <c r="H172" s="17"/>
      <c r="I172" s="18">
        <v>3</v>
      </c>
      <c r="J172" s="18">
        <v>2016</v>
      </c>
      <c r="K172" s="18" t="str">
        <f>"125.49"</f>
        <v>125.49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 t="str">
        <f>"150.45"</f>
        <v>150.45</v>
      </c>
      <c r="W172" s="18"/>
      <c r="X172" s="18"/>
      <c r="Y172" s="18"/>
      <c r="Z172" s="18"/>
      <c r="AA172" s="18" t="str">
        <f>"214.51"</f>
        <v>214.51</v>
      </c>
      <c r="AB172" s="18"/>
      <c r="AC172" s="18"/>
      <c r="AD172" s="18"/>
      <c r="AE172" s="18"/>
      <c r="AF172" s="18" t="str">
        <f>"118.77"</f>
        <v>118.77</v>
      </c>
      <c r="AG172" s="18" t="str">
        <f>"118.48"</f>
        <v>118.48</v>
      </c>
      <c r="AH172" s="18" t="str">
        <f>"160.27"</f>
        <v>160.27</v>
      </c>
      <c r="AI172" s="18"/>
    </row>
    <row r="173" spans="1:35">
      <c r="A173" s="14">
        <v>171</v>
      </c>
      <c r="B173" s="14">
        <v>6310</v>
      </c>
      <c r="C173" s="14" t="s">
        <v>283</v>
      </c>
      <c r="D173" s="14" t="s">
        <v>84</v>
      </c>
      <c r="E173" s="15" t="str">
        <f>"82.45"</f>
        <v>82.45</v>
      </c>
      <c r="F173" s="15"/>
      <c r="G173" s="16" t="str">
        <f>"118.73"</f>
        <v>118.73</v>
      </c>
      <c r="H173" s="17" t="s">
        <v>48</v>
      </c>
      <c r="I173" s="18">
        <v>1</v>
      </c>
      <c r="J173" s="18">
        <v>2016</v>
      </c>
      <c r="K173" s="18" t="str">
        <f>"82.45"</f>
        <v>82.45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>
      <c r="A174" s="14">
        <v>172</v>
      </c>
      <c r="B174" s="14">
        <v>8494</v>
      </c>
      <c r="C174" s="14" t="s">
        <v>284</v>
      </c>
      <c r="D174" s="14" t="s">
        <v>76</v>
      </c>
      <c r="E174" s="15" t="str">
        <f>"118.76"</f>
        <v>118.76</v>
      </c>
      <c r="F174" s="15"/>
      <c r="G174" s="16" t="str">
        <f>"118.76"</f>
        <v>118.76</v>
      </c>
      <c r="H174" s="17"/>
      <c r="I174" s="18">
        <v>3</v>
      </c>
      <c r="J174" s="18">
        <v>2016</v>
      </c>
      <c r="K174" s="18" t="str">
        <f>"126.51"</f>
        <v>126.51</v>
      </c>
      <c r="L174" s="18" t="str">
        <f>"151.24"</f>
        <v>151.24</v>
      </c>
      <c r="M174" s="18"/>
      <c r="N174" s="18" t="str">
        <f>"142.39"</f>
        <v>142.39</v>
      </c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 t="str">
        <f>"124.26"</f>
        <v>124.26</v>
      </c>
      <c r="Z174" s="18"/>
      <c r="AA174" s="18" t="str">
        <f>"160.08"</f>
        <v>160.08</v>
      </c>
      <c r="AB174" s="18"/>
      <c r="AC174" s="18"/>
      <c r="AD174" s="18"/>
      <c r="AE174" s="18"/>
      <c r="AF174" s="18"/>
      <c r="AG174" s="18" t="str">
        <f>"113.25"</f>
        <v>113.25</v>
      </c>
      <c r="AH174" s="18" t="str">
        <f>"128.45"</f>
        <v>128.45</v>
      </c>
      <c r="AI174" s="18"/>
    </row>
    <row r="175" spans="1:35">
      <c r="A175" s="14">
        <v>173</v>
      </c>
      <c r="B175" s="14">
        <v>5159</v>
      </c>
      <c r="C175" s="14" t="s">
        <v>285</v>
      </c>
      <c r="D175" s="14" t="s">
        <v>76</v>
      </c>
      <c r="E175" s="15" t="str">
        <f>"81.61"</f>
        <v>81.61</v>
      </c>
      <c r="F175" s="15"/>
      <c r="G175" s="16" t="str">
        <f>"119.23"</f>
        <v>119.23</v>
      </c>
      <c r="H175" s="17"/>
      <c r="I175" s="18">
        <v>3</v>
      </c>
      <c r="J175" s="18">
        <v>2016</v>
      </c>
      <c r="K175" s="18" t="str">
        <f>"81.61"</f>
        <v>81.61</v>
      </c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 t="str">
        <f>"123.86"</f>
        <v>123.86</v>
      </c>
      <c r="Z175" s="18"/>
      <c r="AA175" s="18"/>
      <c r="AB175" s="18"/>
      <c r="AC175" s="18" t="str">
        <f>"114.59"</f>
        <v>114.59</v>
      </c>
      <c r="AD175" s="18" t="str">
        <f>"137.14"</f>
        <v>137.14</v>
      </c>
      <c r="AE175" s="18"/>
      <c r="AF175" s="18"/>
      <c r="AG175" s="18"/>
      <c r="AH175" s="18"/>
      <c r="AI175" s="18"/>
    </row>
    <row r="176" spans="1:35">
      <c r="A176" s="14">
        <v>174</v>
      </c>
      <c r="B176" s="14">
        <v>9685</v>
      </c>
      <c r="C176" s="14" t="s">
        <v>286</v>
      </c>
      <c r="D176" s="14" t="s">
        <v>148</v>
      </c>
      <c r="E176" s="15" t="str">
        <f>"57.42"</f>
        <v>57.42</v>
      </c>
      <c r="F176" s="15"/>
      <c r="G176" s="16" t="str">
        <f>"119.33"</f>
        <v>119.33</v>
      </c>
      <c r="H176" s="17"/>
      <c r="I176" s="18">
        <v>3</v>
      </c>
      <c r="J176" s="18">
        <v>2016</v>
      </c>
      <c r="K176" s="18" t="str">
        <f>"57.42"</f>
        <v>57.42</v>
      </c>
      <c r="L176" s="18"/>
      <c r="M176" s="18" t="str">
        <f>"127.04"</f>
        <v>127.04</v>
      </c>
      <c r="N176" s="18"/>
      <c r="O176" s="18" t="str">
        <f>"165.71"</f>
        <v>165.71</v>
      </c>
      <c r="P176" s="18"/>
      <c r="Q176" s="18"/>
      <c r="R176" s="18"/>
      <c r="S176" s="18"/>
      <c r="T176" s="18"/>
      <c r="U176" s="18"/>
      <c r="V176" s="18" t="str">
        <f>"149.15"</f>
        <v>149.15</v>
      </c>
      <c r="W176" s="18"/>
      <c r="X176" s="18"/>
      <c r="Y176" s="18"/>
      <c r="Z176" s="18"/>
      <c r="AA176" s="18" t="str">
        <f>"187.21"</f>
        <v>187.21</v>
      </c>
      <c r="AB176" s="18"/>
      <c r="AC176" s="18"/>
      <c r="AD176" s="18"/>
      <c r="AE176" s="18"/>
      <c r="AF176" s="18"/>
      <c r="AG176" s="18" t="str">
        <f>"140.23"</f>
        <v>140.23</v>
      </c>
      <c r="AH176" s="18" t="str">
        <f>"111.62"</f>
        <v>111.62</v>
      </c>
      <c r="AI176" s="18"/>
    </row>
    <row r="177" spans="1:35">
      <c r="A177" s="14">
        <v>175</v>
      </c>
      <c r="B177" s="14">
        <v>2636</v>
      </c>
      <c r="C177" s="14" t="s">
        <v>287</v>
      </c>
      <c r="D177" s="14" t="s">
        <v>112</v>
      </c>
      <c r="E177" s="15" t="str">
        <f>"119.41"</f>
        <v>119.41</v>
      </c>
      <c r="F177" s="15"/>
      <c r="G177" s="16" t="str">
        <f>"119.41"</f>
        <v>119.41</v>
      </c>
      <c r="H177" s="17"/>
      <c r="I177" s="18">
        <v>3</v>
      </c>
      <c r="J177" s="18">
        <v>2016</v>
      </c>
      <c r="K177" s="18" t="str">
        <f>"187.89"</f>
        <v>187.89</v>
      </c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 t="str">
        <f>"134.76"</f>
        <v>134.76</v>
      </c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 t="str">
        <f>"104.05"</f>
        <v>104.05</v>
      </c>
      <c r="AH177" s="18"/>
      <c r="AI177" s="18"/>
    </row>
    <row r="178" spans="1:35">
      <c r="A178" s="14">
        <v>176</v>
      </c>
      <c r="B178" s="14">
        <v>3557</v>
      </c>
      <c r="C178" s="14" t="s">
        <v>288</v>
      </c>
      <c r="D178" s="14" t="s">
        <v>289</v>
      </c>
      <c r="E178" s="15" t="str">
        <f>"104.41"</f>
        <v>104.41</v>
      </c>
      <c r="F178" s="15"/>
      <c r="G178" s="16" t="str">
        <f>"119.76"</f>
        <v>119.76</v>
      </c>
      <c r="H178" s="17"/>
      <c r="I178" s="18">
        <v>3</v>
      </c>
      <c r="J178" s="18">
        <v>2016</v>
      </c>
      <c r="K178" s="18" t="str">
        <f>"104.41"</f>
        <v>104.41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 t="str">
        <f>"198.20"</f>
        <v>198.20</v>
      </c>
      <c r="AB178" s="18"/>
      <c r="AC178" s="18"/>
      <c r="AD178" s="18"/>
      <c r="AE178" s="18" t="str">
        <f>"108.27"</f>
        <v>108.27</v>
      </c>
      <c r="AF178" s="18" t="str">
        <f>"155.94"</f>
        <v>155.94</v>
      </c>
      <c r="AG178" s="18" t="str">
        <f>"131.24"</f>
        <v>131.24</v>
      </c>
      <c r="AH178" s="18"/>
      <c r="AI178" s="18"/>
    </row>
    <row r="179" spans="1:35">
      <c r="A179" s="14">
        <v>177</v>
      </c>
      <c r="B179" s="14">
        <v>2557</v>
      </c>
      <c r="C179" s="14" t="s">
        <v>290</v>
      </c>
      <c r="D179" s="14" t="s">
        <v>56</v>
      </c>
      <c r="E179" s="15" t="str">
        <f>"118.26"</f>
        <v>118.26</v>
      </c>
      <c r="F179" s="15"/>
      <c r="G179" s="16" t="str">
        <f>"119.78"</f>
        <v>119.78</v>
      </c>
      <c r="H179" s="17"/>
      <c r="I179" s="18">
        <v>3</v>
      </c>
      <c r="J179" s="18">
        <v>2016</v>
      </c>
      <c r="K179" s="18" t="str">
        <f>"130.88"</f>
        <v>130.88</v>
      </c>
      <c r="L179" s="18" t="str">
        <f>"133.93"</f>
        <v>133.93</v>
      </c>
      <c r="M179" s="18"/>
      <c r="N179" s="18" t="str">
        <f>"105.63"</f>
        <v>105.63</v>
      </c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 t="str">
        <f>"138.59"</f>
        <v>138.59</v>
      </c>
      <c r="AB179" s="18"/>
      <c r="AC179" s="18"/>
      <c r="AD179" s="18"/>
      <c r="AE179" s="18"/>
      <c r="AF179" s="18"/>
      <c r="AG179" s="18"/>
      <c r="AH179" s="18"/>
      <c r="AI179" s="18"/>
    </row>
    <row r="180" spans="1:35">
      <c r="A180" s="14">
        <v>178</v>
      </c>
      <c r="B180" s="14">
        <v>9752</v>
      </c>
      <c r="C180" s="14" t="s">
        <v>291</v>
      </c>
      <c r="D180" s="14" t="s">
        <v>292</v>
      </c>
      <c r="E180" s="15" t="str">
        <f>"86.07"</f>
        <v>86.07</v>
      </c>
      <c r="F180" s="15"/>
      <c r="G180" s="16" t="str">
        <f>"120.12"</f>
        <v>120.12</v>
      </c>
      <c r="H180" s="17"/>
      <c r="I180" s="18">
        <v>3</v>
      </c>
      <c r="J180" s="18">
        <v>2016</v>
      </c>
      <c r="K180" s="18" t="str">
        <f>"86.07"</f>
        <v>86.07</v>
      </c>
      <c r="L180" s="18"/>
      <c r="M180" s="18" t="str">
        <f>"118.87"</f>
        <v>118.87</v>
      </c>
      <c r="N180" s="18"/>
      <c r="O180" s="18" t="str">
        <f>"121.37"</f>
        <v>121.37</v>
      </c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 t="str">
        <f>"166.38"</f>
        <v>166.38</v>
      </c>
      <c r="AB180" s="18"/>
      <c r="AC180" s="18"/>
      <c r="AD180" s="18"/>
      <c r="AE180" s="18"/>
      <c r="AF180" s="18"/>
      <c r="AG180" s="18" t="str">
        <f>"125.80"</f>
        <v>125.80</v>
      </c>
      <c r="AH180" s="18"/>
      <c r="AI180" s="18"/>
    </row>
    <row r="181" spans="1:35">
      <c r="A181" s="14">
        <v>179</v>
      </c>
      <c r="B181" s="14">
        <v>1880</v>
      </c>
      <c r="C181" s="14" t="s">
        <v>293</v>
      </c>
      <c r="D181" s="14" t="s">
        <v>294</v>
      </c>
      <c r="E181" s="15" t="str">
        <f>"115.64"</f>
        <v>115.64</v>
      </c>
      <c r="F181" s="15"/>
      <c r="G181" s="16" t="str">
        <f>"120.32"</f>
        <v>120.32</v>
      </c>
      <c r="H181" s="17"/>
      <c r="I181" s="18">
        <v>3</v>
      </c>
      <c r="J181" s="18">
        <v>2016</v>
      </c>
      <c r="K181" s="18" t="str">
        <f>"129.65"</f>
        <v>129.65</v>
      </c>
      <c r="L181" s="18"/>
      <c r="M181" s="18" t="str">
        <f>"101.63"</f>
        <v>101.63</v>
      </c>
      <c r="N181" s="18"/>
      <c r="O181" s="18" t="str">
        <f>"139.00"</f>
        <v>139.00</v>
      </c>
      <c r="P181" s="18"/>
      <c r="Q181" s="18"/>
      <c r="R181" s="18"/>
      <c r="S181" s="18"/>
      <c r="T181" s="18"/>
      <c r="U181" s="18"/>
      <c r="V181" s="18" t="str">
        <f>"150.29"</f>
        <v>150.29</v>
      </c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>
      <c r="A182" s="14">
        <v>180</v>
      </c>
      <c r="B182" s="14">
        <v>141</v>
      </c>
      <c r="C182" s="14" t="s">
        <v>295</v>
      </c>
      <c r="D182" s="14" t="s">
        <v>109</v>
      </c>
      <c r="E182" s="15" t="str">
        <f>"82.54"</f>
        <v>82.54</v>
      </c>
      <c r="F182" s="15"/>
      <c r="G182" s="16" t="str">
        <f>"120.32"</f>
        <v>120.32</v>
      </c>
      <c r="H182" s="17"/>
      <c r="I182" s="18">
        <v>3</v>
      </c>
      <c r="J182" s="18">
        <v>2016</v>
      </c>
      <c r="K182" s="18" t="str">
        <f>"82.54"</f>
        <v>82.54</v>
      </c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 t="str">
        <f>"149.15"</f>
        <v>149.15</v>
      </c>
      <c r="W182" s="18"/>
      <c r="X182" s="18"/>
      <c r="Y182" s="18"/>
      <c r="Z182" s="18"/>
      <c r="AA182" s="18" t="str">
        <f>"161.69"</f>
        <v>161.69</v>
      </c>
      <c r="AB182" s="18"/>
      <c r="AC182" s="18"/>
      <c r="AD182" s="18"/>
      <c r="AE182" s="18" t="str">
        <f>"109.59"</f>
        <v>109.59</v>
      </c>
      <c r="AF182" s="18"/>
      <c r="AG182" s="18"/>
      <c r="AH182" s="18" t="str">
        <f>"131.04"</f>
        <v>131.04</v>
      </c>
      <c r="AI182" s="18"/>
    </row>
    <row r="183" spans="1:35">
      <c r="A183" s="14">
        <v>181</v>
      </c>
      <c r="B183" s="14">
        <v>1848</v>
      </c>
      <c r="C183" s="14" t="s">
        <v>296</v>
      </c>
      <c r="D183" s="14" t="s">
        <v>47</v>
      </c>
      <c r="E183" s="15" t="str">
        <f>"111.71"</f>
        <v>111.71</v>
      </c>
      <c r="F183" s="15"/>
      <c r="G183" s="16" t="str">
        <f>"120.43"</f>
        <v>120.43</v>
      </c>
      <c r="H183" s="17"/>
      <c r="I183" s="18">
        <v>3</v>
      </c>
      <c r="J183" s="18">
        <v>2016</v>
      </c>
      <c r="K183" s="18" t="str">
        <f>"117.47"</f>
        <v>117.47</v>
      </c>
      <c r="L183" s="18"/>
      <c r="M183" s="18" t="str">
        <f>"105.94"</f>
        <v>105.94</v>
      </c>
      <c r="N183" s="18"/>
      <c r="O183" s="18" t="str">
        <f>"135.63"</f>
        <v>135.63</v>
      </c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 t="str">
        <f>"231.15"</f>
        <v>231.15</v>
      </c>
      <c r="AB183" s="18"/>
      <c r="AC183" s="18"/>
      <c r="AD183" s="18"/>
      <c r="AE183" s="18" t="str">
        <f>"134.92"</f>
        <v>134.92</v>
      </c>
      <c r="AF183" s="18"/>
      <c r="AG183" s="18" t="str">
        <f>"141.07"</f>
        <v>141.07</v>
      </c>
      <c r="AH183" s="18"/>
      <c r="AI183" s="18"/>
    </row>
    <row r="184" spans="1:35">
      <c r="A184" s="14">
        <v>182</v>
      </c>
      <c r="B184" s="14">
        <v>7788</v>
      </c>
      <c r="C184" s="14" t="s">
        <v>297</v>
      </c>
      <c r="D184" s="14" t="s">
        <v>39</v>
      </c>
      <c r="E184" s="15" t="str">
        <f>"120.83"</f>
        <v>120.83</v>
      </c>
      <c r="F184" s="15"/>
      <c r="G184" s="16" t="str">
        <f>"120.83"</f>
        <v>120.83</v>
      </c>
      <c r="H184" s="17"/>
      <c r="I184" s="18">
        <v>3</v>
      </c>
      <c r="J184" s="18">
        <v>2016</v>
      </c>
      <c r="K184" s="18" t="str">
        <f>"141.68"</f>
        <v>141.68</v>
      </c>
      <c r="L184" s="18"/>
      <c r="M184" s="18" t="str">
        <f>"114.33"</f>
        <v>114.33</v>
      </c>
      <c r="N184" s="18"/>
      <c r="O184" s="18" t="str">
        <f>"127.33"</f>
        <v>127.33</v>
      </c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 t="str">
        <f>"242.78"</f>
        <v>242.78</v>
      </c>
      <c r="AB184" s="18"/>
      <c r="AC184" s="18"/>
      <c r="AD184" s="18"/>
      <c r="AE184" s="18"/>
      <c r="AF184" s="18"/>
      <c r="AG184" s="18" t="str">
        <f>"151.32"</f>
        <v>151.32</v>
      </c>
      <c r="AH184" s="18"/>
      <c r="AI184" s="18"/>
    </row>
    <row r="185" spans="1:35">
      <c r="A185" s="14">
        <v>183</v>
      </c>
      <c r="B185" s="14">
        <v>10224</v>
      </c>
      <c r="C185" s="14" t="s">
        <v>298</v>
      </c>
      <c r="D185" s="14" t="s">
        <v>299</v>
      </c>
      <c r="E185" s="15" t="str">
        <f>"84.40"</f>
        <v>84.40</v>
      </c>
      <c r="F185" s="15"/>
      <c r="G185" s="16" t="str">
        <f>"121.54"</f>
        <v>121.54</v>
      </c>
      <c r="H185" s="17" t="s">
        <v>48</v>
      </c>
      <c r="I185" s="18">
        <v>1</v>
      </c>
      <c r="J185" s="18">
        <v>2016</v>
      </c>
      <c r="K185" s="18" t="str">
        <f>"84.40"</f>
        <v>84.40</v>
      </c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>
      <c r="A186" s="14">
        <v>184</v>
      </c>
      <c r="B186" s="14">
        <v>6278</v>
      </c>
      <c r="C186" s="14" t="s">
        <v>300</v>
      </c>
      <c r="D186" s="14" t="s">
        <v>98</v>
      </c>
      <c r="E186" s="15" t="str">
        <f>"111.33"</f>
        <v>111.33</v>
      </c>
      <c r="F186" s="15"/>
      <c r="G186" s="16" t="str">
        <f>"121.70"</f>
        <v>121.70</v>
      </c>
      <c r="H186" s="17"/>
      <c r="I186" s="18">
        <v>3</v>
      </c>
      <c r="J186" s="18">
        <v>2016</v>
      </c>
      <c r="K186" s="18" t="str">
        <f>"115.25"</f>
        <v>115.25</v>
      </c>
      <c r="L186" s="18"/>
      <c r="M186" s="18"/>
      <c r="N186" s="18"/>
      <c r="O186" s="18"/>
      <c r="P186" s="18"/>
      <c r="Q186" s="18" t="str">
        <f>"136.00"</f>
        <v>136.00</v>
      </c>
      <c r="R186" s="18"/>
      <c r="S186" s="18"/>
      <c r="T186" s="18"/>
      <c r="U186" s="18" t="str">
        <f>"172.81"</f>
        <v>172.81</v>
      </c>
      <c r="V186" s="18"/>
      <c r="W186" s="18"/>
      <c r="X186" s="18"/>
      <c r="Y186" s="18"/>
      <c r="Z186" s="18" t="str">
        <f>"147.54"</f>
        <v>147.54</v>
      </c>
      <c r="AA186" s="18"/>
      <c r="AB186" s="18"/>
      <c r="AC186" s="18"/>
      <c r="AD186" s="18"/>
      <c r="AE186" s="18"/>
      <c r="AF186" s="18"/>
      <c r="AG186" s="18" t="str">
        <f>"107.40"</f>
        <v>107.40</v>
      </c>
      <c r="AH186" s="18"/>
      <c r="AI186" s="18"/>
    </row>
    <row r="187" spans="1:35">
      <c r="A187" s="14">
        <v>185</v>
      </c>
      <c r="B187" s="14">
        <v>3414</v>
      </c>
      <c r="C187" s="14" t="s">
        <v>301</v>
      </c>
      <c r="D187" s="14" t="s">
        <v>302</v>
      </c>
      <c r="E187" s="15" t="str">
        <f>"99.29"</f>
        <v>99.29</v>
      </c>
      <c r="F187" s="15"/>
      <c r="G187" s="16" t="str">
        <f>"121.72"</f>
        <v>121.72</v>
      </c>
      <c r="H187" s="17"/>
      <c r="I187" s="18">
        <v>3</v>
      </c>
      <c r="J187" s="18">
        <v>2016</v>
      </c>
      <c r="K187" s="18" t="str">
        <f>"99.29"</f>
        <v>99.29</v>
      </c>
      <c r="L187" s="18"/>
      <c r="M187" s="18" t="str">
        <f>"116.83"</f>
        <v>116.83</v>
      </c>
      <c r="N187" s="18"/>
      <c r="O187" s="18" t="str">
        <f>"161.30"</f>
        <v>161.30</v>
      </c>
      <c r="P187" s="18"/>
      <c r="Q187" s="18"/>
      <c r="R187" s="18"/>
      <c r="S187" s="18"/>
      <c r="T187" s="18"/>
      <c r="U187" s="18"/>
      <c r="V187" s="18" t="str">
        <f>"139.67"</f>
        <v>139.67</v>
      </c>
      <c r="W187" s="18"/>
      <c r="X187" s="18"/>
      <c r="Y187" s="18"/>
      <c r="Z187" s="18"/>
      <c r="AA187" s="18" t="str">
        <f>"179.14"</f>
        <v>179.14</v>
      </c>
      <c r="AB187" s="18"/>
      <c r="AC187" s="18"/>
      <c r="AD187" s="18"/>
      <c r="AE187" s="18" t="str">
        <f>"157.62"</f>
        <v>157.62</v>
      </c>
      <c r="AF187" s="18" t="str">
        <f>"160.41"</f>
        <v>160.41</v>
      </c>
      <c r="AG187" s="18" t="str">
        <f>"165.33"</f>
        <v>165.33</v>
      </c>
      <c r="AH187" s="18" t="str">
        <f>"126.60"</f>
        <v>126.60</v>
      </c>
      <c r="AI187" s="18"/>
    </row>
    <row r="188" spans="1:35">
      <c r="A188" s="14">
        <v>186</v>
      </c>
      <c r="B188" s="14">
        <v>199</v>
      </c>
      <c r="C188" s="14" t="s">
        <v>303</v>
      </c>
      <c r="D188" s="14" t="s">
        <v>125</v>
      </c>
      <c r="E188" s="15" t="str">
        <f>"80.00"</f>
        <v>80.00</v>
      </c>
      <c r="F188" s="15"/>
      <c r="G188" s="16" t="str">
        <f>"122.04"</f>
        <v>122.04</v>
      </c>
      <c r="H188" s="17"/>
      <c r="I188" s="18">
        <v>3</v>
      </c>
      <c r="J188" s="18">
        <v>2016</v>
      </c>
      <c r="K188" s="18" t="str">
        <f>"80.00"</f>
        <v>80.00</v>
      </c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 t="str">
        <f>"183.34"</f>
        <v>183.34</v>
      </c>
      <c r="AB188" s="18"/>
      <c r="AC188" s="18"/>
      <c r="AD188" s="18"/>
      <c r="AE188" s="18" t="str">
        <f>"109.29"</f>
        <v>109.29</v>
      </c>
      <c r="AF188" s="18" t="str">
        <f>"173.72"</f>
        <v>173.72</v>
      </c>
      <c r="AG188" s="18" t="str">
        <f>"134.79"</f>
        <v>134.79</v>
      </c>
      <c r="AH188" s="18"/>
      <c r="AI188" s="18"/>
    </row>
    <row r="189" spans="1:35">
      <c r="A189" s="14">
        <v>187</v>
      </c>
      <c r="B189" s="14">
        <v>2918</v>
      </c>
      <c r="C189" s="14" t="s">
        <v>304</v>
      </c>
      <c r="D189" s="14" t="s">
        <v>305</v>
      </c>
      <c r="E189" s="15" t="str">
        <f>"93.43"</f>
        <v>93.43</v>
      </c>
      <c r="F189" s="15"/>
      <c r="G189" s="16" t="str">
        <f>"122.11"</f>
        <v>122.11</v>
      </c>
      <c r="H189" s="17"/>
      <c r="I189" s="18">
        <v>3</v>
      </c>
      <c r="J189" s="18">
        <v>2016</v>
      </c>
      <c r="K189" s="18" t="str">
        <f>"93.43"</f>
        <v>93.43</v>
      </c>
      <c r="L189" s="18"/>
      <c r="M189" s="18" t="str">
        <f>"125.45"</f>
        <v>125.45</v>
      </c>
      <c r="N189" s="18"/>
      <c r="O189" s="18" t="str">
        <f>"118.77"</f>
        <v>118.77</v>
      </c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 t="str">
        <f>"163.47"</f>
        <v>163.47</v>
      </c>
      <c r="AB189" s="18"/>
      <c r="AC189" s="18"/>
      <c r="AD189" s="18"/>
      <c r="AE189" s="18"/>
      <c r="AF189" s="18"/>
      <c r="AG189" s="18"/>
      <c r="AH189" s="18"/>
      <c r="AI189" s="18"/>
    </row>
    <row r="190" spans="1:35">
      <c r="A190" s="14">
        <v>188</v>
      </c>
      <c r="B190" s="14">
        <v>6314</v>
      </c>
      <c r="C190" s="14" t="s">
        <v>306</v>
      </c>
      <c r="D190" s="14" t="s">
        <v>307</v>
      </c>
      <c r="E190" s="15" t="str">
        <f>"122.77"</f>
        <v>122.77</v>
      </c>
      <c r="F190" s="15"/>
      <c r="G190" s="16" t="str">
        <f>"122.77"</f>
        <v>122.77</v>
      </c>
      <c r="H190" s="17"/>
      <c r="I190" s="18">
        <v>3</v>
      </c>
      <c r="J190" s="18">
        <v>2016</v>
      </c>
      <c r="K190" s="18" t="str">
        <f>"148.10"</f>
        <v>148.10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 t="str">
        <f>"271.40"</f>
        <v>271.40</v>
      </c>
      <c r="W190" s="18"/>
      <c r="X190" s="18"/>
      <c r="Y190" s="18"/>
      <c r="Z190" s="18"/>
      <c r="AA190" s="18" t="str">
        <f>"221.94"</f>
        <v>221.94</v>
      </c>
      <c r="AB190" s="18"/>
      <c r="AC190" s="18"/>
      <c r="AD190" s="18"/>
      <c r="AE190" s="18"/>
      <c r="AF190" s="18" t="str">
        <f>"119.52"</f>
        <v>119.52</v>
      </c>
      <c r="AG190" s="18" t="str">
        <f>"126.01"</f>
        <v>126.01</v>
      </c>
      <c r="AH190" s="18"/>
      <c r="AI190" s="18"/>
    </row>
    <row r="191" spans="1:35">
      <c r="A191" s="14">
        <v>189</v>
      </c>
      <c r="B191" s="14">
        <v>4196</v>
      </c>
      <c r="C191" s="14" t="s">
        <v>308</v>
      </c>
      <c r="D191" s="14" t="s">
        <v>98</v>
      </c>
      <c r="E191" s="15" t="str">
        <f>"123.35"</f>
        <v>123.35</v>
      </c>
      <c r="F191" s="15"/>
      <c r="G191" s="16" t="str">
        <f>"123.35"</f>
        <v>123.35</v>
      </c>
      <c r="H191" s="17"/>
      <c r="I191" s="18">
        <v>3</v>
      </c>
      <c r="J191" s="18">
        <v>2016</v>
      </c>
      <c r="K191" s="18" t="str">
        <f>"162.83"</f>
        <v>162.83</v>
      </c>
      <c r="L191" s="18"/>
      <c r="M191" s="18"/>
      <c r="N191" s="18"/>
      <c r="O191" s="18"/>
      <c r="P191" s="18"/>
      <c r="Q191" s="18" t="str">
        <f>"123.38"</f>
        <v>123.38</v>
      </c>
      <c r="R191" s="18"/>
      <c r="S191" s="18"/>
      <c r="T191" s="18"/>
      <c r="U191" s="18" t="str">
        <f>"143.87"</f>
        <v>143.87</v>
      </c>
      <c r="V191" s="18"/>
      <c r="W191" s="18"/>
      <c r="X191" s="18"/>
      <c r="Y191" s="18"/>
      <c r="Z191" s="18" t="str">
        <f>"123.31"</f>
        <v>123.31</v>
      </c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>
      <c r="A192" s="14">
        <v>190</v>
      </c>
      <c r="B192" s="14">
        <v>1817</v>
      </c>
      <c r="C192" s="14" t="s">
        <v>309</v>
      </c>
      <c r="D192" s="14" t="s">
        <v>76</v>
      </c>
      <c r="E192" s="15" t="str">
        <f>"123.56"</f>
        <v>123.56</v>
      </c>
      <c r="F192" s="15"/>
      <c r="G192" s="16" t="str">
        <f>"123.56"</f>
        <v>123.56</v>
      </c>
      <c r="H192" s="17"/>
      <c r="I192" s="18">
        <v>3</v>
      </c>
      <c r="J192" s="18">
        <v>2016</v>
      </c>
      <c r="K192" s="18" t="str">
        <f>"135.84"</f>
        <v>135.84</v>
      </c>
      <c r="L192" s="18" t="str">
        <f>"192.23"</f>
        <v>192.23</v>
      </c>
      <c r="M192" s="18"/>
      <c r="N192" s="18" t="str">
        <f>"200.99"</f>
        <v>200.99</v>
      </c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 t="str">
        <f>"127.37"</f>
        <v>127.37</v>
      </c>
      <c r="Z192" s="18"/>
      <c r="AA192" s="18" t="str">
        <f>"205.30"</f>
        <v>205.30</v>
      </c>
      <c r="AB192" s="18"/>
      <c r="AC192" s="18"/>
      <c r="AD192" s="18"/>
      <c r="AE192" s="18"/>
      <c r="AF192" s="18"/>
      <c r="AG192" s="18" t="str">
        <f>"119.74"</f>
        <v>119.74</v>
      </c>
      <c r="AH192" s="18"/>
      <c r="AI192" s="18"/>
    </row>
    <row r="193" spans="1:35">
      <c r="A193" s="14">
        <v>191</v>
      </c>
      <c r="B193" s="14">
        <v>5247</v>
      </c>
      <c r="C193" s="14" t="s">
        <v>310</v>
      </c>
      <c r="D193" s="14" t="s">
        <v>210</v>
      </c>
      <c r="E193" s="15" t="str">
        <f>"81.89"</f>
        <v>81.89</v>
      </c>
      <c r="F193" s="15"/>
      <c r="G193" s="16" t="str">
        <f>"125.26"</f>
        <v>125.26</v>
      </c>
      <c r="H193" s="17"/>
      <c r="I193" s="18">
        <v>3</v>
      </c>
      <c r="J193" s="18">
        <v>2016</v>
      </c>
      <c r="K193" s="18" t="str">
        <f>"81.89"</f>
        <v>81.89</v>
      </c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 t="str">
        <f>"107.14"</f>
        <v>107.14</v>
      </c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 t="str">
        <f>"143.37"</f>
        <v>143.37</v>
      </c>
      <c r="AH193" s="18"/>
      <c r="AI193" s="18"/>
    </row>
    <row r="194" spans="1:35">
      <c r="A194" s="14">
        <v>192</v>
      </c>
      <c r="B194" s="14">
        <v>2480</v>
      </c>
      <c r="C194" s="14" t="s">
        <v>311</v>
      </c>
      <c r="D194" s="14" t="s">
        <v>312</v>
      </c>
      <c r="E194" s="15" t="str">
        <f>"107.45"</f>
        <v>107.45</v>
      </c>
      <c r="F194" s="15"/>
      <c r="G194" s="16" t="str">
        <f>"125.71"</f>
        <v>125.71</v>
      </c>
      <c r="H194" s="17"/>
      <c r="I194" s="18">
        <v>3</v>
      </c>
      <c r="J194" s="18">
        <v>2016</v>
      </c>
      <c r="K194" s="18" t="str">
        <f>"107.45"</f>
        <v>107.45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 t="str">
        <f>"123.32"</f>
        <v>123.32</v>
      </c>
      <c r="W194" s="18"/>
      <c r="X194" s="18"/>
      <c r="Y194" s="18"/>
      <c r="Z194" s="18"/>
      <c r="AA194" s="18" t="str">
        <f>"179.94"</f>
        <v>179.94</v>
      </c>
      <c r="AB194" s="18"/>
      <c r="AC194" s="18"/>
      <c r="AD194" s="18"/>
      <c r="AE194" s="18"/>
      <c r="AF194" s="18"/>
      <c r="AG194" s="18" t="str">
        <f>"128.10"</f>
        <v>128.10</v>
      </c>
      <c r="AH194" s="18"/>
      <c r="AI194" s="18"/>
    </row>
    <row r="195" spans="1:35">
      <c r="A195" s="14">
        <v>193</v>
      </c>
      <c r="B195" s="14">
        <v>9965</v>
      </c>
      <c r="C195" s="14" t="s">
        <v>313</v>
      </c>
      <c r="D195" s="14" t="s">
        <v>76</v>
      </c>
      <c r="E195" s="15" t="str">
        <f>"125.95"</f>
        <v>125.95</v>
      </c>
      <c r="F195" s="15"/>
      <c r="G195" s="16" t="str">
        <f>"125.95"</f>
        <v>125.95</v>
      </c>
      <c r="H195" s="17"/>
      <c r="I195" s="18">
        <v>3</v>
      </c>
      <c r="J195" s="18">
        <v>2016</v>
      </c>
      <c r="K195" s="18" t="str">
        <f>"179.05"</f>
        <v>179.05</v>
      </c>
      <c r="L195" s="18" t="str">
        <f>"172.88"</f>
        <v>172.88</v>
      </c>
      <c r="M195" s="18"/>
      <c r="N195" s="18" t="str">
        <f>"177.60"</f>
        <v>177.60</v>
      </c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 t="str">
        <f>"122.25"</f>
        <v>122.25</v>
      </c>
      <c r="Z195" s="18"/>
      <c r="AA195" s="18"/>
      <c r="AB195" s="18"/>
      <c r="AC195" s="18"/>
      <c r="AD195" s="18" t="str">
        <f>"129.65"</f>
        <v>129.65</v>
      </c>
      <c r="AE195" s="18"/>
      <c r="AF195" s="18"/>
      <c r="AG195" s="18"/>
      <c r="AH195" s="18"/>
      <c r="AI195" s="18"/>
    </row>
    <row r="196" spans="1:35">
      <c r="A196" s="14">
        <v>194</v>
      </c>
      <c r="B196" s="14">
        <v>198</v>
      </c>
      <c r="C196" s="14" t="s">
        <v>314</v>
      </c>
      <c r="D196" s="14" t="s">
        <v>125</v>
      </c>
      <c r="E196" s="15" t="str">
        <f>"105.76"</f>
        <v>105.76</v>
      </c>
      <c r="F196" s="15"/>
      <c r="G196" s="16" t="str">
        <f>"126.32"</f>
        <v>126.32</v>
      </c>
      <c r="H196" s="17"/>
      <c r="I196" s="18">
        <v>3</v>
      </c>
      <c r="J196" s="18">
        <v>2016</v>
      </c>
      <c r="K196" s="18" t="str">
        <f>"105.76"</f>
        <v>105.76</v>
      </c>
      <c r="L196" s="18"/>
      <c r="M196" s="18" t="str">
        <f>"129.76"</f>
        <v>129.76</v>
      </c>
      <c r="N196" s="18"/>
      <c r="O196" s="18" t="str">
        <f>"131.48"</f>
        <v>131.48</v>
      </c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 t="str">
        <f>"188.34"</f>
        <v>188.34</v>
      </c>
      <c r="AB196" s="18"/>
      <c r="AC196" s="18"/>
      <c r="AD196" s="18"/>
      <c r="AE196" s="18" t="str">
        <f>"122.87"</f>
        <v>122.87</v>
      </c>
      <c r="AF196" s="18" t="str">
        <f>"137.94"</f>
        <v>137.94</v>
      </c>
      <c r="AG196" s="18" t="str">
        <f>"140.44"</f>
        <v>140.44</v>
      </c>
      <c r="AH196" s="18"/>
      <c r="AI196" s="18"/>
    </row>
    <row r="197" spans="1:35">
      <c r="A197" s="14">
        <v>195</v>
      </c>
      <c r="B197" s="14">
        <v>5493</v>
      </c>
      <c r="C197" s="14" t="s">
        <v>315</v>
      </c>
      <c r="D197" s="14" t="s">
        <v>157</v>
      </c>
      <c r="E197" s="15" t="str">
        <f>"127.65"</f>
        <v>127.65</v>
      </c>
      <c r="F197" s="15"/>
      <c r="G197" s="16" t="str">
        <f>"127.65"</f>
        <v>127.65</v>
      </c>
      <c r="H197" s="17"/>
      <c r="I197" s="18">
        <v>3</v>
      </c>
      <c r="J197" s="18">
        <v>2016</v>
      </c>
      <c r="K197" s="18" t="str">
        <f>"183.36"</f>
        <v>183.36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 t="str">
        <f>"243.59"</f>
        <v>243.59</v>
      </c>
      <c r="AB197" s="18"/>
      <c r="AC197" s="18"/>
      <c r="AD197" s="18"/>
      <c r="AE197" s="18" t="str">
        <f>"126.11"</f>
        <v>126.11</v>
      </c>
      <c r="AF197" s="18" t="str">
        <f>"155.30"</f>
        <v>155.30</v>
      </c>
      <c r="AG197" s="18" t="str">
        <f>"134.58"</f>
        <v>134.58</v>
      </c>
      <c r="AH197" s="18" t="str">
        <f>"129.19"</f>
        <v>129.19</v>
      </c>
      <c r="AI197" s="18"/>
    </row>
    <row r="198" spans="1:35">
      <c r="A198" s="14">
        <v>196</v>
      </c>
      <c r="B198" s="14">
        <v>6313</v>
      </c>
      <c r="C198" s="14" t="s">
        <v>316</v>
      </c>
      <c r="D198" s="14" t="s">
        <v>317</v>
      </c>
      <c r="E198" s="15" t="str">
        <f>"127.77"</f>
        <v>127.77</v>
      </c>
      <c r="F198" s="15"/>
      <c r="G198" s="16" t="str">
        <f>"127.77"</f>
        <v>127.77</v>
      </c>
      <c r="H198" s="17"/>
      <c r="I198" s="18">
        <v>3</v>
      </c>
      <c r="J198" s="18">
        <v>2016</v>
      </c>
      <c r="K198" s="18" t="str">
        <f>"135.07"</f>
        <v>135.07</v>
      </c>
      <c r="L198" s="18"/>
      <c r="M198" s="18" t="str">
        <f>"120.69"</f>
        <v>120.69</v>
      </c>
      <c r="N198" s="18"/>
      <c r="O198" s="18" t="str">
        <f>"134.85"</f>
        <v>134.85</v>
      </c>
      <c r="P198" s="18"/>
      <c r="Q198" s="18"/>
      <c r="R198" s="18"/>
      <c r="S198" s="18"/>
      <c r="T198" s="18"/>
      <c r="U198" s="18"/>
      <c r="V198" s="18" t="str">
        <f>"194.42"</f>
        <v>194.42</v>
      </c>
      <c r="W198" s="18"/>
      <c r="X198" s="18"/>
      <c r="Y198" s="18"/>
      <c r="Z198" s="18"/>
      <c r="AA198" s="18" t="str">
        <f>"192.54"</f>
        <v>192.54</v>
      </c>
      <c r="AB198" s="18"/>
      <c r="AC198" s="18"/>
      <c r="AD198" s="18"/>
      <c r="AE198" s="18"/>
      <c r="AF198" s="18"/>
      <c r="AG198" s="18" t="str">
        <f>"155.92"</f>
        <v>155.92</v>
      </c>
      <c r="AH198" s="18"/>
      <c r="AI198" s="18"/>
    </row>
    <row r="199" spans="1:35">
      <c r="A199" s="14">
        <v>197</v>
      </c>
      <c r="B199" s="14">
        <v>10236</v>
      </c>
      <c r="C199" s="14" t="s">
        <v>318</v>
      </c>
      <c r="D199" s="14" t="s">
        <v>76</v>
      </c>
      <c r="E199" s="15" t="str">
        <f>"95.43"</f>
        <v>95.43</v>
      </c>
      <c r="F199" s="15"/>
      <c r="G199" s="16" t="str">
        <f>"128.76"</f>
        <v>128.76</v>
      </c>
      <c r="H199" s="17"/>
      <c r="I199" s="18">
        <v>3</v>
      </c>
      <c r="J199" s="18">
        <v>2016</v>
      </c>
      <c r="K199" s="18" t="str">
        <f>"95.43"</f>
        <v>95.43</v>
      </c>
      <c r="L199" s="18" t="str">
        <f>"174.41"</f>
        <v>174.41</v>
      </c>
      <c r="M199" s="18"/>
      <c r="N199" s="18" t="str">
        <f>"158.06"</f>
        <v>158.06</v>
      </c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 t="str">
        <f>"99.46"</f>
        <v>99.46</v>
      </c>
      <c r="AF199" s="18"/>
      <c r="AG199" s="18"/>
      <c r="AH199" s="18"/>
      <c r="AI199" s="18"/>
    </row>
    <row r="200" spans="1:35">
      <c r="A200" s="14">
        <v>198</v>
      </c>
      <c r="B200" s="14">
        <v>5273</v>
      </c>
      <c r="C200" s="14" t="s">
        <v>319</v>
      </c>
      <c r="D200" s="14" t="s">
        <v>39</v>
      </c>
      <c r="E200" s="15" t="str">
        <f>"48.61"</f>
        <v>48.61</v>
      </c>
      <c r="F200" s="15"/>
      <c r="G200" s="16" t="str">
        <f>"129.34"</f>
        <v>129.34</v>
      </c>
      <c r="H200" s="17"/>
      <c r="I200" s="18">
        <v>3</v>
      </c>
      <c r="J200" s="18">
        <v>2016</v>
      </c>
      <c r="K200" s="18" t="str">
        <f>"48.61"</f>
        <v>48.61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 t="str">
        <f>"152.91"</f>
        <v>152.91</v>
      </c>
      <c r="W200" s="18"/>
      <c r="X200" s="18"/>
      <c r="Y200" s="18"/>
      <c r="Z200" s="18"/>
      <c r="AA200" s="18" t="str">
        <f>"147.15"</f>
        <v>147.15</v>
      </c>
      <c r="AB200" s="18"/>
      <c r="AC200" s="18"/>
      <c r="AD200" s="18"/>
      <c r="AE200" s="18"/>
      <c r="AF200" s="18" t="str">
        <f>"111.53"</f>
        <v>111.53</v>
      </c>
      <c r="AG200" s="18"/>
      <c r="AH200" s="18"/>
      <c r="AI200" s="18"/>
    </row>
    <row r="201" spans="1:35">
      <c r="A201" s="14">
        <v>199</v>
      </c>
      <c r="B201" s="14">
        <v>3908</v>
      </c>
      <c r="C201" s="14" t="s">
        <v>320</v>
      </c>
      <c r="D201" s="14" t="s">
        <v>84</v>
      </c>
      <c r="E201" s="15" t="str">
        <f>"89.93"</f>
        <v>89.93</v>
      </c>
      <c r="F201" s="15"/>
      <c r="G201" s="16" t="str">
        <f>"129.50"</f>
        <v>129.50</v>
      </c>
      <c r="H201" s="17" t="s">
        <v>48</v>
      </c>
      <c r="I201" s="18">
        <v>1</v>
      </c>
      <c r="J201" s="18">
        <v>2016</v>
      </c>
      <c r="K201" s="18" t="str">
        <f>"89.93"</f>
        <v>89.93</v>
      </c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</row>
    <row r="202" spans="1:35">
      <c r="A202" s="14">
        <v>200</v>
      </c>
      <c r="B202" s="14">
        <v>10087</v>
      </c>
      <c r="C202" s="14" t="s">
        <v>321</v>
      </c>
      <c r="D202" s="14" t="s">
        <v>76</v>
      </c>
      <c r="E202" s="15" t="str">
        <f>"130.69"</f>
        <v>130.69</v>
      </c>
      <c r="F202" s="15"/>
      <c r="G202" s="16" t="str">
        <f>"130.69"</f>
        <v>130.69</v>
      </c>
      <c r="H202" s="17"/>
      <c r="I202" s="18">
        <v>3</v>
      </c>
      <c r="J202" s="18">
        <v>2016</v>
      </c>
      <c r="K202" s="18" t="str">
        <f>"136.68"</f>
        <v>136.68</v>
      </c>
      <c r="L202" s="18" t="str">
        <f>"160.66"</f>
        <v>160.66</v>
      </c>
      <c r="M202" s="18"/>
      <c r="N202" s="18" t="str">
        <f>"126.19"</f>
        <v>126.19</v>
      </c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 t="str">
        <f>"138.83"</f>
        <v>138.83</v>
      </c>
      <c r="Z202" s="18"/>
      <c r="AA202" s="18"/>
      <c r="AB202" s="18"/>
      <c r="AC202" s="18"/>
      <c r="AD202" s="18" t="str">
        <f>"135.19"</f>
        <v>135.19</v>
      </c>
      <c r="AE202" s="18"/>
      <c r="AF202" s="18"/>
      <c r="AG202" s="18" t="str">
        <f>"223.47"</f>
        <v>223.47</v>
      </c>
      <c r="AH202" s="18"/>
      <c r="AI202" s="18"/>
    </row>
    <row r="203" spans="1:35">
      <c r="A203" s="14">
        <v>201</v>
      </c>
      <c r="B203" s="14">
        <v>10334</v>
      </c>
      <c r="C203" s="14" t="s">
        <v>322</v>
      </c>
      <c r="D203" s="14" t="s">
        <v>98</v>
      </c>
      <c r="E203" s="15" t="str">
        <f>"131.05"</f>
        <v>131.05</v>
      </c>
      <c r="F203" s="15"/>
      <c r="G203" s="16" t="str">
        <f>"131.05"</f>
        <v>131.05</v>
      </c>
      <c r="H203" s="17"/>
      <c r="I203" s="18">
        <v>3</v>
      </c>
      <c r="J203" s="18">
        <v>2016</v>
      </c>
      <c r="K203" s="18" t="str">
        <f>"189.33"</f>
        <v>189.33</v>
      </c>
      <c r="L203" s="18"/>
      <c r="M203" s="18"/>
      <c r="N203" s="18"/>
      <c r="O203" s="18"/>
      <c r="P203" s="18"/>
      <c r="Q203" s="18" t="str">
        <f>"167.29"</f>
        <v>167.29</v>
      </c>
      <c r="R203" s="18"/>
      <c r="S203" s="18"/>
      <c r="T203" s="18"/>
      <c r="U203" s="18" t="str">
        <f>"127.35"</f>
        <v>127.35</v>
      </c>
      <c r="V203" s="18"/>
      <c r="W203" s="18"/>
      <c r="X203" s="18"/>
      <c r="Y203" s="18"/>
      <c r="Z203" s="18" t="str">
        <f>"134.74"</f>
        <v>134.74</v>
      </c>
      <c r="AA203" s="18"/>
      <c r="AB203" s="18"/>
      <c r="AC203" s="18"/>
      <c r="AD203" s="18"/>
      <c r="AE203" s="18"/>
      <c r="AF203" s="18"/>
      <c r="AG203" s="18"/>
      <c r="AH203" s="18"/>
      <c r="AI203" s="18"/>
    </row>
    <row r="204" spans="1:35">
      <c r="A204" s="14">
        <v>202</v>
      </c>
      <c r="B204" s="14">
        <v>3699</v>
      </c>
      <c r="C204" s="14" t="s">
        <v>323</v>
      </c>
      <c r="D204" s="14" t="s">
        <v>324</v>
      </c>
      <c r="E204" s="15" t="str">
        <f>"106.68"</f>
        <v>106.68</v>
      </c>
      <c r="F204" s="15"/>
      <c r="G204" s="16" t="str">
        <f>"131.09"</f>
        <v>131.09</v>
      </c>
      <c r="H204" s="17"/>
      <c r="I204" s="18">
        <v>3</v>
      </c>
      <c r="J204" s="18">
        <v>2016</v>
      </c>
      <c r="K204" s="18" t="str">
        <f>"106.68"</f>
        <v>106.68</v>
      </c>
      <c r="L204" s="18"/>
      <c r="M204" s="18" t="str">
        <f>"119.55"</f>
        <v>119.55</v>
      </c>
      <c r="N204" s="18"/>
      <c r="O204" s="18" t="str">
        <f>"142.63"</f>
        <v>142.63</v>
      </c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 t="str">
        <f>"178.01"</f>
        <v>178.01</v>
      </c>
      <c r="AB204" s="18"/>
      <c r="AC204" s="18"/>
      <c r="AD204" s="18"/>
      <c r="AE204" s="18" t="str">
        <f>"191.87"</f>
        <v>191.87</v>
      </c>
      <c r="AF204" s="18"/>
      <c r="AG204" s="18"/>
      <c r="AH204" s="18"/>
      <c r="AI204" s="18"/>
    </row>
    <row r="205" spans="1:35">
      <c r="A205" s="14">
        <v>203</v>
      </c>
      <c r="B205" s="14">
        <v>10320</v>
      </c>
      <c r="C205" s="14" t="s">
        <v>325</v>
      </c>
      <c r="D205" s="14" t="s">
        <v>51</v>
      </c>
      <c r="E205" s="15" t="str">
        <f>"131.24"</f>
        <v>131.24</v>
      </c>
      <c r="F205" s="15"/>
      <c r="G205" s="16" t="str">
        <f>"131.24"</f>
        <v>131.24</v>
      </c>
      <c r="H205" s="17" t="s">
        <v>54</v>
      </c>
      <c r="I205" s="18">
        <v>4</v>
      </c>
      <c r="J205" s="18">
        <v>2016</v>
      </c>
      <c r="K205" s="18"/>
      <c r="L205" s="18"/>
      <c r="M205" s="18"/>
      <c r="N205" s="18" t="str">
        <f>"91.24"</f>
        <v>91.24</v>
      </c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</row>
    <row r="206" spans="1:35">
      <c r="A206" s="14">
        <v>204</v>
      </c>
      <c r="B206" s="14">
        <v>2915</v>
      </c>
      <c r="C206" s="14" t="s">
        <v>326</v>
      </c>
      <c r="D206" s="14" t="s">
        <v>133</v>
      </c>
      <c r="E206" s="15" t="str">
        <f>"91.53"</f>
        <v>91.53</v>
      </c>
      <c r="F206" s="15"/>
      <c r="G206" s="16" t="str">
        <f>"131.53"</f>
        <v>131.53</v>
      </c>
      <c r="H206" s="17" t="s">
        <v>48</v>
      </c>
      <c r="I206" s="18">
        <v>1</v>
      </c>
      <c r="J206" s="18">
        <v>2016</v>
      </c>
      <c r="K206" s="18" t="str">
        <f>"91.53"</f>
        <v>91.53</v>
      </c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</row>
    <row r="207" spans="1:35">
      <c r="A207" s="14">
        <v>205</v>
      </c>
      <c r="B207" s="14">
        <v>3526</v>
      </c>
      <c r="C207" s="14" t="s">
        <v>327</v>
      </c>
      <c r="D207" s="14" t="s">
        <v>112</v>
      </c>
      <c r="E207" s="15" t="str">
        <f>"131.60"</f>
        <v>131.60</v>
      </c>
      <c r="F207" s="15"/>
      <c r="G207" s="16" t="str">
        <f>"131.60"</f>
        <v>131.60</v>
      </c>
      <c r="H207" s="17" t="s">
        <v>54</v>
      </c>
      <c r="I207" s="18">
        <v>4</v>
      </c>
      <c r="J207" s="18">
        <v>2016</v>
      </c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 t="str">
        <f>"91.60"</f>
        <v>91.60</v>
      </c>
      <c r="AC207" s="18"/>
      <c r="AD207" s="18"/>
      <c r="AE207" s="18"/>
      <c r="AF207" s="18"/>
      <c r="AG207" s="18"/>
      <c r="AH207" s="18"/>
      <c r="AI207" s="18"/>
    </row>
    <row r="208" spans="1:35">
      <c r="A208" s="14">
        <v>206</v>
      </c>
      <c r="B208" s="14">
        <v>10351</v>
      </c>
      <c r="C208" s="14" t="s">
        <v>328</v>
      </c>
      <c r="D208" s="14" t="s">
        <v>51</v>
      </c>
      <c r="E208" s="15" t="str">
        <f>"132.17"</f>
        <v>132.17</v>
      </c>
      <c r="F208" s="15"/>
      <c r="G208" s="16" t="str">
        <f>"132.17"</f>
        <v>132.17</v>
      </c>
      <c r="H208" s="17" t="s">
        <v>54</v>
      </c>
      <c r="I208" s="18">
        <v>4</v>
      </c>
      <c r="J208" s="18">
        <v>2016</v>
      </c>
      <c r="K208" s="18"/>
      <c r="L208" s="18" t="str">
        <f>"92.17"</f>
        <v>92.17</v>
      </c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</row>
    <row r="209" spans="1:35">
      <c r="A209" s="14">
        <v>207</v>
      </c>
      <c r="B209" s="14">
        <v>5414</v>
      </c>
      <c r="C209" s="14" t="s">
        <v>329</v>
      </c>
      <c r="D209" s="14" t="s">
        <v>330</v>
      </c>
      <c r="E209" s="15" t="str">
        <f>"92.23"</f>
        <v>92.23</v>
      </c>
      <c r="F209" s="15"/>
      <c r="G209" s="16" t="str">
        <f>"132.23"</f>
        <v>132.23</v>
      </c>
      <c r="H209" s="17" t="s">
        <v>48</v>
      </c>
      <c r="I209" s="18">
        <v>1</v>
      </c>
      <c r="J209" s="18">
        <v>2016</v>
      </c>
      <c r="K209" s="18" t="str">
        <f>"92.23"</f>
        <v>92.23</v>
      </c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</row>
    <row r="210" spans="1:35">
      <c r="A210" s="14">
        <v>208</v>
      </c>
      <c r="B210" s="14">
        <v>8362</v>
      </c>
      <c r="C210" s="14" t="s">
        <v>331</v>
      </c>
      <c r="D210" s="14" t="s">
        <v>98</v>
      </c>
      <c r="E210" s="15" t="str">
        <f>"132.62"</f>
        <v>132.62</v>
      </c>
      <c r="F210" s="15"/>
      <c r="G210" s="16" t="str">
        <f>"132.62"</f>
        <v>132.62</v>
      </c>
      <c r="H210" s="17"/>
      <c r="I210" s="18">
        <v>3</v>
      </c>
      <c r="J210" s="18">
        <v>2016</v>
      </c>
      <c r="K210" s="18" t="str">
        <f>"178.96"</f>
        <v>178.96</v>
      </c>
      <c r="L210" s="18"/>
      <c r="M210" s="18"/>
      <c r="N210" s="18"/>
      <c r="O210" s="18"/>
      <c r="P210" s="18"/>
      <c r="Q210" s="18" t="str">
        <f>"130.55"</f>
        <v>130.55</v>
      </c>
      <c r="R210" s="18"/>
      <c r="S210" s="18"/>
      <c r="T210" s="18"/>
      <c r="U210" s="18" t="str">
        <f>"134.69"</f>
        <v>134.69</v>
      </c>
      <c r="V210" s="18"/>
      <c r="W210" s="18"/>
      <c r="X210" s="18"/>
      <c r="Y210" s="18"/>
      <c r="Z210" s="18" t="str">
        <f>"140.68"</f>
        <v>140.68</v>
      </c>
      <c r="AA210" s="18"/>
      <c r="AB210" s="18"/>
      <c r="AC210" s="18"/>
      <c r="AD210" s="18"/>
      <c r="AE210" s="18"/>
      <c r="AF210" s="18"/>
      <c r="AG210" s="18"/>
      <c r="AH210" s="18"/>
      <c r="AI210" s="18"/>
    </row>
    <row r="211" spans="1:35">
      <c r="A211" s="14">
        <v>209</v>
      </c>
      <c r="B211" s="14">
        <v>134</v>
      </c>
      <c r="C211" s="14" t="s">
        <v>332</v>
      </c>
      <c r="D211" s="14" t="s">
        <v>51</v>
      </c>
      <c r="E211" s="15" t="str">
        <f>"93.04"</f>
        <v>93.04</v>
      </c>
      <c r="F211" s="15"/>
      <c r="G211" s="16" t="str">
        <f>"133.04"</f>
        <v>133.04</v>
      </c>
      <c r="H211" s="17" t="s">
        <v>48</v>
      </c>
      <c r="I211" s="18">
        <v>1</v>
      </c>
      <c r="J211" s="18">
        <v>2016</v>
      </c>
      <c r="K211" s="18" t="str">
        <f>"93.04"</f>
        <v>93.04</v>
      </c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</row>
    <row r="212" spans="1:35">
      <c r="A212" s="14">
        <v>210</v>
      </c>
      <c r="B212" s="14">
        <v>1435</v>
      </c>
      <c r="C212" s="14" t="s">
        <v>333</v>
      </c>
      <c r="D212" s="14" t="s">
        <v>222</v>
      </c>
      <c r="E212" s="15" t="str">
        <f>"133.92"</f>
        <v>133.92</v>
      </c>
      <c r="F212" s="15"/>
      <c r="G212" s="16" t="str">
        <f>"133.92"</f>
        <v>133.92</v>
      </c>
      <c r="H212" s="17"/>
      <c r="I212" s="18">
        <v>3</v>
      </c>
      <c r="J212" s="18">
        <v>2016</v>
      </c>
      <c r="K212" s="18" t="str">
        <f>"171.18"</f>
        <v>171.18</v>
      </c>
      <c r="L212" s="18"/>
      <c r="M212" s="18" t="str">
        <f>"169.91"</f>
        <v>169.91</v>
      </c>
      <c r="N212" s="18"/>
      <c r="O212" s="18" t="str">
        <f>"204.61"</f>
        <v>204.61</v>
      </c>
      <c r="P212" s="18"/>
      <c r="Q212" s="18"/>
      <c r="R212" s="18"/>
      <c r="S212" s="18"/>
      <c r="T212" s="18"/>
      <c r="U212" s="18"/>
      <c r="V212" s="18" t="str">
        <f>"113.68"</f>
        <v>113.68</v>
      </c>
      <c r="W212" s="18"/>
      <c r="X212" s="18"/>
      <c r="Y212" s="18"/>
      <c r="Z212" s="18"/>
      <c r="AA212" s="18"/>
      <c r="AB212" s="18"/>
      <c r="AC212" s="18"/>
      <c r="AD212" s="18"/>
      <c r="AE212" s="18" t="str">
        <f>"239.40"</f>
        <v>239.40</v>
      </c>
      <c r="AF212" s="18" t="str">
        <f>"255.73"</f>
        <v>255.73</v>
      </c>
      <c r="AG212" s="18" t="str">
        <f>"156.13"</f>
        <v>156.13</v>
      </c>
      <c r="AH212" s="18" t="str">
        <f>"154.16"</f>
        <v>154.16</v>
      </c>
      <c r="AI212" s="18"/>
    </row>
    <row r="213" spans="1:35">
      <c r="A213" s="14">
        <v>211</v>
      </c>
      <c r="B213" s="14">
        <v>9052</v>
      </c>
      <c r="C213" s="14" t="s">
        <v>334</v>
      </c>
      <c r="D213" s="14" t="s">
        <v>176</v>
      </c>
      <c r="E213" s="15" t="str">
        <f>"134.34"</f>
        <v>134.34</v>
      </c>
      <c r="F213" s="15"/>
      <c r="G213" s="16" t="str">
        <f>"134.34"</f>
        <v>134.34</v>
      </c>
      <c r="H213" s="17"/>
      <c r="I213" s="18">
        <v>5</v>
      </c>
      <c r="J213" s="18">
        <v>2016</v>
      </c>
      <c r="K213" s="18"/>
      <c r="L213" s="18" t="str">
        <f>"153.79"</f>
        <v>153.79</v>
      </c>
      <c r="M213" s="18"/>
      <c r="N213" s="18" t="str">
        <f>"114.89"</f>
        <v>114.89</v>
      </c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</row>
    <row r="214" spans="1:35">
      <c r="A214" s="14">
        <v>212</v>
      </c>
      <c r="B214" s="14">
        <v>5193</v>
      </c>
      <c r="C214" s="14" t="s">
        <v>335</v>
      </c>
      <c r="D214" s="14" t="s">
        <v>179</v>
      </c>
      <c r="E214" s="15" t="str">
        <f>"134.54"</f>
        <v>134.54</v>
      </c>
      <c r="F214" s="15"/>
      <c r="G214" s="16" t="str">
        <f>"134.54"</f>
        <v>134.54</v>
      </c>
      <c r="H214" s="17"/>
      <c r="I214" s="18">
        <v>3</v>
      </c>
      <c r="J214" s="18">
        <v>2016</v>
      </c>
      <c r="K214" s="18" t="str">
        <f>"194.84"</f>
        <v>194.84</v>
      </c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 t="str">
        <f>"125.70"</f>
        <v>125.70</v>
      </c>
      <c r="AF214" s="18" t="str">
        <f>"143.37"</f>
        <v>143.37</v>
      </c>
      <c r="AG214" s="18"/>
      <c r="AH214" s="18"/>
      <c r="AI214" s="18"/>
    </row>
    <row r="215" spans="1:35">
      <c r="A215" s="14">
        <v>213</v>
      </c>
      <c r="B215" s="14">
        <v>8378</v>
      </c>
      <c r="C215" s="14" t="s">
        <v>336</v>
      </c>
      <c r="D215" s="14" t="s">
        <v>337</v>
      </c>
      <c r="E215" s="15" t="str">
        <f>"115.19"</f>
        <v>115.19</v>
      </c>
      <c r="F215" s="15"/>
      <c r="G215" s="16">
        <v>135.19</v>
      </c>
      <c r="H215" s="17" t="s">
        <v>78</v>
      </c>
      <c r="I215" s="18">
        <v>1</v>
      </c>
      <c r="J215" s="18">
        <v>2016</v>
      </c>
      <c r="K215" s="18" t="str">
        <f>"115.19"</f>
        <v>115.19</v>
      </c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</row>
    <row r="216" spans="1:35">
      <c r="A216" s="14">
        <v>214</v>
      </c>
      <c r="B216" s="14">
        <v>6307</v>
      </c>
      <c r="C216" s="14" t="s">
        <v>338</v>
      </c>
      <c r="D216" s="14" t="s">
        <v>76</v>
      </c>
      <c r="E216" s="15" t="str">
        <f>"117.29"</f>
        <v>117.29</v>
      </c>
      <c r="F216" s="15"/>
      <c r="G216" s="16" t="str">
        <f>"135.81"</f>
        <v>135.81</v>
      </c>
      <c r="H216" s="17"/>
      <c r="I216" s="18">
        <v>3</v>
      </c>
      <c r="J216" s="18">
        <v>2016</v>
      </c>
      <c r="K216" s="18" t="str">
        <f>"117.29"</f>
        <v>117.29</v>
      </c>
      <c r="L216" s="18" t="str">
        <f>"174.92"</f>
        <v>174.92</v>
      </c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 t="str">
        <f>"120.04"</f>
        <v>120.04</v>
      </c>
      <c r="Z216" s="18"/>
      <c r="AA216" s="18"/>
      <c r="AB216" s="18"/>
      <c r="AC216" s="18"/>
      <c r="AD216" s="18" t="str">
        <f>"151.58"</f>
        <v>151.58</v>
      </c>
      <c r="AE216" s="18"/>
      <c r="AF216" s="18"/>
      <c r="AG216" s="18"/>
      <c r="AH216" s="18"/>
      <c r="AI216" s="18"/>
    </row>
    <row r="217" spans="1:35">
      <c r="A217" s="14">
        <v>215</v>
      </c>
      <c r="B217" s="14">
        <v>4039</v>
      </c>
      <c r="C217" s="14" t="s">
        <v>339</v>
      </c>
      <c r="D217" s="14" t="s">
        <v>184</v>
      </c>
      <c r="E217" s="15" t="str">
        <f>"122.46"</f>
        <v>122.46</v>
      </c>
      <c r="F217" s="15"/>
      <c r="G217" s="16" t="str">
        <f>"136.35"</f>
        <v>136.35</v>
      </c>
      <c r="H217" s="17"/>
      <c r="I217" s="18">
        <v>3</v>
      </c>
      <c r="J217" s="18">
        <v>2016</v>
      </c>
      <c r="K217" s="18" t="str">
        <f>"122.46"</f>
        <v>122.46</v>
      </c>
      <c r="L217" s="18"/>
      <c r="M217" s="18" t="str">
        <f>"150.40"</f>
        <v>150.40</v>
      </c>
      <c r="N217" s="18"/>
      <c r="O217" s="18" t="str">
        <f>"147.56"</f>
        <v>147.56</v>
      </c>
      <c r="P217" s="18"/>
      <c r="Q217" s="18"/>
      <c r="R217" s="18"/>
      <c r="S217" s="18"/>
      <c r="T217" s="18"/>
      <c r="U217" s="18"/>
      <c r="V217" s="18"/>
      <c r="W217" s="18" t="str">
        <f>"125.14"</f>
        <v>125.14</v>
      </c>
      <c r="X217" s="18"/>
      <c r="Y217" s="18"/>
      <c r="Z217" s="18"/>
      <c r="AA217" s="18" t="str">
        <f>"221.13"</f>
        <v>221.13</v>
      </c>
      <c r="AB217" s="18"/>
      <c r="AC217" s="18"/>
      <c r="AD217" s="18"/>
      <c r="AE217" s="18"/>
      <c r="AF217" s="18"/>
      <c r="AG217" s="18"/>
      <c r="AH217" s="18"/>
      <c r="AI217" s="18"/>
    </row>
    <row r="218" spans="1:35">
      <c r="A218" s="14">
        <v>216</v>
      </c>
      <c r="B218" s="14">
        <v>3432</v>
      </c>
      <c r="C218" s="14" t="s">
        <v>340</v>
      </c>
      <c r="D218" s="14" t="s">
        <v>43</v>
      </c>
      <c r="E218" s="15" t="str">
        <f>"117.96"</f>
        <v>117.96</v>
      </c>
      <c r="F218" s="15"/>
      <c r="G218" s="16" t="str">
        <f>"136.41"</f>
        <v>136.41</v>
      </c>
      <c r="H218" s="17"/>
      <c r="I218" s="18">
        <v>3</v>
      </c>
      <c r="J218" s="18">
        <v>2016</v>
      </c>
      <c r="K218" s="18" t="str">
        <f>"117.96"</f>
        <v>117.96</v>
      </c>
      <c r="L218" s="18"/>
      <c r="M218" s="18" t="str">
        <f>"153.58"</f>
        <v>153.58</v>
      </c>
      <c r="N218" s="18"/>
      <c r="O218" s="18"/>
      <c r="P218" s="18"/>
      <c r="Q218" s="18"/>
      <c r="R218" s="18"/>
      <c r="S218" s="18"/>
      <c r="T218" s="18"/>
      <c r="U218" s="18"/>
      <c r="V218" s="18" t="str">
        <f>"119.24"</f>
        <v>119.24</v>
      </c>
      <c r="W218" s="18"/>
      <c r="X218" s="18"/>
      <c r="Y218" s="18"/>
      <c r="Z218" s="18"/>
      <c r="AA218" s="18" t="str">
        <f>"237.29"</f>
        <v>237.29</v>
      </c>
      <c r="AB218" s="18"/>
      <c r="AC218" s="18"/>
      <c r="AD218" s="18"/>
      <c r="AE218" s="18"/>
      <c r="AF218" s="18"/>
      <c r="AG218" s="18" t="str">
        <f>"171.60"</f>
        <v>171.60</v>
      </c>
      <c r="AH218" s="18"/>
      <c r="AI218" s="18"/>
    </row>
    <row r="219" spans="1:35">
      <c r="A219" s="14">
        <v>217</v>
      </c>
      <c r="B219" s="14">
        <v>3008</v>
      </c>
      <c r="C219" s="14" t="s">
        <v>341</v>
      </c>
      <c r="D219" s="14" t="s">
        <v>74</v>
      </c>
      <c r="E219" s="15" t="str">
        <f>"96.46"</f>
        <v>96.46</v>
      </c>
      <c r="F219" s="15"/>
      <c r="G219" s="16" t="str">
        <f>"136.46"</f>
        <v>136.46</v>
      </c>
      <c r="H219" s="17" t="s">
        <v>48</v>
      </c>
      <c r="I219" s="18">
        <v>1</v>
      </c>
      <c r="J219" s="18">
        <v>2016</v>
      </c>
      <c r="K219" s="18" t="str">
        <f>"96.46"</f>
        <v>96.46</v>
      </c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</row>
    <row r="220" spans="1:35">
      <c r="A220" s="14">
        <v>218</v>
      </c>
      <c r="B220" s="14">
        <v>3179</v>
      </c>
      <c r="C220" s="14" t="s">
        <v>342</v>
      </c>
      <c r="D220" s="14" t="s">
        <v>129</v>
      </c>
      <c r="E220" s="15" t="str">
        <f>"136.81"</f>
        <v>136.81</v>
      </c>
      <c r="F220" s="15"/>
      <c r="G220" s="16" t="str">
        <f>"136.81"</f>
        <v>136.81</v>
      </c>
      <c r="H220" s="17"/>
      <c r="I220" s="18">
        <v>3</v>
      </c>
      <c r="J220" s="18">
        <v>2016</v>
      </c>
      <c r="K220" s="18" t="str">
        <f>"157.99"</f>
        <v>157.99</v>
      </c>
      <c r="L220" s="18"/>
      <c r="M220" s="18" t="str">
        <f>"122.95"</f>
        <v>122.95</v>
      </c>
      <c r="N220" s="18"/>
      <c r="O220" s="18" t="str">
        <f>"150.67"</f>
        <v>150.67</v>
      </c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 t="str">
        <f>"240.52"</f>
        <v>240.52</v>
      </c>
      <c r="AB220" s="18"/>
      <c r="AC220" s="18"/>
      <c r="AD220" s="18"/>
      <c r="AE220" s="18"/>
      <c r="AF220" s="18"/>
      <c r="AG220" s="18"/>
      <c r="AH220" s="18"/>
      <c r="AI220" s="18"/>
    </row>
    <row r="221" spans="1:35">
      <c r="A221" s="14">
        <v>219</v>
      </c>
      <c r="B221" s="14">
        <v>6963</v>
      </c>
      <c r="C221" s="14" t="s">
        <v>343</v>
      </c>
      <c r="D221" s="14" t="s">
        <v>307</v>
      </c>
      <c r="E221" s="15" t="str">
        <f>"137.31"</f>
        <v>137.31</v>
      </c>
      <c r="F221" s="15"/>
      <c r="G221" s="16" t="str">
        <f>"137.31"</f>
        <v>137.31</v>
      </c>
      <c r="H221" s="17"/>
      <c r="I221" s="18">
        <v>3</v>
      </c>
      <c r="J221" s="18">
        <v>2016</v>
      </c>
      <c r="K221" s="18" t="str">
        <f>"163.13"</f>
        <v>163.13</v>
      </c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 t="str">
        <f>"143.75"</f>
        <v>143.75</v>
      </c>
      <c r="W221" s="18"/>
      <c r="X221" s="18"/>
      <c r="Y221" s="18"/>
      <c r="Z221" s="18"/>
      <c r="AA221" s="18"/>
      <c r="AB221" s="18"/>
      <c r="AC221" s="18"/>
      <c r="AD221" s="18"/>
      <c r="AE221" s="18" t="str">
        <f>"130.87"</f>
        <v>130.87</v>
      </c>
      <c r="AF221" s="18" t="str">
        <f>"237.41"</f>
        <v>237.41</v>
      </c>
      <c r="AG221" s="18"/>
      <c r="AH221" s="18"/>
      <c r="AI221" s="18"/>
    </row>
    <row r="222" spans="1:35">
      <c r="A222" s="14">
        <v>220</v>
      </c>
      <c r="B222" s="14">
        <v>6871</v>
      </c>
      <c r="C222" s="14" t="s">
        <v>344</v>
      </c>
      <c r="D222" s="14" t="s">
        <v>86</v>
      </c>
      <c r="E222" s="15" t="str">
        <f>"60.81"</f>
        <v>60.81</v>
      </c>
      <c r="F222" s="15"/>
      <c r="G222" s="16" t="str">
        <f>"138.21"</f>
        <v>138.21</v>
      </c>
      <c r="H222" s="17" t="s">
        <v>54</v>
      </c>
      <c r="I222" s="18">
        <v>2</v>
      </c>
      <c r="J222" s="18">
        <v>2016</v>
      </c>
      <c r="K222" s="18" t="str">
        <f>"60.81"</f>
        <v>60.81</v>
      </c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 t="str">
        <f>"98.21"</f>
        <v>98.21</v>
      </c>
      <c r="AB222" s="18"/>
      <c r="AC222" s="18"/>
      <c r="AD222" s="18"/>
      <c r="AE222" s="18"/>
      <c r="AF222" s="18"/>
      <c r="AG222" s="18"/>
      <c r="AH222" s="18"/>
      <c r="AI222" s="18"/>
    </row>
    <row r="223" spans="1:35">
      <c r="A223" s="14">
        <v>221</v>
      </c>
      <c r="B223" s="14">
        <v>4409</v>
      </c>
      <c r="C223" s="14" t="s">
        <v>345</v>
      </c>
      <c r="D223" s="14" t="s">
        <v>39</v>
      </c>
      <c r="E223" s="15" t="str">
        <f>"116.80"</f>
        <v>116.80</v>
      </c>
      <c r="F223" s="15"/>
      <c r="G223" s="16" t="str">
        <f>"138.48"</f>
        <v>138.48</v>
      </c>
      <c r="H223" s="17"/>
      <c r="I223" s="18">
        <v>3</v>
      </c>
      <c r="J223" s="18">
        <v>2016</v>
      </c>
      <c r="K223" s="18" t="str">
        <f>"116.80"</f>
        <v>116.80</v>
      </c>
      <c r="L223" s="18" t="str">
        <f>"147.67"</f>
        <v>147.67</v>
      </c>
      <c r="M223" s="18"/>
      <c r="N223" s="18" t="str">
        <f>"129.28"</f>
        <v>129.28</v>
      </c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</row>
    <row r="224" spans="1:35">
      <c r="A224" s="14">
        <v>222</v>
      </c>
      <c r="B224" s="14">
        <v>6852</v>
      </c>
      <c r="C224" s="14" t="s">
        <v>346</v>
      </c>
      <c r="D224" s="14" t="s">
        <v>84</v>
      </c>
      <c r="E224" s="15" t="str">
        <f>"98.83"</f>
        <v>98.83</v>
      </c>
      <c r="F224" s="15"/>
      <c r="G224" s="16" t="str">
        <f>"138.83"</f>
        <v>138.83</v>
      </c>
      <c r="H224" s="17" t="s">
        <v>48</v>
      </c>
      <c r="I224" s="18">
        <v>1</v>
      </c>
      <c r="J224" s="18">
        <v>2016</v>
      </c>
      <c r="K224" s="18" t="str">
        <f>"98.83"</f>
        <v>98.83</v>
      </c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</row>
    <row r="225" spans="1:35">
      <c r="A225" s="14">
        <v>223</v>
      </c>
      <c r="B225" s="14">
        <v>2782</v>
      </c>
      <c r="C225" s="14" t="s">
        <v>347</v>
      </c>
      <c r="D225" s="14" t="s">
        <v>225</v>
      </c>
      <c r="E225" s="15" t="str">
        <f>"112.63"</f>
        <v>112.63</v>
      </c>
      <c r="F225" s="15"/>
      <c r="G225" s="16" t="str">
        <f>"138.91"</f>
        <v>138.91</v>
      </c>
      <c r="H225" s="17"/>
      <c r="I225" s="18">
        <v>3</v>
      </c>
      <c r="J225" s="18">
        <v>2016</v>
      </c>
      <c r="K225" s="18" t="str">
        <f>"112.63"</f>
        <v>112.63</v>
      </c>
      <c r="L225" s="18"/>
      <c r="M225" s="18" t="str">
        <f>"147.45"</f>
        <v>147.45</v>
      </c>
      <c r="N225" s="18"/>
      <c r="O225" s="18" t="str">
        <f>"189.31"</f>
        <v>189.31</v>
      </c>
      <c r="P225" s="18"/>
      <c r="Q225" s="18"/>
      <c r="R225" s="18"/>
      <c r="S225" s="18"/>
      <c r="T225" s="18"/>
      <c r="U225" s="18"/>
      <c r="V225" s="18" t="str">
        <f>"157.48"</f>
        <v>157.48</v>
      </c>
      <c r="W225" s="18"/>
      <c r="X225" s="18"/>
      <c r="Y225" s="18"/>
      <c r="Z225" s="18"/>
      <c r="AA225" s="18"/>
      <c r="AB225" s="18" t="str">
        <f>"130.36"</f>
        <v>130.36</v>
      </c>
      <c r="AC225" s="18"/>
      <c r="AD225" s="18"/>
      <c r="AE225" s="18"/>
      <c r="AF225" s="18"/>
      <c r="AG225" s="18"/>
      <c r="AH225" s="18"/>
      <c r="AI225" s="18"/>
    </row>
    <row r="226" spans="1:35">
      <c r="A226" s="14">
        <v>224</v>
      </c>
      <c r="B226" s="14">
        <v>5238</v>
      </c>
      <c r="C226" s="14" t="s">
        <v>348</v>
      </c>
      <c r="D226" s="14" t="s">
        <v>98</v>
      </c>
      <c r="E226" s="15" t="str">
        <f>"139.40"</f>
        <v>139.40</v>
      </c>
      <c r="F226" s="15"/>
      <c r="G226" s="16" t="str">
        <f>"139.40"</f>
        <v>139.40</v>
      </c>
      <c r="H226" s="17"/>
      <c r="I226" s="18">
        <v>3</v>
      </c>
      <c r="J226" s="18">
        <v>2016</v>
      </c>
      <c r="K226" s="18" t="str">
        <f>"175.05"</f>
        <v>175.05</v>
      </c>
      <c r="L226" s="18"/>
      <c r="M226" s="18"/>
      <c r="N226" s="18"/>
      <c r="O226" s="18"/>
      <c r="P226" s="18"/>
      <c r="Q226" s="18" t="str">
        <f>"185.10"</f>
        <v>185.10</v>
      </c>
      <c r="R226" s="18"/>
      <c r="S226" s="18"/>
      <c r="T226" s="18"/>
      <c r="U226" s="18" t="str">
        <f>"203.02"</f>
        <v>203.02</v>
      </c>
      <c r="V226" s="18"/>
      <c r="W226" s="18"/>
      <c r="X226" s="18"/>
      <c r="Y226" s="18"/>
      <c r="Z226" s="18" t="str">
        <f>"150.28"</f>
        <v>150.28</v>
      </c>
      <c r="AA226" s="18"/>
      <c r="AB226" s="18"/>
      <c r="AC226" s="18"/>
      <c r="AD226" s="18"/>
      <c r="AE226" s="18"/>
      <c r="AF226" s="18"/>
      <c r="AG226" s="18" t="str">
        <f>"128.52"</f>
        <v>128.52</v>
      </c>
      <c r="AH226" s="18"/>
      <c r="AI226" s="18"/>
    </row>
    <row r="227" spans="1:35">
      <c r="A227" s="14">
        <v>225</v>
      </c>
      <c r="B227" s="14">
        <v>10277</v>
      </c>
      <c r="C227" s="14" t="s">
        <v>349</v>
      </c>
      <c r="D227" s="14" t="s">
        <v>98</v>
      </c>
      <c r="E227" s="15" t="str">
        <f>"139.71"</f>
        <v>139.71</v>
      </c>
      <c r="F227" s="15"/>
      <c r="G227" s="16" t="str">
        <f>"139.71"</f>
        <v>139.71</v>
      </c>
      <c r="H227" s="17"/>
      <c r="I227" s="18">
        <v>3</v>
      </c>
      <c r="J227" s="18">
        <v>2016</v>
      </c>
      <c r="K227" s="18" t="str">
        <f>"146.63"</f>
        <v>146.63</v>
      </c>
      <c r="L227" s="18"/>
      <c r="M227" s="18"/>
      <c r="N227" s="18"/>
      <c r="O227" s="18"/>
      <c r="P227" s="18"/>
      <c r="Q227" s="18" t="str">
        <f>"141.01"</f>
        <v>141.01</v>
      </c>
      <c r="R227" s="18"/>
      <c r="S227" s="18"/>
      <c r="T227" s="18"/>
      <c r="U227" s="18" t="str">
        <f>"195.54"</f>
        <v>195.54</v>
      </c>
      <c r="V227" s="18"/>
      <c r="W227" s="18"/>
      <c r="X227" s="18"/>
      <c r="Y227" s="18"/>
      <c r="Z227" s="18" t="str">
        <f>"138.40"</f>
        <v>138.40</v>
      </c>
      <c r="AA227" s="18"/>
      <c r="AB227" s="18"/>
      <c r="AC227" s="18"/>
      <c r="AD227" s="18"/>
      <c r="AE227" s="18"/>
      <c r="AF227" s="18"/>
      <c r="AG227" s="18"/>
      <c r="AH227" s="18"/>
      <c r="AI227" s="18" t="str">
        <f>"165.48"</f>
        <v>165.48</v>
      </c>
    </row>
    <row r="228" spans="1:35">
      <c r="A228" s="14">
        <v>226</v>
      </c>
      <c r="B228" s="14">
        <v>10815</v>
      </c>
      <c r="C228" s="14" t="s">
        <v>350</v>
      </c>
      <c r="D228" s="14" t="s">
        <v>98</v>
      </c>
      <c r="E228" s="15" t="str">
        <f>"139.93"</f>
        <v>139.93</v>
      </c>
      <c r="F228" s="15"/>
      <c r="G228" s="16" t="str">
        <f>"139.93"</f>
        <v>139.93</v>
      </c>
      <c r="H228" s="17"/>
      <c r="I228" s="18">
        <v>5</v>
      </c>
      <c r="J228" s="18">
        <v>2016</v>
      </c>
      <c r="K228" s="18"/>
      <c r="L228" s="18"/>
      <c r="M228" s="18"/>
      <c r="N228" s="18"/>
      <c r="O228" s="18"/>
      <c r="P228" s="18"/>
      <c r="Q228" s="18" t="str">
        <f>"166.60"</f>
        <v>166.60</v>
      </c>
      <c r="R228" s="18"/>
      <c r="S228" s="18"/>
      <c r="T228" s="18"/>
      <c r="U228" s="18"/>
      <c r="V228" s="18"/>
      <c r="W228" s="18"/>
      <c r="X228" s="18"/>
      <c r="Y228" s="18"/>
      <c r="Z228" s="18" t="str">
        <f>"113.26"</f>
        <v>113.26</v>
      </c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1:35">
      <c r="A229" s="14">
        <v>227</v>
      </c>
      <c r="B229" s="14">
        <v>7834</v>
      </c>
      <c r="C229" s="14" t="s">
        <v>351</v>
      </c>
      <c r="D229" s="14" t="s">
        <v>98</v>
      </c>
      <c r="E229" s="15" t="str">
        <f>"103.53"</f>
        <v>103.53</v>
      </c>
      <c r="F229" s="15"/>
      <c r="G229" s="16" t="str">
        <f>"140.04"</f>
        <v>140.04</v>
      </c>
      <c r="H229" s="17"/>
      <c r="I229" s="18">
        <v>3</v>
      </c>
      <c r="J229" s="18">
        <v>2016</v>
      </c>
      <c r="K229" s="18" t="str">
        <f>"109.72"</f>
        <v>109.72</v>
      </c>
      <c r="L229" s="18"/>
      <c r="M229" s="18"/>
      <c r="N229" s="18"/>
      <c r="O229" s="18"/>
      <c r="P229" s="18"/>
      <c r="Q229" s="18"/>
      <c r="R229" s="18"/>
      <c r="S229" s="18"/>
      <c r="T229" s="18"/>
      <c r="U229" s="18" t="str">
        <f>"97.34"</f>
        <v>97.34</v>
      </c>
      <c r="V229" s="18"/>
      <c r="W229" s="18"/>
      <c r="X229" s="18"/>
      <c r="Y229" s="18"/>
      <c r="Z229" s="18" t="str">
        <f>"182.73"</f>
        <v>182.73</v>
      </c>
      <c r="AA229" s="18"/>
      <c r="AB229" s="18"/>
      <c r="AC229" s="18"/>
      <c r="AD229" s="18"/>
      <c r="AE229" s="18"/>
      <c r="AF229" s="18"/>
      <c r="AG229" s="18"/>
      <c r="AH229" s="18"/>
      <c r="AI229" s="18"/>
    </row>
    <row r="230" spans="1:35">
      <c r="A230" s="14">
        <v>228</v>
      </c>
      <c r="B230" s="14">
        <v>5551</v>
      </c>
      <c r="C230" s="14" t="s">
        <v>352</v>
      </c>
      <c r="D230" s="14" t="s">
        <v>184</v>
      </c>
      <c r="E230" s="15" t="str">
        <f>"140.19"</f>
        <v>140.19</v>
      </c>
      <c r="F230" s="15"/>
      <c r="G230" s="16" t="str">
        <f>"140.19"</f>
        <v>140.19</v>
      </c>
      <c r="H230" s="17"/>
      <c r="I230" s="18">
        <v>3</v>
      </c>
      <c r="J230" s="18">
        <v>2016</v>
      </c>
      <c r="K230" s="18" t="str">
        <f>"219.84"</f>
        <v>219.84</v>
      </c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 t="str">
        <f>"104.20"</f>
        <v>104.20</v>
      </c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 t="str">
        <f>"176.18"</f>
        <v>176.18</v>
      </c>
      <c r="AI230" s="18"/>
    </row>
    <row r="231" spans="1:35">
      <c r="A231" s="14">
        <v>229</v>
      </c>
      <c r="B231" s="14">
        <v>2017</v>
      </c>
      <c r="C231" s="14" t="s">
        <v>353</v>
      </c>
      <c r="D231" s="14" t="s">
        <v>354</v>
      </c>
      <c r="E231" s="15" t="str">
        <f>"90.40"</f>
        <v>90.40</v>
      </c>
      <c r="F231" s="15"/>
      <c r="G231" s="16" t="str">
        <f>"140.25"</f>
        <v>140.25</v>
      </c>
      <c r="H231" s="17"/>
      <c r="I231" s="18">
        <v>3</v>
      </c>
      <c r="J231" s="18">
        <v>2016</v>
      </c>
      <c r="K231" s="18" t="str">
        <f>"90.40"</f>
        <v>90.40</v>
      </c>
      <c r="L231" s="18"/>
      <c r="M231" s="18"/>
      <c r="N231" s="18"/>
      <c r="O231" s="18" t="str">
        <f>"125.77"</f>
        <v>125.77</v>
      </c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 t="str">
        <f>"188.18"</f>
        <v>188.18</v>
      </c>
      <c r="AB231" s="18"/>
      <c r="AC231" s="18"/>
      <c r="AD231" s="18"/>
      <c r="AE231" s="18"/>
      <c r="AF231" s="18"/>
      <c r="AG231" s="18"/>
      <c r="AH231" s="18" t="str">
        <f>"154.72"</f>
        <v>154.72</v>
      </c>
      <c r="AI231" s="18"/>
    </row>
    <row r="232" spans="1:35">
      <c r="A232" s="14">
        <v>230</v>
      </c>
      <c r="B232" s="14">
        <v>4377</v>
      </c>
      <c r="C232" s="14" t="s">
        <v>355</v>
      </c>
      <c r="D232" s="14" t="s">
        <v>222</v>
      </c>
      <c r="E232" s="15" t="str">
        <f>"119.06"</f>
        <v>119.06</v>
      </c>
      <c r="F232" s="15"/>
      <c r="G232" s="16" t="str">
        <f>"140.65"</f>
        <v>140.65</v>
      </c>
      <c r="H232" s="17"/>
      <c r="I232" s="18">
        <v>3</v>
      </c>
      <c r="J232" s="18">
        <v>2016</v>
      </c>
      <c r="K232" s="18" t="str">
        <f>"122.97"</f>
        <v>122.97</v>
      </c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 t="str">
        <f>"115.15"</f>
        <v>115.15</v>
      </c>
      <c r="W232" s="18"/>
      <c r="X232" s="18"/>
      <c r="Y232" s="18"/>
      <c r="Z232" s="18"/>
      <c r="AA232" s="18"/>
      <c r="AB232" s="18" t="str">
        <f>"166.14"</f>
        <v>166.14</v>
      </c>
      <c r="AC232" s="18"/>
      <c r="AD232" s="18"/>
      <c r="AE232" s="18"/>
      <c r="AF232" s="18"/>
      <c r="AG232" s="18"/>
      <c r="AH232" s="18"/>
      <c r="AI232" s="18"/>
    </row>
    <row r="233" spans="1:35">
      <c r="A233" s="14">
        <v>231</v>
      </c>
      <c r="B233" s="14">
        <v>5262</v>
      </c>
      <c r="C233" s="14" t="s">
        <v>356</v>
      </c>
      <c r="D233" s="14" t="s">
        <v>317</v>
      </c>
      <c r="E233" s="15" t="str">
        <f>"100.65"</f>
        <v>100.65</v>
      </c>
      <c r="F233" s="15"/>
      <c r="G233" s="16" t="str">
        <f>"140.65"</f>
        <v>140.65</v>
      </c>
      <c r="H233" s="17" t="s">
        <v>48</v>
      </c>
      <c r="I233" s="18">
        <v>1</v>
      </c>
      <c r="J233" s="18">
        <v>2016</v>
      </c>
      <c r="K233" s="18" t="str">
        <f>"100.65"</f>
        <v>100.65</v>
      </c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</row>
    <row r="234" spans="1:35">
      <c r="A234" s="14">
        <v>232</v>
      </c>
      <c r="B234" s="14">
        <v>2275</v>
      </c>
      <c r="C234" s="14" t="s">
        <v>357</v>
      </c>
      <c r="D234" s="14" t="s">
        <v>112</v>
      </c>
      <c r="E234" s="15" t="str">
        <f>"135.88"</f>
        <v>135.88</v>
      </c>
      <c r="F234" s="15"/>
      <c r="G234" s="16" t="str">
        <f>"140.80"</f>
        <v>140.80</v>
      </c>
      <c r="H234" s="17"/>
      <c r="I234" s="18">
        <v>3</v>
      </c>
      <c r="J234" s="18">
        <v>2016</v>
      </c>
      <c r="K234" s="18" t="str">
        <f>"135.88"</f>
        <v>135.88</v>
      </c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 t="str">
        <f>"222.91"</f>
        <v>222.91</v>
      </c>
      <c r="AB234" s="18"/>
      <c r="AC234" s="18"/>
      <c r="AD234" s="18"/>
      <c r="AE234" s="18" t="str">
        <f>"143.13"</f>
        <v>143.13</v>
      </c>
      <c r="AF234" s="18" t="str">
        <f>"138.47"</f>
        <v>138.47</v>
      </c>
      <c r="AG234" s="18"/>
      <c r="AH234" s="18"/>
      <c r="AI234" s="18"/>
    </row>
    <row r="235" spans="1:35">
      <c r="A235" s="14">
        <v>233</v>
      </c>
      <c r="B235" s="14">
        <v>3627</v>
      </c>
      <c r="C235" s="14" t="s">
        <v>358</v>
      </c>
      <c r="D235" s="14" t="s">
        <v>43</v>
      </c>
      <c r="E235" s="15" t="str">
        <f>"101.73"</f>
        <v>101.73</v>
      </c>
      <c r="F235" s="15"/>
      <c r="G235" s="16" t="str">
        <f>"141.73"</f>
        <v>141.73</v>
      </c>
      <c r="H235" s="17" t="s">
        <v>48</v>
      </c>
      <c r="I235" s="18">
        <v>1</v>
      </c>
      <c r="J235" s="18">
        <v>2016</v>
      </c>
      <c r="K235" s="18" t="str">
        <f>"101.73"</f>
        <v>101.73</v>
      </c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</row>
    <row r="236" spans="1:35">
      <c r="A236" s="14">
        <v>234</v>
      </c>
      <c r="B236" s="14">
        <v>8632</v>
      </c>
      <c r="C236" s="14" t="s">
        <v>359</v>
      </c>
      <c r="D236" s="14" t="s">
        <v>76</v>
      </c>
      <c r="E236" s="15" t="str">
        <f>"141.83"</f>
        <v>141.83</v>
      </c>
      <c r="F236" s="15"/>
      <c r="G236" s="16" t="str">
        <f>"141.83"</f>
        <v>141.83</v>
      </c>
      <c r="H236" s="17"/>
      <c r="I236" s="18">
        <v>3</v>
      </c>
      <c r="J236" s="18">
        <v>2016</v>
      </c>
      <c r="K236" s="18" t="str">
        <f>"214.77"</f>
        <v>214.77</v>
      </c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 t="str">
        <f>"150.10"</f>
        <v>150.10</v>
      </c>
      <c r="AD236" s="18" t="str">
        <f>"133.56"</f>
        <v>133.56</v>
      </c>
      <c r="AE236" s="18"/>
      <c r="AF236" s="18"/>
      <c r="AG236" s="18"/>
      <c r="AH236" s="18"/>
      <c r="AI236" s="18"/>
    </row>
    <row r="237" spans="1:35">
      <c r="A237" s="14">
        <v>235</v>
      </c>
      <c r="B237" s="14">
        <v>3684</v>
      </c>
      <c r="C237" s="14" t="s">
        <v>360</v>
      </c>
      <c r="D237" s="14" t="s">
        <v>282</v>
      </c>
      <c r="E237" s="15" t="str">
        <f>"123.54"</f>
        <v>123.54</v>
      </c>
      <c r="F237" s="15"/>
      <c r="G237" s="16" t="str">
        <f>"142.04"</f>
        <v>142.04</v>
      </c>
      <c r="H237" s="17"/>
      <c r="I237" s="18">
        <v>3</v>
      </c>
      <c r="J237" s="18">
        <v>2016</v>
      </c>
      <c r="K237" s="18" t="str">
        <f>"123.54"</f>
        <v>123.54</v>
      </c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 t="str">
        <f>"194.09"</f>
        <v>194.09</v>
      </c>
      <c r="W237" s="18"/>
      <c r="X237" s="18"/>
      <c r="Y237" s="18"/>
      <c r="Z237" s="18"/>
      <c r="AA237" s="18" t="str">
        <f>"253.44"</f>
        <v>253.44</v>
      </c>
      <c r="AB237" s="18"/>
      <c r="AC237" s="18"/>
      <c r="AD237" s="18"/>
      <c r="AE237" s="18" t="str">
        <f>"150.33"</f>
        <v>150.33</v>
      </c>
      <c r="AF237" s="18"/>
      <c r="AG237" s="18" t="str">
        <f>"133.75"</f>
        <v>133.75</v>
      </c>
      <c r="AH237" s="18"/>
      <c r="AI237" s="18"/>
    </row>
    <row r="238" spans="1:35">
      <c r="A238" s="14">
        <v>236</v>
      </c>
      <c r="B238" s="14">
        <v>5483</v>
      </c>
      <c r="C238" s="14" t="s">
        <v>361</v>
      </c>
      <c r="D238" s="14" t="s">
        <v>98</v>
      </c>
      <c r="E238" s="15" t="str">
        <f>"142.30"</f>
        <v>142.30</v>
      </c>
      <c r="F238" s="15"/>
      <c r="G238" s="16" t="str">
        <f>"142.30"</f>
        <v>142.30</v>
      </c>
      <c r="H238" s="17"/>
      <c r="I238" s="18">
        <v>3</v>
      </c>
      <c r="J238" s="18">
        <v>2016</v>
      </c>
      <c r="K238" s="18" t="str">
        <f>"232.43"</f>
        <v>232.43</v>
      </c>
      <c r="L238" s="18"/>
      <c r="M238" s="18"/>
      <c r="N238" s="18"/>
      <c r="O238" s="18"/>
      <c r="P238" s="18"/>
      <c r="Q238" s="18" t="str">
        <f>"144.38"</f>
        <v>144.38</v>
      </c>
      <c r="R238" s="18"/>
      <c r="S238" s="18"/>
      <c r="T238" s="18"/>
      <c r="U238" s="18" t="str">
        <f>"201.33"</f>
        <v>201.33</v>
      </c>
      <c r="V238" s="18"/>
      <c r="W238" s="18"/>
      <c r="X238" s="18"/>
      <c r="Y238" s="18"/>
      <c r="Z238" s="18" t="str">
        <f>"140.22"</f>
        <v>140.22</v>
      </c>
      <c r="AA238" s="18" t="str">
        <f>"205.14"</f>
        <v>205.14</v>
      </c>
      <c r="AB238" s="18"/>
      <c r="AC238" s="18"/>
      <c r="AD238" s="18"/>
      <c r="AE238" s="18"/>
      <c r="AF238" s="18"/>
      <c r="AG238" s="18"/>
      <c r="AH238" s="18"/>
      <c r="AI238" s="18"/>
    </row>
    <row r="239" spans="1:35">
      <c r="A239" s="14">
        <v>237</v>
      </c>
      <c r="B239" s="14">
        <v>8372</v>
      </c>
      <c r="C239" s="14" t="s">
        <v>362</v>
      </c>
      <c r="D239" s="14" t="s">
        <v>53</v>
      </c>
      <c r="E239" s="15" t="str">
        <f>"85.68"</f>
        <v>85.68</v>
      </c>
      <c r="F239" s="15"/>
      <c r="G239" s="16" t="str">
        <f>"142.41"</f>
        <v>142.41</v>
      </c>
      <c r="H239" s="17" t="s">
        <v>54</v>
      </c>
      <c r="I239" s="18">
        <v>2</v>
      </c>
      <c r="J239" s="18">
        <v>2016</v>
      </c>
      <c r="K239" s="18" t="str">
        <f>"85.68"</f>
        <v>85.68</v>
      </c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 t="str">
        <f>"102.41"</f>
        <v>102.41</v>
      </c>
      <c r="AB239" s="18"/>
      <c r="AC239" s="18"/>
      <c r="AD239" s="18"/>
      <c r="AE239" s="18"/>
      <c r="AF239" s="18"/>
      <c r="AG239" s="18"/>
      <c r="AH239" s="18"/>
      <c r="AI239" s="18"/>
    </row>
    <row r="240" spans="1:35">
      <c r="A240" s="14">
        <v>238</v>
      </c>
      <c r="B240" s="14">
        <v>10695</v>
      </c>
      <c r="C240" s="14" t="s">
        <v>363</v>
      </c>
      <c r="D240" s="14" t="s">
        <v>364</v>
      </c>
      <c r="E240" s="15" t="str">
        <f>"102.47"</f>
        <v>102.47</v>
      </c>
      <c r="F240" s="15"/>
      <c r="G240" s="16" t="str">
        <f>"142.47"</f>
        <v>142.47</v>
      </c>
      <c r="H240" s="17" t="s">
        <v>48</v>
      </c>
      <c r="I240" s="18">
        <v>1</v>
      </c>
      <c r="J240" s="18">
        <v>2016</v>
      </c>
      <c r="K240" s="18" t="str">
        <f>"102.47"</f>
        <v>102.47</v>
      </c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</row>
    <row r="241" spans="1:35">
      <c r="A241" s="14">
        <v>239</v>
      </c>
      <c r="B241" s="14">
        <v>9547</v>
      </c>
      <c r="C241" s="14" t="s">
        <v>365</v>
      </c>
      <c r="D241" s="14" t="s">
        <v>170</v>
      </c>
      <c r="E241" s="15" t="str">
        <f>"119.79"</f>
        <v>119.79</v>
      </c>
      <c r="F241" s="15"/>
      <c r="G241" s="16" t="str">
        <f>"143.11"</f>
        <v>143.11</v>
      </c>
      <c r="H241" s="17"/>
      <c r="I241" s="18">
        <v>3</v>
      </c>
      <c r="J241" s="18">
        <v>2016</v>
      </c>
      <c r="K241" s="18" t="str">
        <f>"119.79"</f>
        <v>119.79</v>
      </c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 t="str">
        <f>"128.39"</f>
        <v>128.39</v>
      </c>
      <c r="W241" s="18"/>
      <c r="X241" s="18"/>
      <c r="Y241" s="18"/>
      <c r="Z241" s="18"/>
      <c r="AA241" s="18" t="str">
        <f>"232.44"</f>
        <v>232.44</v>
      </c>
      <c r="AB241" s="18"/>
      <c r="AC241" s="18"/>
      <c r="AD241" s="18"/>
      <c r="AE241" s="18" t="str">
        <f>"157.83"</f>
        <v>157.83</v>
      </c>
      <c r="AF241" s="18" t="str">
        <f>"167.55"</f>
        <v>167.55</v>
      </c>
      <c r="AG241" s="18"/>
      <c r="AH241" s="18"/>
      <c r="AI241" s="18"/>
    </row>
    <row r="242" spans="1:35">
      <c r="A242" s="14">
        <v>240</v>
      </c>
      <c r="B242" s="14">
        <v>10673</v>
      </c>
      <c r="C242" s="14" t="s">
        <v>366</v>
      </c>
      <c r="D242" s="14" t="s">
        <v>43</v>
      </c>
      <c r="E242" s="15" t="str">
        <f>"103.17"</f>
        <v>103.17</v>
      </c>
      <c r="F242" s="15"/>
      <c r="G242" s="16" t="str">
        <f>"143.17"</f>
        <v>143.17</v>
      </c>
      <c r="H242" s="17" t="s">
        <v>48</v>
      </c>
      <c r="I242" s="18">
        <v>1</v>
      </c>
      <c r="J242" s="18">
        <v>2016</v>
      </c>
      <c r="K242" s="18" t="str">
        <f>"103.17"</f>
        <v>103.17</v>
      </c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</row>
    <row r="243" spans="1:35">
      <c r="A243" s="14">
        <v>241</v>
      </c>
      <c r="B243" s="14">
        <v>5749</v>
      </c>
      <c r="C243" s="14" t="s">
        <v>367</v>
      </c>
      <c r="D243" s="14" t="s">
        <v>368</v>
      </c>
      <c r="E243" s="15" t="str">
        <f>"103.53"</f>
        <v>103.53</v>
      </c>
      <c r="F243" s="15"/>
      <c r="G243" s="16" t="str">
        <f>"143.53"</f>
        <v>143.53</v>
      </c>
      <c r="H243" s="17" t="s">
        <v>48</v>
      </c>
      <c r="I243" s="18">
        <v>1</v>
      </c>
      <c r="J243" s="18">
        <v>2016</v>
      </c>
      <c r="K243" s="18" t="str">
        <f>"103.53"</f>
        <v>103.53</v>
      </c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</row>
    <row r="244" spans="1:35">
      <c r="A244" s="14">
        <v>242</v>
      </c>
      <c r="B244" s="14">
        <v>1247</v>
      </c>
      <c r="C244" s="14" t="s">
        <v>369</v>
      </c>
      <c r="D244" s="14" t="s">
        <v>276</v>
      </c>
      <c r="E244" s="15" t="str">
        <f>"104.11"</f>
        <v>104.11</v>
      </c>
      <c r="F244" s="15"/>
      <c r="G244" s="16" t="str">
        <f>"144.11"</f>
        <v>144.11</v>
      </c>
      <c r="H244" s="17" t="s">
        <v>48</v>
      </c>
      <c r="I244" s="18">
        <v>1</v>
      </c>
      <c r="J244" s="18">
        <v>2016</v>
      </c>
      <c r="K244" s="18" t="str">
        <f>"104.11"</f>
        <v>104.11</v>
      </c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</row>
    <row r="245" spans="1:35">
      <c r="A245" s="14">
        <v>243</v>
      </c>
      <c r="B245" s="14">
        <v>7504</v>
      </c>
      <c r="C245" s="14" t="s">
        <v>370</v>
      </c>
      <c r="D245" s="14" t="s">
        <v>114</v>
      </c>
      <c r="E245" s="15" t="str">
        <f>"118.83"</f>
        <v>118.83</v>
      </c>
      <c r="F245" s="15"/>
      <c r="G245" s="16" t="str">
        <f>"144.12"</f>
        <v>144.12</v>
      </c>
      <c r="H245" s="17"/>
      <c r="I245" s="18">
        <v>3</v>
      </c>
      <c r="J245" s="18">
        <v>2016</v>
      </c>
      <c r="K245" s="18" t="str">
        <f>"118.83"</f>
        <v>118.83</v>
      </c>
      <c r="L245" s="18"/>
      <c r="M245" s="18" t="str">
        <f>"154.03"</f>
        <v>154.03</v>
      </c>
      <c r="N245" s="18"/>
      <c r="O245" s="18" t="str">
        <f>"158.71"</f>
        <v>158.71</v>
      </c>
      <c r="P245" s="18"/>
      <c r="Q245" s="18"/>
      <c r="R245" s="18"/>
      <c r="S245" s="18"/>
      <c r="T245" s="18"/>
      <c r="U245" s="18"/>
      <c r="V245" s="18" t="str">
        <f>"150.78"</f>
        <v>150.78</v>
      </c>
      <c r="W245" s="18"/>
      <c r="X245" s="18"/>
      <c r="Y245" s="18"/>
      <c r="Z245" s="18"/>
      <c r="AA245" s="18" t="str">
        <f>"231.15"</f>
        <v>231.15</v>
      </c>
      <c r="AB245" s="18"/>
      <c r="AC245" s="18"/>
      <c r="AD245" s="18"/>
      <c r="AE245" s="18" t="str">
        <f>"137.46"</f>
        <v>137.46</v>
      </c>
      <c r="AF245" s="18" t="str">
        <f>"173.08"</f>
        <v>173.08</v>
      </c>
      <c r="AG245" s="18"/>
      <c r="AH245" s="18"/>
      <c r="AI245" s="18"/>
    </row>
    <row r="246" spans="1:35">
      <c r="A246" s="14">
        <v>244</v>
      </c>
      <c r="B246" s="14">
        <v>10537</v>
      </c>
      <c r="C246" s="14" t="s">
        <v>371</v>
      </c>
      <c r="D246" s="14" t="s">
        <v>76</v>
      </c>
      <c r="E246" s="15" t="str">
        <f>"138.54"</f>
        <v>138.54</v>
      </c>
      <c r="F246" s="15"/>
      <c r="G246" s="16" t="str">
        <f>"144.51"</f>
        <v>144.51</v>
      </c>
      <c r="H246" s="17"/>
      <c r="I246" s="18">
        <v>3</v>
      </c>
      <c r="J246" s="18">
        <v>2016</v>
      </c>
      <c r="K246" s="18" t="str">
        <f>"154.25"</f>
        <v>154.25</v>
      </c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 t="str">
        <f>"122.82"</f>
        <v>122.82</v>
      </c>
      <c r="AE246" s="18"/>
      <c r="AF246" s="18"/>
      <c r="AG246" s="18"/>
      <c r="AH246" s="18" t="str">
        <f>"166.19"</f>
        <v>166.19</v>
      </c>
      <c r="AI246" s="18"/>
    </row>
    <row r="247" spans="1:35">
      <c r="A247" s="14">
        <v>245</v>
      </c>
      <c r="B247" s="14">
        <v>6859</v>
      </c>
      <c r="C247" s="14" t="s">
        <v>372</v>
      </c>
      <c r="D247" s="14" t="s">
        <v>373</v>
      </c>
      <c r="E247" s="15" t="str">
        <f>"104.55"</f>
        <v>104.55</v>
      </c>
      <c r="F247" s="15"/>
      <c r="G247" s="16" t="str">
        <f>"144.55"</f>
        <v>144.55</v>
      </c>
      <c r="H247" s="17" t="s">
        <v>48</v>
      </c>
      <c r="I247" s="18">
        <v>1</v>
      </c>
      <c r="J247" s="18">
        <v>2016</v>
      </c>
      <c r="K247" s="18" t="str">
        <f>"104.55"</f>
        <v>104.55</v>
      </c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</row>
    <row r="248" spans="1:35">
      <c r="A248" s="14">
        <v>246</v>
      </c>
      <c r="B248" s="14">
        <v>10999</v>
      </c>
      <c r="C248" s="14" t="s">
        <v>374</v>
      </c>
      <c r="D248" s="14" t="s">
        <v>289</v>
      </c>
      <c r="E248" s="15" t="str">
        <f>"144.58"</f>
        <v>144.58</v>
      </c>
      <c r="F248" s="15"/>
      <c r="G248" s="16" t="str">
        <f>"144.58"</f>
        <v>144.58</v>
      </c>
      <c r="H248" s="17"/>
      <c r="I248" s="18">
        <v>5</v>
      </c>
      <c r="J248" s="18">
        <v>2016</v>
      </c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 t="str">
        <f>"143.13"</f>
        <v>143.13</v>
      </c>
      <c r="AF248" s="18" t="str">
        <f>"146.03"</f>
        <v>146.03</v>
      </c>
      <c r="AG248" s="18"/>
      <c r="AH248" s="18"/>
      <c r="AI248" s="18"/>
    </row>
    <row r="249" spans="1:35">
      <c r="A249" s="14">
        <v>247</v>
      </c>
      <c r="B249" s="14">
        <v>6757</v>
      </c>
      <c r="C249" s="14" t="s">
        <v>375</v>
      </c>
      <c r="D249" s="14" t="s">
        <v>89</v>
      </c>
      <c r="E249" s="15" t="str">
        <f>"145.18"</f>
        <v>145.18</v>
      </c>
      <c r="F249" s="15"/>
      <c r="G249" s="16" t="str">
        <f>"145.18"</f>
        <v>145.18</v>
      </c>
      <c r="H249" s="17"/>
      <c r="I249" s="18">
        <v>3</v>
      </c>
      <c r="J249" s="18">
        <v>2016</v>
      </c>
      <c r="K249" s="18" t="str">
        <f>"206.24"</f>
        <v>206.24</v>
      </c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 t="str">
        <f>"143.59"</f>
        <v>143.59</v>
      </c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 t="str">
        <f>"146.76"</f>
        <v>146.76</v>
      </c>
      <c r="AI249" s="18"/>
    </row>
    <row r="250" spans="1:35">
      <c r="A250" s="14">
        <v>248</v>
      </c>
      <c r="B250" s="14">
        <v>2188</v>
      </c>
      <c r="C250" s="14" t="s">
        <v>376</v>
      </c>
      <c r="D250" s="14" t="s">
        <v>305</v>
      </c>
      <c r="E250" s="15" t="str">
        <f>"125.56"</f>
        <v>125.56</v>
      </c>
      <c r="F250" s="15"/>
      <c r="G250" s="16">
        <v>145.56</v>
      </c>
      <c r="H250" s="17" t="s">
        <v>78</v>
      </c>
      <c r="I250" s="18">
        <v>1</v>
      </c>
      <c r="J250" s="18">
        <v>2016</v>
      </c>
      <c r="K250" s="18" t="str">
        <f>"125.56"</f>
        <v>125.56</v>
      </c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</row>
    <row r="251" spans="1:35">
      <c r="A251" s="14">
        <v>249</v>
      </c>
      <c r="B251" s="14">
        <v>9143</v>
      </c>
      <c r="C251" s="14" t="s">
        <v>377</v>
      </c>
      <c r="D251" s="14" t="s">
        <v>378</v>
      </c>
      <c r="E251" s="15" t="str">
        <f>"100.35"</f>
        <v>100.35</v>
      </c>
      <c r="F251" s="15"/>
      <c r="G251" s="16" t="str">
        <f>"145.70"</f>
        <v>145.70</v>
      </c>
      <c r="H251" s="17"/>
      <c r="I251" s="18">
        <v>3</v>
      </c>
      <c r="J251" s="18">
        <v>2016</v>
      </c>
      <c r="K251" s="18" t="str">
        <f>"100.35"</f>
        <v>100.35</v>
      </c>
      <c r="L251" s="18"/>
      <c r="M251" s="18" t="str">
        <f>"136.11"</f>
        <v>136.11</v>
      </c>
      <c r="N251" s="18"/>
      <c r="O251" s="18" t="str">
        <f>"172.45"</f>
        <v>172.45</v>
      </c>
      <c r="P251" s="18"/>
      <c r="Q251" s="18"/>
      <c r="R251" s="18"/>
      <c r="S251" s="18"/>
      <c r="T251" s="18"/>
      <c r="U251" s="18"/>
      <c r="V251" s="18" t="str">
        <f>"176.44"</f>
        <v>176.44</v>
      </c>
      <c r="W251" s="18"/>
      <c r="X251" s="18"/>
      <c r="Y251" s="18"/>
      <c r="Z251" s="18"/>
      <c r="AA251" s="18" t="str">
        <f>"217.26"</f>
        <v>217.26</v>
      </c>
      <c r="AB251" s="18"/>
      <c r="AC251" s="18"/>
      <c r="AD251" s="18"/>
      <c r="AE251" s="18"/>
      <c r="AF251" s="18"/>
      <c r="AG251" s="18" t="str">
        <f>"155.29"</f>
        <v>155.29</v>
      </c>
      <c r="AH251" s="18"/>
      <c r="AI251" s="18"/>
    </row>
    <row r="252" spans="1:35">
      <c r="A252" s="14">
        <v>250</v>
      </c>
      <c r="B252" s="14">
        <v>4429</v>
      </c>
      <c r="C252" s="14" t="s">
        <v>379</v>
      </c>
      <c r="D252" s="14" t="s">
        <v>153</v>
      </c>
      <c r="E252" s="15" t="str">
        <f>"144.51"</f>
        <v>144.51</v>
      </c>
      <c r="F252" s="15"/>
      <c r="G252" s="16" t="str">
        <f>"145.84"</f>
        <v>145.84</v>
      </c>
      <c r="H252" s="17"/>
      <c r="I252" s="18">
        <v>3</v>
      </c>
      <c r="J252" s="18">
        <v>2016</v>
      </c>
      <c r="K252" s="18" t="str">
        <f>"144.57"</f>
        <v>144.57</v>
      </c>
      <c r="L252" s="18"/>
      <c r="M252" s="18" t="str">
        <f>"147.23"</f>
        <v>147.23</v>
      </c>
      <c r="N252" s="18"/>
      <c r="O252" s="18" t="str">
        <f>"144.45"</f>
        <v>144.45</v>
      </c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 t="str">
        <f>"226.79"</f>
        <v>226.79</v>
      </c>
      <c r="AB252" s="18"/>
      <c r="AC252" s="18"/>
      <c r="AD252" s="18"/>
      <c r="AE252" s="18"/>
      <c r="AF252" s="18"/>
      <c r="AG252" s="18" t="str">
        <f>"151.73"</f>
        <v>151.73</v>
      </c>
      <c r="AH252" s="18" t="str">
        <f>"154.53"</f>
        <v>154.53</v>
      </c>
      <c r="AI252" s="18"/>
    </row>
    <row r="253" spans="1:35">
      <c r="A253" s="14">
        <v>251</v>
      </c>
      <c r="B253" s="14">
        <v>311</v>
      </c>
      <c r="C253" s="14" t="s">
        <v>380</v>
      </c>
      <c r="D253" s="14" t="s">
        <v>86</v>
      </c>
      <c r="E253" s="15" t="str">
        <f>"134.88"</f>
        <v>134.88</v>
      </c>
      <c r="F253" s="15"/>
      <c r="G253" s="16" t="str">
        <f>"147.45"</f>
        <v>147.45</v>
      </c>
      <c r="H253" s="17"/>
      <c r="I253" s="18">
        <v>3</v>
      </c>
      <c r="J253" s="18">
        <v>2016</v>
      </c>
      <c r="K253" s="18" t="str">
        <f>"155.60"</f>
        <v>155.60</v>
      </c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 t="str">
        <f>"114.15"</f>
        <v>114.15</v>
      </c>
      <c r="AF253" s="18" t="str">
        <f>"180.75"</f>
        <v>180.75</v>
      </c>
      <c r="AG253" s="18"/>
      <c r="AH253" s="18"/>
      <c r="AI253" s="18"/>
    </row>
    <row r="254" spans="1:35">
      <c r="A254" s="14">
        <v>252</v>
      </c>
      <c r="B254" s="14">
        <v>9967</v>
      </c>
      <c r="C254" s="14" t="s">
        <v>381</v>
      </c>
      <c r="D254" s="14" t="s">
        <v>76</v>
      </c>
      <c r="E254" s="15" t="str">
        <f>"134.44"</f>
        <v>134.44</v>
      </c>
      <c r="F254" s="15"/>
      <c r="G254" s="16" t="str">
        <f>"147.61"</f>
        <v>147.61</v>
      </c>
      <c r="H254" s="17"/>
      <c r="I254" s="18">
        <v>3</v>
      </c>
      <c r="J254" s="18">
        <v>2016</v>
      </c>
      <c r="K254" s="18" t="str">
        <f>"134.44"</f>
        <v>134.44</v>
      </c>
      <c r="L254" s="18" t="str">
        <f>"257.67"</f>
        <v>257.67</v>
      </c>
      <c r="M254" s="18"/>
      <c r="N254" s="18" t="str">
        <f>"193.02"</f>
        <v>193.02</v>
      </c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 t="str">
        <f>"251.50"</f>
        <v>251.50</v>
      </c>
      <c r="AB254" s="18"/>
      <c r="AC254" s="18"/>
      <c r="AD254" s="18" t="str">
        <f>"139.75"</f>
        <v>139.75</v>
      </c>
      <c r="AE254" s="18"/>
      <c r="AF254" s="18"/>
      <c r="AG254" s="18"/>
      <c r="AH254" s="18" t="str">
        <f>"155.46"</f>
        <v>155.46</v>
      </c>
      <c r="AI254" s="18"/>
    </row>
    <row r="255" spans="1:35">
      <c r="A255" s="14">
        <v>253</v>
      </c>
      <c r="B255" s="14">
        <v>8481</v>
      </c>
      <c r="C255" s="14" t="s">
        <v>382</v>
      </c>
      <c r="D255" s="14" t="s">
        <v>76</v>
      </c>
      <c r="E255" s="15" t="str">
        <f>"138.02"</f>
        <v>138.02</v>
      </c>
      <c r="F255" s="15"/>
      <c r="G255" s="16" t="str">
        <f>"148.64"</f>
        <v>148.64</v>
      </c>
      <c r="H255" s="17"/>
      <c r="I255" s="18">
        <v>3</v>
      </c>
      <c r="J255" s="18">
        <v>2016</v>
      </c>
      <c r="K255" s="18" t="str">
        <f>"138.02"</f>
        <v>138.02</v>
      </c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 t="str">
        <f>"153.51"</f>
        <v>153.51</v>
      </c>
      <c r="Z255" s="18"/>
      <c r="AA255" s="18"/>
      <c r="AB255" s="18"/>
      <c r="AC255" s="18"/>
      <c r="AD255" s="18" t="str">
        <f>"143.76"</f>
        <v>143.76</v>
      </c>
      <c r="AE255" s="18"/>
      <c r="AF255" s="18"/>
      <c r="AG255" s="18"/>
      <c r="AH255" s="18"/>
      <c r="AI255" s="18"/>
    </row>
    <row r="256" spans="1:35">
      <c r="A256" s="14">
        <v>254</v>
      </c>
      <c r="B256" s="14">
        <v>6298</v>
      </c>
      <c r="C256" s="14" t="s">
        <v>383</v>
      </c>
      <c r="D256" s="14" t="s">
        <v>384</v>
      </c>
      <c r="E256" s="15" t="str">
        <f>"149.19"</f>
        <v>149.19</v>
      </c>
      <c r="F256" s="15"/>
      <c r="G256" s="16" t="str">
        <f>"149.19"</f>
        <v>149.19</v>
      </c>
      <c r="H256" s="17"/>
      <c r="I256" s="18">
        <v>3</v>
      </c>
      <c r="J256" s="18">
        <v>2016</v>
      </c>
      <c r="K256" s="18" t="str">
        <f>"236.63"</f>
        <v>236.63</v>
      </c>
      <c r="L256" s="18"/>
      <c r="M256" s="18"/>
      <c r="N256" s="18"/>
      <c r="O256" s="18"/>
      <c r="P256" s="18" t="str">
        <f>"191.43"</f>
        <v>191.43</v>
      </c>
      <c r="Q256" s="18"/>
      <c r="R256" s="18"/>
      <c r="S256" s="18" t="str">
        <f>"146.64"</f>
        <v>146.64</v>
      </c>
      <c r="T256" s="18" t="str">
        <f>"151.74"</f>
        <v>151.74</v>
      </c>
      <c r="U256" s="18"/>
      <c r="V256" s="18"/>
      <c r="W256" s="18"/>
      <c r="X256" s="18"/>
      <c r="Y256" s="18"/>
      <c r="Z256" s="18"/>
      <c r="AA256" s="18" t="str">
        <f>"252.15"</f>
        <v>252.15</v>
      </c>
      <c r="AB256" s="18"/>
      <c r="AC256" s="18"/>
      <c r="AD256" s="18"/>
      <c r="AE256" s="18"/>
      <c r="AF256" s="18"/>
      <c r="AG256" s="18"/>
      <c r="AH256" s="18"/>
      <c r="AI256" s="18"/>
    </row>
    <row r="257" spans="1:35">
      <c r="A257" s="14">
        <v>255</v>
      </c>
      <c r="B257" s="14">
        <v>4413</v>
      </c>
      <c r="C257" s="14" t="s">
        <v>385</v>
      </c>
      <c r="D257" s="14" t="s">
        <v>39</v>
      </c>
      <c r="E257" s="15" t="str">
        <f>"149.39"</f>
        <v>149.39</v>
      </c>
      <c r="F257" s="15"/>
      <c r="G257" s="16" t="str">
        <f>"149.39"</f>
        <v>149.39</v>
      </c>
      <c r="H257" s="17"/>
      <c r="I257" s="18">
        <v>5</v>
      </c>
      <c r="J257" s="18">
        <v>2016</v>
      </c>
      <c r="K257" s="18"/>
      <c r="L257" s="18" t="str">
        <f>"193.76"</f>
        <v>193.76</v>
      </c>
      <c r="M257" s="18"/>
      <c r="N257" s="18" t="str">
        <f>"170.14"</f>
        <v>170.14</v>
      </c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 t="str">
        <f>"189.64"</f>
        <v>189.64</v>
      </c>
      <c r="AB257" s="18"/>
      <c r="AC257" s="18"/>
      <c r="AD257" s="18"/>
      <c r="AE257" s="18"/>
      <c r="AF257" s="18"/>
      <c r="AG257" s="18"/>
      <c r="AH257" s="18" t="str">
        <f>"128.64"</f>
        <v>128.64</v>
      </c>
      <c r="AI257" s="18"/>
    </row>
    <row r="258" spans="1:35">
      <c r="A258" s="14">
        <v>256</v>
      </c>
      <c r="B258" s="14">
        <v>10478</v>
      </c>
      <c r="C258" s="14" t="s">
        <v>386</v>
      </c>
      <c r="D258" s="14" t="s">
        <v>98</v>
      </c>
      <c r="E258" s="15" t="str">
        <f>"149.63"</f>
        <v>149.63</v>
      </c>
      <c r="F258" s="15"/>
      <c r="G258" s="16" t="str">
        <f>"149.63"</f>
        <v>149.63</v>
      </c>
      <c r="H258" s="17"/>
      <c r="I258" s="18">
        <v>3</v>
      </c>
      <c r="J258" s="18">
        <v>2016</v>
      </c>
      <c r="K258" s="18" t="str">
        <f>"184.33"</f>
        <v>184.33</v>
      </c>
      <c r="L258" s="18"/>
      <c r="M258" s="18"/>
      <c r="N258" s="18"/>
      <c r="O258" s="18"/>
      <c r="P258" s="18"/>
      <c r="Q258" s="18" t="str">
        <f>"147.15"</f>
        <v>147.15</v>
      </c>
      <c r="R258" s="18"/>
      <c r="S258" s="18"/>
      <c r="T258" s="18"/>
      <c r="U258" s="18" t="str">
        <f>"205.07"</f>
        <v>205.07</v>
      </c>
      <c r="V258" s="18"/>
      <c r="W258" s="18"/>
      <c r="X258" s="18"/>
      <c r="Y258" s="18"/>
      <c r="Z258" s="18" t="str">
        <f>"152.11"</f>
        <v>152.11</v>
      </c>
      <c r="AA258" s="18"/>
      <c r="AB258" s="18"/>
      <c r="AC258" s="18"/>
      <c r="AD258" s="18"/>
      <c r="AE258" s="18"/>
      <c r="AF258" s="18"/>
      <c r="AG258" s="18"/>
      <c r="AH258" s="18"/>
      <c r="AI258" s="18"/>
    </row>
    <row r="259" spans="1:35">
      <c r="A259" s="14">
        <v>257</v>
      </c>
      <c r="B259" s="14">
        <v>9957</v>
      </c>
      <c r="C259" s="14" t="s">
        <v>387</v>
      </c>
      <c r="D259" s="14" t="s">
        <v>98</v>
      </c>
      <c r="E259" s="15" t="str">
        <f>"149.74"</f>
        <v>149.74</v>
      </c>
      <c r="F259" s="15"/>
      <c r="G259" s="16" t="str">
        <f>"149.74"</f>
        <v>149.74</v>
      </c>
      <c r="H259" s="17"/>
      <c r="I259" s="18">
        <v>3</v>
      </c>
      <c r="J259" s="18">
        <v>2016</v>
      </c>
      <c r="K259" s="18" t="str">
        <f>"232.73"</f>
        <v>232.73</v>
      </c>
      <c r="L259" s="18"/>
      <c r="M259" s="18"/>
      <c r="N259" s="18"/>
      <c r="O259" s="18"/>
      <c r="P259" s="18"/>
      <c r="Q259" s="18"/>
      <c r="R259" s="18"/>
      <c r="S259" s="18"/>
      <c r="T259" s="18"/>
      <c r="U259" s="18" t="str">
        <f>"158.62"</f>
        <v>158.62</v>
      </c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 t="str">
        <f>"140.86"</f>
        <v>140.86</v>
      </c>
      <c r="AH259" s="18"/>
      <c r="AI259" s="18" t="str">
        <f>"159.70"</f>
        <v>159.70</v>
      </c>
    </row>
    <row r="260" spans="1:35">
      <c r="A260" s="14">
        <v>258</v>
      </c>
      <c r="B260" s="14">
        <v>3703</v>
      </c>
      <c r="C260" s="14" t="s">
        <v>388</v>
      </c>
      <c r="D260" s="14" t="s">
        <v>66</v>
      </c>
      <c r="E260" s="15" t="str">
        <f>"113.68"</f>
        <v>113.68</v>
      </c>
      <c r="F260" s="15"/>
      <c r="G260" s="16" t="str">
        <f>"150.16"</f>
        <v>150.16</v>
      </c>
      <c r="H260" s="17"/>
      <c r="I260" s="18">
        <v>3</v>
      </c>
      <c r="J260" s="18">
        <v>2016</v>
      </c>
      <c r="K260" s="18" t="str">
        <f>"124.44"</f>
        <v>124.44</v>
      </c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 t="str">
        <f>"197.39"</f>
        <v>197.39</v>
      </c>
      <c r="AB260" s="18"/>
      <c r="AC260" s="18"/>
      <c r="AD260" s="18"/>
      <c r="AE260" s="18"/>
      <c r="AF260" s="18"/>
      <c r="AG260" s="18"/>
      <c r="AH260" s="18" t="str">
        <f>"102.92"</f>
        <v>102.92</v>
      </c>
      <c r="AI260" s="18"/>
    </row>
    <row r="261" spans="1:35">
      <c r="A261" s="14">
        <v>259</v>
      </c>
      <c r="B261" s="14">
        <v>4407</v>
      </c>
      <c r="C261" s="14" t="s">
        <v>389</v>
      </c>
      <c r="D261" s="14" t="s">
        <v>129</v>
      </c>
      <c r="E261" s="15" t="str">
        <f>"104.26"</f>
        <v>104.26</v>
      </c>
      <c r="F261" s="15"/>
      <c r="G261" s="16" t="str">
        <f>"151.14"</f>
        <v>151.14</v>
      </c>
      <c r="H261" s="17"/>
      <c r="I261" s="18">
        <v>3</v>
      </c>
      <c r="J261" s="18">
        <v>2016</v>
      </c>
      <c r="K261" s="18" t="str">
        <f>"104.26"</f>
        <v>104.26</v>
      </c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 t="str">
        <f>"125.17"</f>
        <v>125.17</v>
      </c>
      <c r="AH261" s="18" t="str">
        <f>"177.10"</f>
        <v>177.10</v>
      </c>
      <c r="AI261" s="18"/>
    </row>
    <row r="262" spans="1:35">
      <c r="A262" s="14">
        <v>260</v>
      </c>
      <c r="B262" s="14">
        <v>3391</v>
      </c>
      <c r="C262" s="14" t="s">
        <v>390</v>
      </c>
      <c r="D262" s="14" t="s">
        <v>39</v>
      </c>
      <c r="E262" s="15" t="str">
        <f>"144.51"</f>
        <v>144.51</v>
      </c>
      <c r="F262" s="15"/>
      <c r="G262" s="16" t="str">
        <f>"151.38"</f>
        <v>151.38</v>
      </c>
      <c r="H262" s="17"/>
      <c r="I262" s="18">
        <v>3</v>
      </c>
      <c r="J262" s="18">
        <v>2016</v>
      </c>
      <c r="K262" s="18" t="str">
        <f>"164.79"</f>
        <v>164.79</v>
      </c>
      <c r="L262" s="18"/>
      <c r="M262" s="18" t="str">
        <f>"178.53"</f>
        <v>178.53</v>
      </c>
      <c r="N262" s="18"/>
      <c r="O262" s="18" t="str">
        <f>"124.22"</f>
        <v>124.22</v>
      </c>
      <c r="P262" s="18"/>
      <c r="Q262" s="18"/>
      <c r="R262" s="18"/>
      <c r="S262" s="18"/>
      <c r="T262" s="18"/>
      <c r="U262" s="18"/>
      <c r="V262" s="18" t="str">
        <f>"188.86"</f>
        <v>188.86</v>
      </c>
      <c r="W262" s="18"/>
      <c r="X262" s="18"/>
      <c r="Y262" s="18"/>
      <c r="Z262" s="18"/>
      <c r="AA262" s="18" t="str">
        <f>"235.03"</f>
        <v>235.03</v>
      </c>
      <c r="AB262" s="18"/>
      <c r="AC262" s="18"/>
      <c r="AD262" s="18"/>
      <c r="AE262" s="18"/>
      <c r="AF262" s="18" t="str">
        <f>"199.92"</f>
        <v>199.92</v>
      </c>
      <c r="AG262" s="18"/>
      <c r="AH262" s="18"/>
      <c r="AI262" s="18"/>
    </row>
    <row r="263" spans="1:35">
      <c r="A263" s="14">
        <v>261</v>
      </c>
      <c r="B263" s="14">
        <v>10130</v>
      </c>
      <c r="C263" s="14" t="s">
        <v>391</v>
      </c>
      <c r="D263" s="14" t="s">
        <v>98</v>
      </c>
      <c r="E263" s="15" t="str">
        <f>"151.46"</f>
        <v>151.46</v>
      </c>
      <c r="F263" s="15"/>
      <c r="G263" s="16" t="str">
        <f>"151.46"</f>
        <v>151.46</v>
      </c>
      <c r="H263" s="17"/>
      <c r="I263" s="18">
        <v>3</v>
      </c>
      <c r="J263" s="18">
        <v>2016</v>
      </c>
      <c r="K263" s="18" t="str">
        <f>"171.64"</f>
        <v>171.64</v>
      </c>
      <c r="L263" s="18" t="str">
        <f>"199.87"</f>
        <v>199.87</v>
      </c>
      <c r="M263" s="18"/>
      <c r="N263" s="18" t="str">
        <f>"235.68"</f>
        <v>235.68</v>
      </c>
      <c r="O263" s="18"/>
      <c r="P263" s="18"/>
      <c r="Q263" s="18" t="str">
        <f>"149.92"</f>
        <v>149.92</v>
      </c>
      <c r="R263" s="18"/>
      <c r="S263" s="18"/>
      <c r="T263" s="18"/>
      <c r="U263" s="18" t="str">
        <f>"265.64"</f>
        <v>265.64</v>
      </c>
      <c r="V263" s="18"/>
      <c r="W263" s="18"/>
      <c r="X263" s="18"/>
      <c r="Y263" s="18"/>
      <c r="Z263" s="18" t="str">
        <f>"163.54"</f>
        <v>163.54</v>
      </c>
      <c r="AA263" s="18"/>
      <c r="AB263" s="18"/>
      <c r="AC263" s="18"/>
      <c r="AD263" s="18"/>
      <c r="AE263" s="18"/>
      <c r="AF263" s="18"/>
      <c r="AG263" s="18" t="str">
        <f>"152.99"</f>
        <v>152.99</v>
      </c>
      <c r="AH263" s="18"/>
      <c r="AI263" s="18" t="str">
        <f>"199.17"</f>
        <v>199.17</v>
      </c>
    </row>
    <row r="264" spans="1:35">
      <c r="A264" s="14">
        <v>262</v>
      </c>
      <c r="B264" s="14">
        <v>3177</v>
      </c>
      <c r="C264" s="14" t="s">
        <v>392</v>
      </c>
      <c r="D264" s="14" t="s">
        <v>393</v>
      </c>
      <c r="E264" s="15" t="str">
        <f>"132.45"</f>
        <v>132.45</v>
      </c>
      <c r="F264" s="15"/>
      <c r="G264" s="16" t="str">
        <f>"151.66"</f>
        <v>151.66</v>
      </c>
      <c r="H264" s="17" t="s">
        <v>54</v>
      </c>
      <c r="I264" s="18">
        <v>2</v>
      </c>
      <c r="J264" s="18">
        <v>2016</v>
      </c>
      <c r="K264" s="18" t="str">
        <f>"153.23"</f>
        <v>153.23</v>
      </c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 t="str">
        <f>"111.66"</f>
        <v>111.66</v>
      </c>
      <c r="AC264" s="18"/>
      <c r="AD264" s="18"/>
      <c r="AE264" s="18"/>
      <c r="AF264" s="18"/>
      <c r="AG264" s="18"/>
      <c r="AH264" s="18"/>
      <c r="AI264" s="18"/>
    </row>
    <row r="265" spans="1:35">
      <c r="A265" s="14">
        <v>263</v>
      </c>
      <c r="B265" s="14">
        <v>3346</v>
      </c>
      <c r="C265" s="14" t="s">
        <v>394</v>
      </c>
      <c r="D265" s="14" t="s">
        <v>395</v>
      </c>
      <c r="E265" s="15" t="str">
        <f>"143.00"</f>
        <v>143.00</v>
      </c>
      <c r="F265" s="15"/>
      <c r="G265" s="16" t="str">
        <f>"152.25"</f>
        <v>152.25</v>
      </c>
      <c r="H265" s="17"/>
      <c r="I265" s="18">
        <v>3</v>
      </c>
      <c r="J265" s="18">
        <v>2016</v>
      </c>
      <c r="K265" s="18" t="str">
        <f>"179.38"</f>
        <v>179.38</v>
      </c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 t="str">
        <f>"197.87"</f>
        <v>197.87</v>
      </c>
      <c r="AB265" s="18"/>
      <c r="AC265" s="18"/>
      <c r="AD265" s="18"/>
      <c r="AE265" s="18"/>
      <c r="AF265" s="18"/>
      <c r="AG265" s="18"/>
      <c r="AH265" s="18" t="str">
        <f>"106.62"</f>
        <v>106.62</v>
      </c>
      <c r="AI265" s="18"/>
    </row>
    <row r="266" spans="1:35">
      <c r="A266" s="14">
        <v>264</v>
      </c>
      <c r="B266" s="14">
        <v>5440</v>
      </c>
      <c r="C266" s="14" t="s">
        <v>396</v>
      </c>
      <c r="D266" s="14" t="s">
        <v>240</v>
      </c>
      <c r="E266" s="15" t="str">
        <f>"112.38"</f>
        <v>112.38</v>
      </c>
      <c r="F266" s="15"/>
      <c r="G266" s="16" t="str">
        <f>"152.38"</f>
        <v>152.38</v>
      </c>
      <c r="H266" s="17" t="s">
        <v>48</v>
      </c>
      <c r="I266" s="18">
        <v>1</v>
      </c>
      <c r="J266" s="18">
        <v>2016</v>
      </c>
      <c r="K266" s="18" t="str">
        <f>"112.38"</f>
        <v>112.38</v>
      </c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</row>
    <row r="267" spans="1:35">
      <c r="A267" s="14">
        <v>265</v>
      </c>
      <c r="B267" s="14">
        <v>7460</v>
      </c>
      <c r="C267" s="14" t="s">
        <v>397</v>
      </c>
      <c r="D267" s="14" t="s">
        <v>398</v>
      </c>
      <c r="E267" s="15" t="str">
        <f>"124.46"</f>
        <v>124.46</v>
      </c>
      <c r="F267" s="15"/>
      <c r="G267" s="16" t="str">
        <f>"153.28"</f>
        <v>153.28</v>
      </c>
      <c r="H267" s="17"/>
      <c r="I267" s="18">
        <v>3</v>
      </c>
      <c r="J267" s="18">
        <v>2016</v>
      </c>
      <c r="K267" s="18" t="str">
        <f>"141.99"</f>
        <v>141.99</v>
      </c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 t="str">
        <f>"106.92"</f>
        <v>106.92</v>
      </c>
      <c r="AC267" s="18"/>
      <c r="AD267" s="18"/>
      <c r="AE267" s="18"/>
      <c r="AF267" s="18"/>
      <c r="AG267" s="18" t="str">
        <f>"199.63"</f>
        <v>199.63</v>
      </c>
      <c r="AH267" s="18"/>
      <c r="AI267" s="18"/>
    </row>
    <row r="268" spans="1:35">
      <c r="A268" s="14">
        <v>266</v>
      </c>
      <c r="B268" s="14">
        <v>6595</v>
      </c>
      <c r="C268" s="14" t="s">
        <v>399</v>
      </c>
      <c r="D268" s="14" t="s">
        <v>86</v>
      </c>
      <c r="E268" s="15" t="str">
        <f>"113.34"</f>
        <v>113.34</v>
      </c>
      <c r="F268" s="15"/>
      <c r="G268" s="16" t="str">
        <f>"153.34"</f>
        <v>153.34</v>
      </c>
      <c r="H268" s="17" t="s">
        <v>48</v>
      </c>
      <c r="I268" s="18">
        <v>1</v>
      </c>
      <c r="J268" s="18">
        <v>2016</v>
      </c>
      <c r="K268" s="18" t="str">
        <f>"113.34"</f>
        <v>113.34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</row>
    <row r="269" spans="1:35">
      <c r="A269" s="14">
        <v>267</v>
      </c>
      <c r="B269" s="14">
        <v>3892</v>
      </c>
      <c r="C269" s="14" t="s">
        <v>400</v>
      </c>
      <c r="D269" s="14" t="s">
        <v>139</v>
      </c>
      <c r="E269" s="15" t="str">
        <f>"145.56"</f>
        <v>145.56</v>
      </c>
      <c r="F269" s="15"/>
      <c r="G269" s="16" t="str">
        <f>"153.86"</f>
        <v>153.86</v>
      </c>
      <c r="H269" s="17"/>
      <c r="I269" s="18">
        <v>3</v>
      </c>
      <c r="J269" s="18">
        <v>2016</v>
      </c>
      <c r="K269" s="18" t="str">
        <f>"145.56"</f>
        <v>145.56</v>
      </c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 t="str">
        <f>"268.95"</f>
        <v>268.95</v>
      </c>
      <c r="AB269" s="18"/>
      <c r="AC269" s="18"/>
      <c r="AD269" s="18"/>
      <c r="AE269" s="18" t="str">
        <f>"293.51"</f>
        <v>293.51</v>
      </c>
      <c r="AF269" s="18" t="str">
        <f>"146.99"</f>
        <v>146.99</v>
      </c>
      <c r="AG269" s="18" t="str">
        <f>"160.73"</f>
        <v>160.73</v>
      </c>
      <c r="AH269" s="18"/>
      <c r="AI269" s="18"/>
    </row>
    <row r="270" spans="1:35">
      <c r="A270" s="14">
        <v>268</v>
      </c>
      <c r="B270" s="14">
        <v>10703</v>
      </c>
      <c r="C270" s="14" t="s">
        <v>401</v>
      </c>
      <c r="D270" s="14" t="s">
        <v>98</v>
      </c>
      <c r="E270" s="15" t="str">
        <f>"146.52"</f>
        <v>146.52</v>
      </c>
      <c r="F270" s="15"/>
      <c r="G270" s="16" t="str">
        <f>"154.15"</f>
        <v>154.15</v>
      </c>
      <c r="H270" s="17"/>
      <c r="I270" s="18">
        <v>3</v>
      </c>
      <c r="J270" s="18">
        <v>2016</v>
      </c>
      <c r="K270" s="18" t="str">
        <f>"146.90"</f>
        <v>146.90</v>
      </c>
      <c r="L270" s="18"/>
      <c r="M270" s="18"/>
      <c r="N270" s="18"/>
      <c r="O270" s="18"/>
      <c r="P270" s="18"/>
      <c r="Q270" s="18"/>
      <c r="R270" s="18"/>
      <c r="S270" s="18"/>
      <c r="T270" s="18"/>
      <c r="U270" s="18" t="str">
        <f>"146.13"</f>
        <v>146.13</v>
      </c>
      <c r="V270" s="18"/>
      <c r="W270" s="18"/>
      <c r="X270" s="18"/>
      <c r="Y270" s="18"/>
      <c r="Z270" s="18" t="str">
        <f>"162.17"</f>
        <v>162.17</v>
      </c>
      <c r="AA270" s="18"/>
      <c r="AB270" s="18"/>
      <c r="AC270" s="18"/>
      <c r="AD270" s="18"/>
      <c r="AE270" s="18"/>
      <c r="AF270" s="18"/>
      <c r="AG270" s="18"/>
      <c r="AH270" s="18"/>
      <c r="AI270" s="18"/>
    </row>
    <row r="271" spans="1:35">
      <c r="A271" s="14">
        <v>269</v>
      </c>
      <c r="B271" s="14">
        <v>7123</v>
      </c>
      <c r="C271" s="14" t="s">
        <v>402</v>
      </c>
      <c r="D271" s="14" t="s">
        <v>305</v>
      </c>
      <c r="E271" s="15" t="str">
        <f>"114.02"</f>
        <v>114.02</v>
      </c>
      <c r="F271" s="15"/>
      <c r="G271" s="16" t="str">
        <f>"154.19"</f>
        <v>154.19</v>
      </c>
      <c r="H271" s="17"/>
      <c r="I271" s="18">
        <v>3</v>
      </c>
      <c r="J271" s="18">
        <v>2016</v>
      </c>
      <c r="K271" s="18" t="str">
        <f>"114.02"</f>
        <v>114.02</v>
      </c>
      <c r="L271" s="18"/>
      <c r="M271" s="18" t="str">
        <f>"176.26"</f>
        <v>176.26</v>
      </c>
      <c r="N271" s="18"/>
      <c r="O271" s="18" t="str">
        <f>"155.60"</f>
        <v>155.60</v>
      </c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 t="str">
        <f>"152.78"</f>
        <v>152.78</v>
      </c>
      <c r="AH271" s="18"/>
      <c r="AI271" s="18"/>
    </row>
    <row r="272" spans="1:35">
      <c r="A272" s="14">
        <v>270</v>
      </c>
      <c r="B272" s="14">
        <v>8486</v>
      </c>
      <c r="C272" s="14" t="s">
        <v>403</v>
      </c>
      <c r="D272" s="14" t="s">
        <v>76</v>
      </c>
      <c r="E272" s="15" t="str">
        <f>"154.20"</f>
        <v>154.20</v>
      </c>
      <c r="F272" s="15"/>
      <c r="G272" s="16" t="str">
        <f>"154.20"</f>
        <v>154.20</v>
      </c>
      <c r="H272" s="17"/>
      <c r="I272" s="18">
        <v>3</v>
      </c>
      <c r="J272" s="18">
        <v>2016</v>
      </c>
      <c r="K272" s="18" t="str">
        <f>"241.62"</f>
        <v>241.62</v>
      </c>
      <c r="L272" s="18"/>
      <c r="M272" s="18"/>
      <c r="N272" s="18" t="str">
        <f>"319.47"</f>
        <v>319.47</v>
      </c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 t="str">
        <f>"135.98"</f>
        <v>135.98</v>
      </c>
      <c r="AD272" s="18" t="str">
        <f>"172.42"</f>
        <v>172.42</v>
      </c>
      <c r="AE272" s="18"/>
      <c r="AF272" s="18"/>
      <c r="AG272" s="18"/>
      <c r="AH272" s="18" t="str">
        <f>"253.49"</f>
        <v>253.49</v>
      </c>
      <c r="AI272" s="18"/>
    </row>
    <row r="273" spans="1:35">
      <c r="A273" s="14">
        <v>271</v>
      </c>
      <c r="B273" s="14">
        <v>7860</v>
      </c>
      <c r="C273" s="14" t="s">
        <v>404</v>
      </c>
      <c r="D273" s="14" t="s">
        <v>76</v>
      </c>
      <c r="E273" s="15" t="str">
        <f>"129.54"</f>
        <v>129.54</v>
      </c>
      <c r="F273" s="15"/>
      <c r="G273" s="16" t="str">
        <f>"154.41"</f>
        <v>154.41</v>
      </c>
      <c r="H273" s="17"/>
      <c r="I273" s="18">
        <v>3</v>
      </c>
      <c r="J273" s="18">
        <v>2016</v>
      </c>
      <c r="K273" s="18" t="str">
        <f>"129.54"</f>
        <v>129.54</v>
      </c>
      <c r="L273" s="18" t="str">
        <f>"186.88"</f>
        <v>186.88</v>
      </c>
      <c r="M273" s="18"/>
      <c r="N273" s="18" t="str">
        <f>"177.34"</f>
        <v>177.34</v>
      </c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 t="str">
        <f>"154.41"</f>
        <v>154.41</v>
      </c>
      <c r="Z273" s="18"/>
      <c r="AA273" s="18"/>
      <c r="AB273" s="18"/>
      <c r="AC273" s="18"/>
      <c r="AD273" s="18" t="str">
        <f>"154.40"</f>
        <v>154.40</v>
      </c>
      <c r="AE273" s="18"/>
      <c r="AF273" s="18"/>
      <c r="AG273" s="18"/>
      <c r="AH273" s="18"/>
      <c r="AI273" s="18"/>
    </row>
    <row r="274" spans="1:35">
      <c r="A274" s="14">
        <v>272</v>
      </c>
      <c r="B274" s="14">
        <v>6125</v>
      </c>
      <c r="C274" s="14" t="s">
        <v>405</v>
      </c>
      <c r="D274" s="14" t="s">
        <v>98</v>
      </c>
      <c r="E274" s="15" t="str">
        <f>"124.90"</f>
        <v>124.90</v>
      </c>
      <c r="F274" s="15"/>
      <c r="G274" s="16" t="str">
        <f>"155.05"</f>
        <v>155.05</v>
      </c>
      <c r="H274" s="17"/>
      <c r="I274" s="18">
        <v>3</v>
      </c>
      <c r="J274" s="18">
        <v>2016</v>
      </c>
      <c r="K274" s="18" t="str">
        <f>"124.90"</f>
        <v>124.90</v>
      </c>
      <c r="L274" s="18"/>
      <c r="M274" s="18"/>
      <c r="N274" s="18"/>
      <c r="O274" s="18"/>
      <c r="P274" s="18"/>
      <c r="Q274" s="18" t="str">
        <f>"160.72"</f>
        <v>160.72</v>
      </c>
      <c r="R274" s="18"/>
      <c r="S274" s="18"/>
      <c r="T274" s="18"/>
      <c r="U274" s="18"/>
      <c r="V274" s="18"/>
      <c r="W274" s="18"/>
      <c r="X274" s="18"/>
      <c r="Y274" s="18"/>
      <c r="Z274" s="18" t="str">
        <f>"149.37"</f>
        <v>149.37</v>
      </c>
      <c r="AA274" s="18"/>
      <c r="AB274" s="18"/>
      <c r="AC274" s="18"/>
      <c r="AD274" s="18"/>
      <c r="AE274" s="18"/>
      <c r="AF274" s="18"/>
      <c r="AG274" s="18"/>
      <c r="AH274" s="18"/>
      <c r="AI274" s="18"/>
    </row>
    <row r="275" spans="1:35">
      <c r="A275" s="14">
        <v>273</v>
      </c>
      <c r="B275" s="14">
        <v>3996</v>
      </c>
      <c r="C275" s="14" t="s">
        <v>406</v>
      </c>
      <c r="D275" s="14" t="s">
        <v>51</v>
      </c>
      <c r="E275" s="15" t="str">
        <f>"155.31"</f>
        <v>155.31</v>
      </c>
      <c r="F275" s="15"/>
      <c r="G275" s="16" t="str">
        <f>"155.31"</f>
        <v>155.31</v>
      </c>
      <c r="H275" s="17" t="s">
        <v>54</v>
      </c>
      <c r="I275" s="18">
        <v>4</v>
      </c>
      <c r="J275" s="18">
        <v>2016</v>
      </c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 t="str">
        <f>"115.31"</f>
        <v>115.31</v>
      </c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</row>
    <row r="276" spans="1:35">
      <c r="A276" s="14">
        <v>274</v>
      </c>
      <c r="B276" s="14">
        <v>1230</v>
      </c>
      <c r="C276" s="14" t="s">
        <v>407</v>
      </c>
      <c r="D276" s="14" t="s">
        <v>408</v>
      </c>
      <c r="E276" s="15" t="str">
        <f>"155.55"</f>
        <v>155.55</v>
      </c>
      <c r="F276" s="15"/>
      <c r="G276" s="16" t="str">
        <f>"155.55"</f>
        <v>155.55</v>
      </c>
      <c r="H276" s="17" t="s">
        <v>54</v>
      </c>
      <c r="I276" s="18">
        <v>4</v>
      </c>
      <c r="J276" s="18">
        <v>2016</v>
      </c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 t="str">
        <f>"115.55"</f>
        <v>115.55</v>
      </c>
      <c r="AH276" s="18"/>
      <c r="AI276" s="18"/>
    </row>
    <row r="277" spans="1:35">
      <c r="A277" s="14">
        <v>275</v>
      </c>
      <c r="B277" s="14">
        <v>5166</v>
      </c>
      <c r="C277" s="14" t="s">
        <v>409</v>
      </c>
      <c r="D277" s="14" t="s">
        <v>410</v>
      </c>
      <c r="E277" s="15" t="str">
        <f>"115.80"</f>
        <v>115.80</v>
      </c>
      <c r="F277" s="15"/>
      <c r="G277" s="16" t="str">
        <f>"155.80"</f>
        <v>155.80</v>
      </c>
      <c r="H277" s="17" t="s">
        <v>48</v>
      </c>
      <c r="I277" s="18">
        <v>1</v>
      </c>
      <c r="J277" s="18">
        <v>2016</v>
      </c>
      <c r="K277" s="18" t="str">
        <f>"115.80"</f>
        <v>115.80</v>
      </c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</row>
    <row r="278" spans="1:35">
      <c r="A278" s="14">
        <v>276</v>
      </c>
      <c r="B278" s="14">
        <v>10223</v>
      </c>
      <c r="C278" s="14" t="s">
        <v>411</v>
      </c>
      <c r="D278" s="14" t="s">
        <v>299</v>
      </c>
      <c r="E278" s="15" t="str">
        <f>"116.26"</f>
        <v>116.26</v>
      </c>
      <c r="F278" s="15"/>
      <c r="G278" s="16" t="str">
        <f>"156.26"</f>
        <v>156.26</v>
      </c>
      <c r="H278" s="17" t="s">
        <v>48</v>
      </c>
      <c r="I278" s="18">
        <v>1</v>
      </c>
      <c r="J278" s="18">
        <v>2016</v>
      </c>
      <c r="K278" s="18" t="str">
        <f>"116.26"</f>
        <v>116.26</v>
      </c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</row>
    <row r="279" spans="1:35">
      <c r="A279" s="14">
        <v>277</v>
      </c>
      <c r="B279" s="14">
        <v>1108</v>
      </c>
      <c r="C279" s="14" t="s">
        <v>412</v>
      </c>
      <c r="D279" s="14" t="s">
        <v>395</v>
      </c>
      <c r="E279" s="15" t="str">
        <f>"116.75"</f>
        <v>116.75</v>
      </c>
      <c r="F279" s="15"/>
      <c r="G279" s="16" t="str">
        <f>"156.75"</f>
        <v>156.75</v>
      </c>
      <c r="H279" s="17" t="s">
        <v>48</v>
      </c>
      <c r="I279" s="18">
        <v>1</v>
      </c>
      <c r="J279" s="18">
        <v>2016</v>
      </c>
      <c r="K279" s="18" t="str">
        <f>"116.75"</f>
        <v>116.75</v>
      </c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</row>
    <row r="280" spans="1:35">
      <c r="A280" s="14">
        <v>278</v>
      </c>
      <c r="B280" s="14">
        <v>1899</v>
      </c>
      <c r="C280" s="14" t="s">
        <v>413</v>
      </c>
      <c r="D280" s="14" t="s">
        <v>210</v>
      </c>
      <c r="E280" s="15" t="str">
        <f>"157.06"</f>
        <v>157.06</v>
      </c>
      <c r="F280" s="15"/>
      <c r="G280" s="16" t="str">
        <f>"157.06"</f>
        <v>157.06</v>
      </c>
      <c r="H280" s="17" t="s">
        <v>54</v>
      </c>
      <c r="I280" s="18">
        <v>4</v>
      </c>
      <c r="J280" s="18">
        <v>2016</v>
      </c>
      <c r="K280" s="18"/>
      <c r="L280" s="18"/>
      <c r="M280" s="18" t="str">
        <f>"117.06"</f>
        <v>117.06</v>
      </c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</row>
    <row r="281" spans="1:35">
      <c r="A281" s="14">
        <v>279</v>
      </c>
      <c r="B281" s="14">
        <v>10248</v>
      </c>
      <c r="C281" s="14" t="s">
        <v>414</v>
      </c>
      <c r="D281" s="14" t="s">
        <v>248</v>
      </c>
      <c r="E281" s="15" t="str">
        <f>"158.32"</f>
        <v>158.32</v>
      </c>
      <c r="F281" s="15"/>
      <c r="G281" s="16" t="str">
        <f>"158.32"</f>
        <v>158.32</v>
      </c>
      <c r="H281" s="17"/>
      <c r="I281" s="18">
        <v>3</v>
      </c>
      <c r="J281" s="18">
        <v>2016</v>
      </c>
      <c r="K281" s="18" t="str">
        <f>"170.96"</f>
        <v>170.96</v>
      </c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 t="str">
        <f>"244.88"</f>
        <v>244.88</v>
      </c>
      <c r="AB281" s="18"/>
      <c r="AC281" s="18"/>
      <c r="AD281" s="18"/>
      <c r="AE281" s="18"/>
      <c r="AF281" s="18" t="str">
        <f>"168.40"</f>
        <v>168.40</v>
      </c>
      <c r="AG281" s="18"/>
      <c r="AH281" s="18" t="str">
        <f>"148.24"</f>
        <v>148.24</v>
      </c>
      <c r="AI281" s="18"/>
    </row>
    <row r="282" spans="1:35">
      <c r="A282" s="14">
        <v>280</v>
      </c>
      <c r="B282" s="14">
        <v>7815</v>
      </c>
      <c r="C282" s="14" t="s">
        <v>415</v>
      </c>
      <c r="D282" s="14" t="s">
        <v>98</v>
      </c>
      <c r="E282" s="15" t="str">
        <f>"148.17"</f>
        <v>148.17</v>
      </c>
      <c r="F282" s="15"/>
      <c r="G282" s="16" t="str">
        <f>"158.77"</f>
        <v>158.77</v>
      </c>
      <c r="H282" s="17"/>
      <c r="I282" s="18">
        <v>3</v>
      </c>
      <c r="J282" s="18">
        <v>2016</v>
      </c>
      <c r="K282" s="18" t="str">
        <f>"150.56"</f>
        <v>150.56</v>
      </c>
      <c r="L282" s="18"/>
      <c r="M282" s="18"/>
      <c r="N282" s="18"/>
      <c r="O282" s="18"/>
      <c r="P282" s="18"/>
      <c r="Q282" s="18" t="str">
        <f>"145.77"</f>
        <v>145.77</v>
      </c>
      <c r="R282" s="18"/>
      <c r="S282" s="18"/>
      <c r="T282" s="18"/>
      <c r="U282" s="18" t="str">
        <f>"178.95"</f>
        <v>178.95</v>
      </c>
      <c r="V282" s="18"/>
      <c r="W282" s="18"/>
      <c r="X282" s="18"/>
      <c r="Y282" s="18"/>
      <c r="Z282" s="18" t="str">
        <f>"171.76"</f>
        <v>171.76</v>
      </c>
      <c r="AA282" s="18" t="str">
        <f>"310.46"</f>
        <v>310.46</v>
      </c>
      <c r="AB282" s="18"/>
      <c r="AC282" s="18"/>
      <c r="AD282" s="18"/>
      <c r="AE282" s="18"/>
      <c r="AF282" s="18"/>
      <c r="AG282" s="18"/>
      <c r="AH282" s="18"/>
      <c r="AI282" s="18"/>
    </row>
    <row r="283" spans="1:35">
      <c r="A283" s="14">
        <v>281</v>
      </c>
      <c r="B283" s="14">
        <v>5871</v>
      </c>
      <c r="C283" s="14" t="s">
        <v>416</v>
      </c>
      <c r="D283" s="14" t="s">
        <v>417</v>
      </c>
      <c r="E283" s="15" t="str">
        <f>"158.86"</f>
        <v>158.86</v>
      </c>
      <c r="F283" s="15"/>
      <c r="G283" s="16" t="str">
        <f>"158.86"</f>
        <v>158.86</v>
      </c>
      <c r="H283" s="17"/>
      <c r="I283" s="18">
        <v>3</v>
      </c>
      <c r="J283" s="18">
        <v>2016</v>
      </c>
      <c r="K283" s="18" t="str">
        <f>"167.17"</f>
        <v>167.17</v>
      </c>
      <c r="L283" s="18"/>
      <c r="M283" s="18" t="str">
        <f>"155.17"</f>
        <v>155.17</v>
      </c>
      <c r="N283" s="18"/>
      <c r="O283" s="18" t="str">
        <f>"170.12"</f>
        <v>170.12</v>
      </c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 t="str">
        <f>"252.15"</f>
        <v>252.15</v>
      </c>
      <c r="AB283" s="18"/>
      <c r="AC283" s="18"/>
      <c r="AD283" s="18"/>
      <c r="AE283" s="18" t="str">
        <f>"162.99"</f>
        <v>162.99</v>
      </c>
      <c r="AF283" s="18" t="str">
        <f>"162.54"</f>
        <v>162.54</v>
      </c>
      <c r="AG283" s="18" t="str">
        <f>"169.72"</f>
        <v>169.72</v>
      </c>
      <c r="AH283" s="18"/>
      <c r="AI283" s="18"/>
    </row>
    <row r="284" spans="1:35">
      <c r="A284" s="14">
        <v>282</v>
      </c>
      <c r="B284" s="14">
        <v>8630</v>
      </c>
      <c r="C284" s="14" t="s">
        <v>418</v>
      </c>
      <c r="D284" s="14" t="s">
        <v>76</v>
      </c>
      <c r="E284" s="15" t="str">
        <f>"159.02"</f>
        <v>159.02</v>
      </c>
      <c r="F284" s="15"/>
      <c r="G284" s="16" t="str">
        <f>"159.02"</f>
        <v>159.02</v>
      </c>
      <c r="H284" s="17"/>
      <c r="I284" s="18">
        <v>3</v>
      </c>
      <c r="J284" s="18">
        <v>2016</v>
      </c>
      <c r="K284" s="18" t="str">
        <f>"243.65"</f>
        <v>243.65</v>
      </c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 t="str">
        <f>"162.51"</f>
        <v>162.51</v>
      </c>
      <c r="Y284" s="18" t="str">
        <f>"155.52"</f>
        <v>155.52</v>
      </c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</row>
    <row r="285" spans="1:35">
      <c r="A285" s="14">
        <v>283</v>
      </c>
      <c r="B285" s="14">
        <v>1079</v>
      </c>
      <c r="C285" s="14" t="s">
        <v>419</v>
      </c>
      <c r="D285" s="14" t="s">
        <v>210</v>
      </c>
      <c r="E285" s="15" t="str">
        <f>"96.33"</f>
        <v>96.33</v>
      </c>
      <c r="F285" s="15"/>
      <c r="G285" s="16" t="str">
        <f>"159.11"</f>
        <v>159.11</v>
      </c>
      <c r="H285" s="17" t="s">
        <v>54</v>
      </c>
      <c r="I285" s="18">
        <v>2</v>
      </c>
      <c r="J285" s="18">
        <v>2016</v>
      </c>
      <c r="K285" s="18" t="str">
        <f>"96.33"</f>
        <v>96.33</v>
      </c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 t="str">
        <f>"119.11"</f>
        <v>119.11</v>
      </c>
      <c r="AC285" s="18"/>
      <c r="AD285" s="18"/>
      <c r="AE285" s="18"/>
      <c r="AF285" s="18"/>
      <c r="AG285" s="18"/>
      <c r="AH285" s="18"/>
      <c r="AI285" s="18"/>
    </row>
    <row r="286" spans="1:35">
      <c r="A286" s="14">
        <v>284</v>
      </c>
      <c r="B286" s="14">
        <v>8465</v>
      </c>
      <c r="C286" s="14" t="s">
        <v>420</v>
      </c>
      <c r="D286" s="14" t="s">
        <v>76</v>
      </c>
      <c r="E286" s="15" t="str">
        <f>"159.30"</f>
        <v>159.30</v>
      </c>
      <c r="F286" s="15"/>
      <c r="G286" s="16" t="str">
        <f>"159.30"</f>
        <v>159.30</v>
      </c>
      <c r="H286" s="17"/>
      <c r="I286" s="18">
        <v>3</v>
      </c>
      <c r="J286" s="18">
        <v>2016</v>
      </c>
      <c r="K286" s="18" t="str">
        <f>"172.32"</f>
        <v>172.32</v>
      </c>
      <c r="L286" s="18"/>
      <c r="M286" s="18"/>
      <c r="N286" s="18" t="str">
        <f>"179.91"</f>
        <v>179.91</v>
      </c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 t="str">
        <f>"156.62"</f>
        <v>156.62</v>
      </c>
      <c r="Z286" s="18"/>
      <c r="AA286" s="18"/>
      <c r="AB286" s="18"/>
      <c r="AC286" s="18"/>
      <c r="AD286" s="18" t="str">
        <f>"170.79"</f>
        <v>170.79</v>
      </c>
      <c r="AE286" s="18"/>
      <c r="AF286" s="18"/>
      <c r="AG286" s="18" t="str">
        <f>"161.98"</f>
        <v>161.98</v>
      </c>
      <c r="AH286" s="18"/>
      <c r="AI286" s="18"/>
    </row>
    <row r="287" spans="1:35">
      <c r="A287" s="14">
        <v>285</v>
      </c>
      <c r="B287" s="14">
        <v>7585</v>
      </c>
      <c r="C287" s="14" t="s">
        <v>421</v>
      </c>
      <c r="D287" s="14" t="s">
        <v>76</v>
      </c>
      <c r="E287" s="15" t="str">
        <f>"140.05"</f>
        <v>140.05</v>
      </c>
      <c r="F287" s="15"/>
      <c r="G287" s="16">
        <v>160.05000000000001</v>
      </c>
      <c r="H287" s="17" t="s">
        <v>422</v>
      </c>
      <c r="I287" s="18">
        <v>1</v>
      </c>
      <c r="J287" s="18">
        <v>2016</v>
      </c>
      <c r="K287" s="18" t="str">
        <f>"140.05"</f>
        <v>140.05</v>
      </c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</row>
    <row r="288" spans="1:35">
      <c r="A288" s="14">
        <v>286</v>
      </c>
      <c r="B288" s="14">
        <v>2482</v>
      </c>
      <c r="C288" s="14" t="s">
        <v>423</v>
      </c>
      <c r="D288" s="14" t="s">
        <v>424</v>
      </c>
      <c r="E288" s="15" t="str">
        <f>"120.15"</f>
        <v>120.15</v>
      </c>
      <c r="F288" s="15"/>
      <c r="G288" s="16" t="str">
        <f>"160.15"</f>
        <v>160.15</v>
      </c>
      <c r="H288" s="17" t="s">
        <v>48</v>
      </c>
      <c r="I288" s="18">
        <v>1</v>
      </c>
      <c r="J288" s="18">
        <v>2016</v>
      </c>
      <c r="K288" s="18" t="str">
        <f>"120.15"</f>
        <v>120.15</v>
      </c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</row>
    <row r="289" spans="1:35">
      <c r="A289" s="14">
        <v>287</v>
      </c>
      <c r="B289" s="14">
        <v>10226</v>
      </c>
      <c r="C289" s="14" t="s">
        <v>425</v>
      </c>
      <c r="D289" s="14" t="s">
        <v>299</v>
      </c>
      <c r="E289" s="15" t="str">
        <f>"160.23"</f>
        <v>160.23</v>
      </c>
      <c r="F289" s="15"/>
      <c r="G289" s="16" t="str">
        <f>"160.23"</f>
        <v>160.23</v>
      </c>
      <c r="H289" s="17"/>
      <c r="I289" s="18">
        <v>3</v>
      </c>
      <c r="J289" s="18">
        <v>2016</v>
      </c>
      <c r="K289" s="18" t="str">
        <f>"180.02"</f>
        <v>180.02</v>
      </c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 t="str">
        <f>"156.10"</f>
        <v>156.10</v>
      </c>
      <c r="AF289" s="18" t="str">
        <f>"164.35"</f>
        <v>164.35</v>
      </c>
      <c r="AG289" s="18"/>
      <c r="AH289" s="18"/>
      <c r="AI289" s="18"/>
    </row>
    <row r="290" spans="1:35">
      <c r="A290" s="14">
        <v>288</v>
      </c>
      <c r="B290" s="14">
        <v>10116</v>
      </c>
      <c r="C290" s="14" t="s">
        <v>426</v>
      </c>
      <c r="D290" s="14" t="s">
        <v>98</v>
      </c>
      <c r="E290" s="15" t="str">
        <f>"120.35"</f>
        <v>120.35</v>
      </c>
      <c r="F290" s="15"/>
      <c r="G290" s="16" t="str">
        <f>"160.35"</f>
        <v>160.35</v>
      </c>
      <c r="H290" s="17" t="s">
        <v>48</v>
      </c>
      <c r="I290" s="18">
        <v>1</v>
      </c>
      <c r="J290" s="18">
        <v>2016</v>
      </c>
      <c r="K290" s="18" t="str">
        <f>"120.35"</f>
        <v>120.35</v>
      </c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</row>
    <row r="291" spans="1:35">
      <c r="A291" s="14">
        <v>289</v>
      </c>
      <c r="B291" s="14">
        <v>1916</v>
      </c>
      <c r="C291" s="14" t="s">
        <v>427</v>
      </c>
      <c r="D291" s="14" t="s">
        <v>58</v>
      </c>
      <c r="E291" s="15" t="str">
        <f>"120.51"</f>
        <v>120.51</v>
      </c>
      <c r="F291" s="15"/>
      <c r="G291" s="16" t="str">
        <f>"160.51"</f>
        <v>160.51</v>
      </c>
      <c r="H291" s="17" t="s">
        <v>48</v>
      </c>
      <c r="I291" s="18">
        <v>1</v>
      </c>
      <c r="J291" s="18">
        <v>2016</v>
      </c>
      <c r="K291" s="18" t="str">
        <f>"120.51"</f>
        <v>120.51</v>
      </c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</row>
    <row r="292" spans="1:35">
      <c r="A292" s="14">
        <v>290</v>
      </c>
      <c r="B292" s="14">
        <v>2718</v>
      </c>
      <c r="C292" s="14" t="s">
        <v>428</v>
      </c>
      <c r="D292" s="14" t="s">
        <v>148</v>
      </c>
      <c r="E292" s="15" t="str">
        <f>"161.36"</f>
        <v>161.36</v>
      </c>
      <c r="F292" s="15"/>
      <c r="G292" s="16" t="str">
        <f>"161.36"</f>
        <v>161.36</v>
      </c>
      <c r="H292" s="17" t="s">
        <v>54</v>
      </c>
      <c r="I292" s="18">
        <v>4</v>
      </c>
      <c r="J292" s="18">
        <v>2016</v>
      </c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 t="str">
        <f>"121.36"</f>
        <v>121.36</v>
      </c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</row>
    <row r="293" spans="1:35">
      <c r="A293" s="14">
        <v>291</v>
      </c>
      <c r="B293" s="14">
        <v>10517</v>
      </c>
      <c r="C293" s="14" t="s">
        <v>429</v>
      </c>
      <c r="D293" s="14" t="s">
        <v>289</v>
      </c>
      <c r="E293" s="15" t="str">
        <f>"137.47"</f>
        <v>137.47</v>
      </c>
      <c r="F293" s="15"/>
      <c r="G293" s="16" t="str">
        <f>"161.72"</f>
        <v>161.72</v>
      </c>
      <c r="H293" s="17"/>
      <c r="I293" s="18">
        <v>3</v>
      </c>
      <c r="J293" s="18">
        <v>2016</v>
      </c>
      <c r="K293" s="18" t="str">
        <f>"137.47"</f>
        <v>137.47</v>
      </c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 t="str">
        <f>"149.92"</f>
        <v>149.92</v>
      </c>
      <c r="AF293" s="18" t="str">
        <f>"173.51"</f>
        <v>173.51</v>
      </c>
      <c r="AG293" s="18"/>
      <c r="AH293" s="18"/>
      <c r="AI293" s="18"/>
    </row>
    <row r="294" spans="1:35">
      <c r="A294" s="14">
        <v>292</v>
      </c>
      <c r="B294" s="14">
        <v>8497</v>
      </c>
      <c r="C294" s="14" t="s">
        <v>430</v>
      </c>
      <c r="D294" s="14" t="s">
        <v>76</v>
      </c>
      <c r="E294" s="15" t="str">
        <f>"121.97"</f>
        <v>121.97</v>
      </c>
      <c r="F294" s="15"/>
      <c r="G294" s="16" t="str">
        <f>"161.97"</f>
        <v>161.97</v>
      </c>
      <c r="H294" s="17" t="s">
        <v>48</v>
      </c>
      <c r="I294" s="18">
        <v>1</v>
      </c>
      <c r="J294" s="18">
        <v>2016</v>
      </c>
      <c r="K294" s="18" t="str">
        <f>"121.97"</f>
        <v>121.97</v>
      </c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</row>
    <row r="295" spans="1:35">
      <c r="A295" s="14">
        <v>293</v>
      </c>
      <c r="B295" s="14">
        <v>10996</v>
      </c>
      <c r="C295" s="14" t="s">
        <v>431</v>
      </c>
      <c r="D295" s="14" t="s">
        <v>432</v>
      </c>
      <c r="E295" s="15" t="str">
        <f>"162.14"</f>
        <v>162.14</v>
      </c>
      <c r="F295" s="15"/>
      <c r="G295" s="16" t="str">
        <f>"162.14"</f>
        <v>162.14</v>
      </c>
      <c r="H295" s="17"/>
      <c r="I295" s="18">
        <v>5</v>
      </c>
      <c r="J295" s="18">
        <v>2016</v>
      </c>
      <c r="K295" s="18"/>
      <c r="L295" s="18" t="str">
        <f>"173.14"</f>
        <v>173.14</v>
      </c>
      <c r="M295" s="18"/>
      <c r="N295" s="18" t="str">
        <f>"151.13"</f>
        <v>151.13</v>
      </c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</row>
    <row r="296" spans="1:35">
      <c r="A296" s="14">
        <v>294</v>
      </c>
      <c r="B296" s="14">
        <v>3338</v>
      </c>
      <c r="C296" s="14" t="s">
        <v>433</v>
      </c>
      <c r="D296" s="14" t="s">
        <v>210</v>
      </c>
      <c r="E296" s="15" t="str">
        <f>"99.90"</f>
        <v>99.90</v>
      </c>
      <c r="F296" s="15"/>
      <c r="G296" s="16" t="str">
        <f>"162.85"</f>
        <v>162.85</v>
      </c>
      <c r="H296" s="17"/>
      <c r="I296" s="18">
        <v>3</v>
      </c>
      <c r="J296" s="18">
        <v>2016</v>
      </c>
      <c r="K296" s="18" t="str">
        <f>"99.90"</f>
        <v>99.90</v>
      </c>
      <c r="L296" s="18"/>
      <c r="M296" s="18" t="str">
        <f>"180.80"</f>
        <v>180.80</v>
      </c>
      <c r="N296" s="18"/>
      <c r="O296" s="18" t="str">
        <f>"187.75"</f>
        <v>187.75</v>
      </c>
      <c r="P296" s="18"/>
      <c r="Q296" s="18"/>
      <c r="R296" s="18"/>
      <c r="S296" s="18"/>
      <c r="T296" s="18"/>
      <c r="U296" s="18"/>
      <c r="V296" s="18" t="str">
        <f>"144.90"</f>
        <v>144.90</v>
      </c>
      <c r="W296" s="18"/>
      <c r="X296" s="18"/>
      <c r="Y296" s="18"/>
      <c r="Z296" s="18"/>
      <c r="AA296" s="18" t="str">
        <f>"235.67"</f>
        <v>235.67</v>
      </c>
      <c r="AB296" s="18"/>
      <c r="AC296" s="18"/>
      <c r="AD296" s="18"/>
      <c r="AE296" s="18"/>
      <c r="AF296" s="18"/>
      <c r="AG296" s="18"/>
      <c r="AH296" s="18"/>
      <c r="AI296" s="18"/>
    </row>
    <row r="297" spans="1:35">
      <c r="A297" s="14">
        <v>295</v>
      </c>
      <c r="B297" s="14">
        <v>4896</v>
      </c>
      <c r="C297" s="14" t="s">
        <v>434</v>
      </c>
      <c r="D297" s="14" t="s">
        <v>112</v>
      </c>
      <c r="E297" s="15" t="str">
        <f>"152.07"</f>
        <v>152.07</v>
      </c>
      <c r="F297" s="15"/>
      <c r="G297" s="16" t="str">
        <f>"162.89"</f>
        <v>162.89</v>
      </c>
      <c r="H297" s="17"/>
      <c r="I297" s="18">
        <v>3</v>
      </c>
      <c r="J297" s="18">
        <v>2016</v>
      </c>
      <c r="K297" s="18" t="str">
        <f>"152.07"</f>
        <v>152.07</v>
      </c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 t="str">
        <f>"157.32"</f>
        <v>157.32</v>
      </c>
      <c r="AF297" s="18"/>
      <c r="AG297" s="18" t="str">
        <f>"168.46"</f>
        <v>168.46</v>
      </c>
      <c r="AH297" s="18"/>
      <c r="AI297" s="18"/>
    </row>
    <row r="298" spans="1:35">
      <c r="A298" s="14">
        <v>296</v>
      </c>
      <c r="B298" s="14">
        <v>3026</v>
      </c>
      <c r="C298" s="14" t="s">
        <v>435</v>
      </c>
      <c r="D298" s="14" t="s">
        <v>337</v>
      </c>
      <c r="E298" s="15" t="str">
        <f>"122.98"</f>
        <v>122.98</v>
      </c>
      <c r="F298" s="15"/>
      <c r="G298" s="16" t="str">
        <f>"162.98"</f>
        <v>162.98</v>
      </c>
      <c r="H298" s="17" t="s">
        <v>48</v>
      </c>
      <c r="I298" s="18">
        <v>1</v>
      </c>
      <c r="J298" s="18">
        <v>2016</v>
      </c>
      <c r="K298" s="18" t="str">
        <f>"122.98"</f>
        <v>122.98</v>
      </c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</row>
    <row r="299" spans="1:35">
      <c r="A299" s="14">
        <v>297</v>
      </c>
      <c r="B299" s="14">
        <v>8267</v>
      </c>
      <c r="C299" s="14" t="s">
        <v>436</v>
      </c>
      <c r="D299" s="14" t="s">
        <v>114</v>
      </c>
      <c r="E299" s="15" t="str">
        <f>"123.08"</f>
        <v>123.08</v>
      </c>
      <c r="F299" s="15"/>
      <c r="G299" s="16" t="str">
        <f>"163.08"</f>
        <v>163.08</v>
      </c>
      <c r="H299" s="17" t="s">
        <v>48</v>
      </c>
      <c r="I299" s="18">
        <v>1</v>
      </c>
      <c r="J299" s="18">
        <v>2016</v>
      </c>
      <c r="K299" s="18" t="str">
        <f>"123.08"</f>
        <v>123.08</v>
      </c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</row>
    <row r="300" spans="1:35">
      <c r="A300" s="14">
        <v>298</v>
      </c>
      <c r="B300" s="14">
        <v>1868</v>
      </c>
      <c r="C300" s="14" t="s">
        <v>437</v>
      </c>
      <c r="D300" s="14" t="s">
        <v>76</v>
      </c>
      <c r="E300" s="15" t="str">
        <f>"143.38"</f>
        <v>143.38</v>
      </c>
      <c r="F300" s="15"/>
      <c r="G300" s="16">
        <v>163.38</v>
      </c>
      <c r="H300" s="17" t="s">
        <v>438</v>
      </c>
      <c r="I300" s="18">
        <v>1</v>
      </c>
      <c r="J300" s="18">
        <v>2016</v>
      </c>
      <c r="K300" s="18" t="str">
        <f>"143.38"</f>
        <v>143.38</v>
      </c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</row>
    <row r="301" spans="1:35">
      <c r="A301" s="14">
        <v>299</v>
      </c>
      <c r="B301" s="14">
        <v>10618</v>
      </c>
      <c r="C301" s="14" t="s">
        <v>439</v>
      </c>
      <c r="D301" s="14" t="s">
        <v>76</v>
      </c>
      <c r="E301" s="15" t="str">
        <f>"163.77"</f>
        <v>163.77</v>
      </c>
      <c r="F301" s="15"/>
      <c r="G301" s="16" t="str">
        <f>"163.77"</f>
        <v>163.77</v>
      </c>
      <c r="H301" s="17"/>
      <c r="I301" s="18">
        <v>3</v>
      </c>
      <c r="J301" s="18">
        <v>2016</v>
      </c>
      <c r="K301" s="18" t="str">
        <f>"220.76"</f>
        <v>220.76</v>
      </c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 t="str">
        <f>"161.16"</f>
        <v>161.16</v>
      </c>
      <c r="Y301" s="18" t="str">
        <f>"166.37"</f>
        <v>166.37</v>
      </c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</row>
    <row r="302" spans="1:35">
      <c r="A302" s="14">
        <v>300</v>
      </c>
      <c r="B302" s="14">
        <v>3678</v>
      </c>
      <c r="C302" s="14" t="s">
        <v>440</v>
      </c>
      <c r="D302" s="14" t="s">
        <v>70</v>
      </c>
      <c r="E302" s="15" t="str">
        <f>"132.52"</f>
        <v>132.52</v>
      </c>
      <c r="F302" s="15"/>
      <c r="G302" s="16" t="str">
        <f>"164.40"</f>
        <v>164.40</v>
      </c>
      <c r="H302" s="17"/>
      <c r="I302" s="18">
        <v>3</v>
      </c>
      <c r="J302" s="18">
        <v>2016</v>
      </c>
      <c r="K302" s="18" t="str">
        <f>"132.52"</f>
        <v>132.52</v>
      </c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 t="str">
        <f>"133.93"</f>
        <v>133.93</v>
      </c>
      <c r="X302" s="18"/>
      <c r="Y302" s="18"/>
      <c r="Z302" s="18"/>
      <c r="AA302" s="18"/>
      <c r="AB302" s="18" t="str">
        <f>"194.87"</f>
        <v>194.87</v>
      </c>
      <c r="AC302" s="18"/>
      <c r="AD302" s="18"/>
      <c r="AE302" s="18"/>
      <c r="AF302" s="18"/>
      <c r="AG302" s="18" t="str">
        <f>"224.30"</f>
        <v>224.30</v>
      </c>
      <c r="AH302" s="18"/>
      <c r="AI302" s="18"/>
    </row>
    <row r="303" spans="1:35">
      <c r="A303" s="14">
        <v>301</v>
      </c>
      <c r="B303" s="14">
        <v>1645</v>
      </c>
      <c r="C303" s="14" t="s">
        <v>441</v>
      </c>
      <c r="D303" s="14" t="s">
        <v>442</v>
      </c>
      <c r="E303" s="15" t="str">
        <f>"137.52"</f>
        <v>137.52</v>
      </c>
      <c r="F303" s="15"/>
      <c r="G303" s="16" t="str">
        <f>"165.85"</f>
        <v>165.85</v>
      </c>
      <c r="H303" s="17"/>
      <c r="I303" s="18">
        <v>3</v>
      </c>
      <c r="J303" s="18">
        <v>2016</v>
      </c>
      <c r="K303" s="18" t="str">
        <f>"137.52"</f>
        <v>137.52</v>
      </c>
      <c r="L303" s="18"/>
      <c r="M303" s="18" t="str">
        <f>"183.98"</f>
        <v>183.98</v>
      </c>
      <c r="N303" s="18"/>
      <c r="O303" s="18" t="str">
        <f>"195.53"</f>
        <v>195.53</v>
      </c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 t="str">
        <f>"147.71"</f>
        <v>147.71</v>
      </c>
      <c r="AC303" s="18"/>
      <c r="AD303" s="18"/>
      <c r="AE303" s="18"/>
      <c r="AF303" s="18"/>
      <c r="AG303" s="18"/>
      <c r="AH303" s="18"/>
      <c r="AI303" s="18"/>
    </row>
    <row r="304" spans="1:35">
      <c r="A304" s="14">
        <v>302</v>
      </c>
      <c r="B304" s="14">
        <v>6312</v>
      </c>
      <c r="C304" s="14" t="s">
        <v>443</v>
      </c>
      <c r="D304" s="14" t="s">
        <v>317</v>
      </c>
      <c r="E304" s="15" t="str">
        <f>"156.67"</f>
        <v>156.67</v>
      </c>
      <c r="F304" s="15"/>
      <c r="G304" s="16" t="str">
        <f>"166.12"</f>
        <v>166.12</v>
      </c>
      <c r="H304" s="17"/>
      <c r="I304" s="18">
        <v>3</v>
      </c>
      <c r="J304" s="18">
        <v>2016</v>
      </c>
      <c r="K304" s="18" t="str">
        <f>"169.05"</f>
        <v>169.05</v>
      </c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 t="str">
        <f>"144.28"</f>
        <v>144.28</v>
      </c>
      <c r="X304" s="18"/>
      <c r="Y304" s="18"/>
      <c r="Z304" s="18"/>
      <c r="AA304" s="18"/>
      <c r="AB304" s="18" t="str">
        <f>"187.96"</f>
        <v>187.96</v>
      </c>
      <c r="AC304" s="18"/>
      <c r="AD304" s="18"/>
      <c r="AE304" s="18"/>
      <c r="AF304" s="18"/>
      <c r="AG304" s="18"/>
      <c r="AH304" s="18"/>
      <c r="AI304" s="18"/>
    </row>
    <row r="305" spans="1:35">
      <c r="A305" s="14">
        <v>303</v>
      </c>
      <c r="B305" s="14">
        <v>7854</v>
      </c>
      <c r="C305" s="14" t="s">
        <v>444</v>
      </c>
      <c r="D305" s="14" t="s">
        <v>98</v>
      </c>
      <c r="E305" s="15" t="str">
        <f>"147.97"</f>
        <v>147.97</v>
      </c>
      <c r="F305" s="15"/>
      <c r="G305" s="16" t="str">
        <f>"166.30"</f>
        <v>166.30</v>
      </c>
      <c r="H305" s="17"/>
      <c r="I305" s="18">
        <v>3</v>
      </c>
      <c r="J305" s="18">
        <v>2016</v>
      </c>
      <c r="K305" s="18" t="str">
        <f>"147.97"</f>
        <v>147.97</v>
      </c>
      <c r="L305" s="18"/>
      <c r="M305" s="18"/>
      <c r="N305" s="18"/>
      <c r="O305" s="18"/>
      <c r="P305" s="18"/>
      <c r="Q305" s="18" t="str">
        <f>"159.51"</f>
        <v>159.51</v>
      </c>
      <c r="R305" s="18"/>
      <c r="S305" s="18"/>
      <c r="T305" s="18"/>
      <c r="U305" s="18" t="str">
        <f>"173.09"</f>
        <v>173.09</v>
      </c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</row>
    <row r="306" spans="1:35">
      <c r="A306" s="14">
        <v>304</v>
      </c>
      <c r="B306" s="14">
        <v>3261</v>
      </c>
      <c r="C306" s="14" t="s">
        <v>445</v>
      </c>
      <c r="D306" s="14" t="s">
        <v>62</v>
      </c>
      <c r="E306" s="15" t="str">
        <f>"138.40"</f>
        <v>138.40</v>
      </c>
      <c r="F306" s="15"/>
      <c r="G306" s="16" t="str">
        <f>"166.43"</f>
        <v>166.43</v>
      </c>
      <c r="H306" s="17" t="s">
        <v>54</v>
      </c>
      <c r="I306" s="18">
        <v>2</v>
      </c>
      <c r="J306" s="18">
        <v>2016</v>
      </c>
      <c r="K306" s="18" t="str">
        <f>"150.36"</f>
        <v>150.36</v>
      </c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 t="str">
        <f>"126.43"</f>
        <v>126.43</v>
      </c>
      <c r="AC306" s="18"/>
      <c r="AD306" s="18"/>
      <c r="AE306" s="18"/>
      <c r="AF306" s="18"/>
      <c r="AG306" s="18"/>
      <c r="AH306" s="18"/>
      <c r="AI306" s="18"/>
    </row>
    <row r="307" spans="1:35">
      <c r="A307" s="14">
        <v>305</v>
      </c>
      <c r="B307" s="14">
        <v>10259</v>
      </c>
      <c r="C307" s="14" t="s">
        <v>446</v>
      </c>
      <c r="D307" s="14" t="s">
        <v>179</v>
      </c>
      <c r="E307" s="15" t="str">
        <f>"126.47"</f>
        <v>126.47</v>
      </c>
      <c r="F307" s="15"/>
      <c r="G307" s="16" t="str">
        <f>"166.47"</f>
        <v>166.47</v>
      </c>
      <c r="H307" s="17" t="s">
        <v>48</v>
      </c>
      <c r="I307" s="18">
        <v>1</v>
      </c>
      <c r="J307" s="18">
        <v>2016</v>
      </c>
      <c r="K307" s="18" t="str">
        <f>"126.47"</f>
        <v>126.47</v>
      </c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</row>
    <row r="308" spans="1:35">
      <c r="A308" s="14">
        <v>306</v>
      </c>
      <c r="B308" s="14">
        <v>8483</v>
      </c>
      <c r="C308" s="14" t="s">
        <v>447</v>
      </c>
      <c r="D308" s="14" t="s">
        <v>76</v>
      </c>
      <c r="E308" s="15" t="str">
        <f>"166.52"</f>
        <v>166.52</v>
      </c>
      <c r="F308" s="15"/>
      <c r="G308" s="16" t="str">
        <f>"166.52"</f>
        <v>166.52</v>
      </c>
      <c r="H308" s="17"/>
      <c r="I308" s="18">
        <v>3</v>
      </c>
      <c r="J308" s="18">
        <v>2016</v>
      </c>
      <c r="K308" s="18" t="str">
        <f>"242.51"</f>
        <v>242.51</v>
      </c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 t="str">
        <f>"194.40"</f>
        <v>194.40</v>
      </c>
      <c r="Y308" s="18" t="str">
        <f>"174.01"</f>
        <v>174.01</v>
      </c>
      <c r="Z308" s="18"/>
      <c r="AA308" s="18"/>
      <c r="AB308" s="18"/>
      <c r="AC308" s="18" t="str">
        <f>"159.03"</f>
        <v>159.03</v>
      </c>
      <c r="AD308" s="18" t="str">
        <f>"191.09"</f>
        <v>191.09</v>
      </c>
      <c r="AE308" s="18"/>
      <c r="AF308" s="18"/>
      <c r="AG308" s="18"/>
      <c r="AH308" s="18" t="str">
        <f>"212.62"</f>
        <v>212.62</v>
      </c>
      <c r="AI308" s="18"/>
    </row>
    <row r="309" spans="1:35">
      <c r="A309" s="14">
        <v>307</v>
      </c>
      <c r="B309" s="14">
        <v>5111</v>
      </c>
      <c r="C309" s="14" t="s">
        <v>448</v>
      </c>
      <c r="D309" s="14" t="s">
        <v>39</v>
      </c>
      <c r="E309" s="15" t="str">
        <f>"141.60"</f>
        <v>141.60</v>
      </c>
      <c r="F309" s="15"/>
      <c r="G309" s="16" t="str">
        <f>"166.58"</f>
        <v>166.58</v>
      </c>
      <c r="H309" s="17" t="s">
        <v>54</v>
      </c>
      <c r="I309" s="18">
        <v>2</v>
      </c>
      <c r="J309" s="18">
        <v>2016</v>
      </c>
      <c r="K309" s="18" t="str">
        <f>"156.61"</f>
        <v>156.61</v>
      </c>
      <c r="L309" s="18"/>
      <c r="M309" s="18" t="str">
        <f>"126.58"</f>
        <v>126.58</v>
      </c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</row>
    <row r="310" spans="1:35">
      <c r="A310" s="14">
        <v>308</v>
      </c>
      <c r="B310" s="14">
        <v>7942</v>
      </c>
      <c r="C310" s="14" t="s">
        <v>449</v>
      </c>
      <c r="D310" s="14" t="s">
        <v>112</v>
      </c>
      <c r="E310" s="15" t="str">
        <f>"126.66"</f>
        <v>126.66</v>
      </c>
      <c r="F310" s="15"/>
      <c r="G310" s="16" t="str">
        <f>"166.66"</f>
        <v>166.66</v>
      </c>
      <c r="H310" s="17" t="s">
        <v>48</v>
      </c>
      <c r="I310" s="18">
        <v>1</v>
      </c>
      <c r="J310" s="18">
        <v>2016</v>
      </c>
      <c r="K310" s="18" t="str">
        <f>"126.66"</f>
        <v>126.66</v>
      </c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</row>
    <row r="311" spans="1:35">
      <c r="A311" s="14">
        <v>309</v>
      </c>
      <c r="B311" s="14">
        <v>2279</v>
      </c>
      <c r="C311" s="14" t="s">
        <v>450</v>
      </c>
      <c r="D311" s="14" t="s">
        <v>112</v>
      </c>
      <c r="E311" s="15" t="str">
        <f>"166.69"</f>
        <v>166.69</v>
      </c>
      <c r="F311" s="15"/>
      <c r="G311" s="16" t="str">
        <f>"166.69"</f>
        <v>166.69</v>
      </c>
      <c r="H311" s="17"/>
      <c r="I311" s="18">
        <v>3</v>
      </c>
      <c r="J311" s="18">
        <v>2016</v>
      </c>
      <c r="K311" s="18" t="str">
        <f>"257.31"</f>
        <v>257.31</v>
      </c>
      <c r="L311" s="18"/>
      <c r="M311" s="18" t="str">
        <f>"143.14"</f>
        <v>143.14</v>
      </c>
      <c r="N311" s="18"/>
      <c r="O311" s="18" t="str">
        <f>"197.61"</f>
        <v>197.61</v>
      </c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 t="str">
        <f>"275.25"</f>
        <v>275.25</v>
      </c>
      <c r="AB311" s="18"/>
      <c r="AC311" s="18"/>
      <c r="AD311" s="18"/>
      <c r="AE311" s="18"/>
      <c r="AF311" s="18"/>
      <c r="AG311" s="18"/>
      <c r="AH311" s="18" t="str">
        <f>"190.23"</f>
        <v>190.23</v>
      </c>
      <c r="AI311" s="18"/>
    </row>
    <row r="312" spans="1:35">
      <c r="A312" s="14">
        <v>310</v>
      </c>
      <c r="B312" s="14">
        <v>8682</v>
      </c>
      <c r="C312" s="14" t="s">
        <v>451</v>
      </c>
      <c r="D312" s="14" t="s">
        <v>107</v>
      </c>
      <c r="E312" s="15" t="str">
        <f>"127.97"</f>
        <v>127.97</v>
      </c>
      <c r="F312" s="15"/>
      <c r="G312" s="16" t="str">
        <f>"166.78"</f>
        <v>166.78</v>
      </c>
      <c r="H312" s="17"/>
      <c r="I312" s="18">
        <v>3</v>
      </c>
      <c r="J312" s="18">
        <v>2016</v>
      </c>
      <c r="K312" s="18" t="str">
        <f>"127.97"</f>
        <v>127.97</v>
      </c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 t="str">
        <f>"167.61"</f>
        <v>167.61</v>
      </c>
      <c r="W312" s="18"/>
      <c r="X312" s="18"/>
      <c r="Y312" s="18"/>
      <c r="Z312" s="18"/>
      <c r="AA312" s="18" t="str">
        <f>"278.96"</f>
        <v>278.96</v>
      </c>
      <c r="AB312" s="18"/>
      <c r="AC312" s="18"/>
      <c r="AD312" s="18"/>
      <c r="AE312" s="18"/>
      <c r="AF312" s="18" t="str">
        <f>"246.04"</f>
        <v>246.04</v>
      </c>
      <c r="AG312" s="18" t="str">
        <f>"165.95"</f>
        <v>165.95</v>
      </c>
      <c r="AH312" s="18" t="str">
        <f>"178.02"</f>
        <v>178.02</v>
      </c>
      <c r="AI312" s="18"/>
    </row>
    <row r="313" spans="1:35">
      <c r="A313" s="14">
        <v>311</v>
      </c>
      <c r="B313" s="14">
        <v>2039</v>
      </c>
      <c r="C313" s="14" t="s">
        <v>452</v>
      </c>
      <c r="D313" s="14" t="s">
        <v>289</v>
      </c>
      <c r="E313" s="15" t="str">
        <f>"136.13"</f>
        <v>136.13</v>
      </c>
      <c r="F313" s="15"/>
      <c r="G313" s="16" t="str">
        <f>"166.82"</f>
        <v>166.82</v>
      </c>
      <c r="H313" s="17" t="s">
        <v>54</v>
      </c>
      <c r="I313" s="18">
        <v>2</v>
      </c>
      <c r="J313" s="18">
        <v>2016</v>
      </c>
      <c r="K313" s="18" t="str">
        <f>"145.43"</f>
        <v>145.43</v>
      </c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 t="str">
        <f>"126.82"</f>
        <v>126.82</v>
      </c>
      <c r="AF313" s="18"/>
      <c r="AG313" s="18"/>
      <c r="AH313" s="18"/>
      <c r="AI313" s="18"/>
    </row>
    <row r="314" spans="1:35">
      <c r="A314" s="14">
        <v>312</v>
      </c>
      <c r="B314" s="14">
        <v>9639</v>
      </c>
      <c r="C314" s="14" t="s">
        <v>453</v>
      </c>
      <c r="D314" s="14" t="s">
        <v>86</v>
      </c>
      <c r="E314" s="15" t="str">
        <f>"130.86"</f>
        <v>130.86</v>
      </c>
      <c r="F314" s="15"/>
      <c r="G314" s="16" t="str">
        <f>"166.92"</f>
        <v>166.92</v>
      </c>
      <c r="H314" s="17" t="s">
        <v>54</v>
      </c>
      <c r="I314" s="18">
        <v>2</v>
      </c>
      <c r="J314" s="18">
        <v>2016</v>
      </c>
      <c r="K314" s="18" t="str">
        <f>"134.79"</f>
        <v>134.79</v>
      </c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 t="str">
        <f>"126.92"</f>
        <v>126.92</v>
      </c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</row>
    <row r="315" spans="1:35">
      <c r="A315" s="14">
        <v>313</v>
      </c>
      <c r="B315" s="14">
        <v>5122</v>
      </c>
      <c r="C315" s="14" t="s">
        <v>454</v>
      </c>
      <c r="D315" s="14" t="s">
        <v>153</v>
      </c>
      <c r="E315" s="15" t="str">
        <f>"104.29"</f>
        <v>104.29</v>
      </c>
      <c r="F315" s="15"/>
      <c r="G315" s="16" t="str">
        <f>"167.19"</f>
        <v>167.19</v>
      </c>
      <c r="H315" s="17"/>
      <c r="I315" s="18">
        <v>3</v>
      </c>
      <c r="J315" s="18">
        <v>2016</v>
      </c>
      <c r="K315" s="18" t="str">
        <f>"104.29"</f>
        <v>104.29</v>
      </c>
      <c r="L315" s="18"/>
      <c r="M315" s="18" t="str">
        <f>"194.41"</f>
        <v>194.41</v>
      </c>
      <c r="N315" s="18"/>
      <c r="O315" s="18" t="str">
        <f>"183.60"</f>
        <v>183.60</v>
      </c>
      <c r="P315" s="18"/>
      <c r="Q315" s="18"/>
      <c r="R315" s="18"/>
      <c r="S315" s="18"/>
      <c r="T315" s="18"/>
      <c r="U315" s="18"/>
      <c r="V315" s="18" t="str">
        <f>"150.78"</f>
        <v>150.78</v>
      </c>
      <c r="W315" s="18"/>
      <c r="X315" s="18"/>
      <c r="Y315" s="18"/>
      <c r="Z315" s="18"/>
      <c r="AA315" s="18" t="str">
        <f>"240.36"</f>
        <v>240.36</v>
      </c>
      <c r="AB315" s="18"/>
      <c r="AC315" s="18"/>
      <c r="AD315" s="18"/>
      <c r="AE315" s="18"/>
      <c r="AF315" s="18"/>
      <c r="AG315" s="18"/>
      <c r="AH315" s="18"/>
      <c r="AI315" s="18"/>
    </row>
    <row r="316" spans="1:35">
      <c r="A316" s="14">
        <v>314</v>
      </c>
      <c r="B316" s="14">
        <v>1879</v>
      </c>
      <c r="C316" s="14" t="s">
        <v>455</v>
      </c>
      <c r="D316" s="14" t="s">
        <v>312</v>
      </c>
      <c r="E316" s="15" t="str">
        <f>"123.63"</f>
        <v>123.63</v>
      </c>
      <c r="F316" s="15"/>
      <c r="G316" s="16" t="str">
        <f>"167.28"</f>
        <v>167.28</v>
      </c>
      <c r="H316" s="17"/>
      <c r="I316" s="18">
        <v>3</v>
      </c>
      <c r="J316" s="18">
        <v>2016</v>
      </c>
      <c r="K316" s="18" t="str">
        <f>"123.63"</f>
        <v>123.63</v>
      </c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 t="str">
        <f>"132.31"</f>
        <v>132.31</v>
      </c>
      <c r="W316" s="18"/>
      <c r="X316" s="18"/>
      <c r="Y316" s="18"/>
      <c r="Z316" s="18"/>
      <c r="AA316" s="18" t="str">
        <f>"202.24"</f>
        <v>202.24</v>
      </c>
      <c r="AB316" s="18"/>
      <c r="AC316" s="18"/>
      <c r="AD316" s="18"/>
      <c r="AE316" s="18"/>
      <c r="AF316" s="18"/>
      <c r="AG316" s="18"/>
      <c r="AH316" s="18"/>
      <c r="AI316" s="18"/>
    </row>
    <row r="317" spans="1:35">
      <c r="A317" s="14">
        <v>315</v>
      </c>
      <c r="B317" s="14">
        <v>10530</v>
      </c>
      <c r="C317" s="14" t="s">
        <v>456</v>
      </c>
      <c r="D317" s="14" t="s">
        <v>157</v>
      </c>
      <c r="E317" s="15" t="str">
        <f>"147.35"</f>
        <v>147.35</v>
      </c>
      <c r="F317" s="15"/>
      <c r="G317" s="16">
        <v>167.35</v>
      </c>
      <c r="H317" s="17" t="s">
        <v>422</v>
      </c>
      <c r="I317" s="18">
        <v>1</v>
      </c>
      <c r="J317" s="18">
        <v>2016</v>
      </c>
      <c r="K317" s="18" t="str">
        <f>"147.35"</f>
        <v>147.35</v>
      </c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</row>
    <row r="318" spans="1:35">
      <c r="A318" s="14">
        <v>316</v>
      </c>
      <c r="B318" s="14">
        <v>4366</v>
      </c>
      <c r="C318" s="14" t="s">
        <v>457</v>
      </c>
      <c r="D318" s="14" t="s">
        <v>112</v>
      </c>
      <c r="E318" s="15" t="str">
        <f>"155.67"</f>
        <v>155.67</v>
      </c>
      <c r="F318" s="15"/>
      <c r="G318" s="16" t="str">
        <f>"167.50"</f>
        <v>167.50</v>
      </c>
      <c r="H318" s="17"/>
      <c r="I318" s="18">
        <v>3</v>
      </c>
      <c r="J318" s="18">
        <v>2016</v>
      </c>
      <c r="K318" s="18" t="str">
        <f>"155.67"</f>
        <v>155.67</v>
      </c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 t="str">
        <f>"165.49"</f>
        <v>165.49</v>
      </c>
      <c r="W318" s="18"/>
      <c r="X318" s="18"/>
      <c r="Y318" s="18"/>
      <c r="Z318" s="18"/>
      <c r="AA318" s="18"/>
      <c r="AB318" s="18"/>
      <c r="AC318" s="18"/>
      <c r="AD318" s="18"/>
      <c r="AE318" s="18"/>
      <c r="AF318" s="18" t="str">
        <f>"232.08"</f>
        <v>232.08</v>
      </c>
      <c r="AG318" s="18" t="str">
        <f>"169.51"</f>
        <v>169.51</v>
      </c>
      <c r="AH318" s="18" t="str">
        <f>"215.20"</f>
        <v>215.20</v>
      </c>
      <c r="AI318" s="18"/>
    </row>
    <row r="319" spans="1:35">
      <c r="A319" s="14">
        <v>317</v>
      </c>
      <c r="B319" s="14">
        <v>5679</v>
      </c>
      <c r="C319" s="14" t="s">
        <v>458</v>
      </c>
      <c r="D319" s="14" t="s">
        <v>39</v>
      </c>
      <c r="E319" s="15" t="str">
        <f>"159.03"</f>
        <v>159.03</v>
      </c>
      <c r="F319" s="15"/>
      <c r="G319" s="16" t="str">
        <f>"167.53"</f>
        <v>167.53</v>
      </c>
      <c r="H319" s="17"/>
      <c r="I319" s="18">
        <v>3</v>
      </c>
      <c r="J319" s="18">
        <v>2016</v>
      </c>
      <c r="K319" s="18" t="str">
        <f>"159.92"</f>
        <v>159.92</v>
      </c>
      <c r="L319" s="18"/>
      <c r="M319" s="18" t="str">
        <f>"203.03"</f>
        <v>203.03</v>
      </c>
      <c r="N319" s="18"/>
      <c r="O319" s="18" t="str">
        <f>"207.72"</f>
        <v>207.72</v>
      </c>
      <c r="P319" s="18"/>
      <c r="Q319" s="18"/>
      <c r="R319" s="18"/>
      <c r="S319" s="18"/>
      <c r="T319" s="18"/>
      <c r="U319" s="18"/>
      <c r="V319" s="18" t="str">
        <f>"158.14"</f>
        <v>158.14</v>
      </c>
      <c r="W319" s="18"/>
      <c r="X319" s="18"/>
      <c r="Y319" s="18"/>
      <c r="Z319" s="18"/>
      <c r="AA319" s="18" t="str">
        <f>"259.74"</f>
        <v>259.74</v>
      </c>
      <c r="AB319" s="18"/>
      <c r="AC319" s="18"/>
      <c r="AD319" s="18"/>
      <c r="AE319" s="18"/>
      <c r="AF319" s="18"/>
      <c r="AG319" s="18" t="str">
        <f>"204.85"</f>
        <v>204.85</v>
      </c>
      <c r="AH319" s="18" t="str">
        <f>"176.91"</f>
        <v>176.91</v>
      </c>
      <c r="AI319" s="18"/>
    </row>
    <row r="320" spans="1:35">
      <c r="A320" s="14">
        <v>318</v>
      </c>
      <c r="B320" s="14">
        <v>10343</v>
      </c>
      <c r="C320" s="14" t="s">
        <v>459</v>
      </c>
      <c r="D320" s="14" t="s">
        <v>76</v>
      </c>
      <c r="E320" s="15" t="str">
        <f>"157.73"</f>
        <v>157.73</v>
      </c>
      <c r="F320" s="15"/>
      <c r="G320" s="16" t="str">
        <f>"167.58"</f>
        <v>167.58</v>
      </c>
      <c r="H320" s="17"/>
      <c r="I320" s="18">
        <v>3</v>
      </c>
      <c r="J320" s="18">
        <v>2016</v>
      </c>
      <c r="K320" s="18" t="str">
        <f>"166.38"</f>
        <v>166.38</v>
      </c>
      <c r="L320" s="18" t="str">
        <f>"214.89"</f>
        <v>214.89</v>
      </c>
      <c r="M320" s="18"/>
      <c r="N320" s="18" t="str">
        <f>"193.79"</f>
        <v>193.79</v>
      </c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 t="str">
        <f>"186.07"</f>
        <v>186.07</v>
      </c>
      <c r="Z320" s="18"/>
      <c r="AA320" s="18"/>
      <c r="AB320" s="18"/>
      <c r="AC320" s="18"/>
      <c r="AD320" s="18" t="str">
        <f>"149.08"</f>
        <v>149.08</v>
      </c>
      <c r="AE320" s="18"/>
      <c r="AF320" s="18"/>
      <c r="AG320" s="18"/>
      <c r="AH320" s="18"/>
      <c r="AI320" s="18"/>
    </row>
    <row r="321" spans="1:35">
      <c r="A321" s="14">
        <v>319</v>
      </c>
      <c r="B321" s="14">
        <v>8472</v>
      </c>
      <c r="C321" s="14" t="s">
        <v>460</v>
      </c>
      <c r="D321" s="14" t="s">
        <v>76</v>
      </c>
      <c r="E321" s="15" t="str">
        <f>"167.94"</f>
        <v>167.94</v>
      </c>
      <c r="F321" s="15"/>
      <c r="G321" s="16" t="str">
        <f>"167.94"</f>
        <v>167.94</v>
      </c>
      <c r="H321" s="17"/>
      <c r="I321" s="18">
        <v>3</v>
      </c>
      <c r="J321" s="18">
        <v>2016</v>
      </c>
      <c r="K321" s="18" t="str">
        <f>"211.48"</f>
        <v>211.48</v>
      </c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 t="str">
        <f>"176.84"</f>
        <v>176.84</v>
      </c>
      <c r="Y321" s="18" t="str">
        <f>"159.04"</f>
        <v>159.04</v>
      </c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</row>
    <row r="322" spans="1:35">
      <c r="A322" s="14">
        <v>320</v>
      </c>
      <c r="B322" s="14">
        <v>3464</v>
      </c>
      <c r="C322" s="14" t="s">
        <v>461</v>
      </c>
      <c r="D322" s="14" t="s">
        <v>462</v>
      </c>
      <c r="E322" s="15" t="str">
        <f>"128.01"</f>
        <v>128.01</v>
      </c>
      <c r="F322" s="15"/>
      <c r="G322" s="16" t="str">
        <f>"168.01"</f>
        <v>168.01</v>
      </c>
      <c r="H322" s="17" t="s">
        <v>48</v>
      </c>
      <c r="I322" s="18">
        <v>1</v>
      </c>
      <c r="J322" s="18">
        <v>2016</v>
      </c>
      <c r="K322" s="18" t="str">
        <f>"128.01"</f>
        <v>128.01</v>
      </c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</row>
    <row r="323" spans="1:35">
      <c r="A323" s="14">
        <v>321</v>
      </c>
      <c r="B323" s="14">
        <v>10645</v>
      </c>
      <c r="C323" s="14" t="s">
        <v>463</v>
      </c>
      <c r="D323" s="14" t="s">
        <v>76</v>
      </c>
      <c r="E323" s="15" t="str">
        <f>"169.13"</f>
        <v>169.13</v>
      </c>
      <c r="F323" s="15"/>
      <c r="G323" s="16" t="str">
        <f>"169.13"</f>
        <v>169.13</v>
      </c>
      <c r="H323" s="17"/>
      <c r="I323" s="18">
        <v>3</v>
      </c>
      <c r="J323" s="18">
        <v>2016</v>
      </c>
      <c r="K323" s="18" t="str">
        <f>"283.29"</f>
        <v>283.29</v>
      </c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 t="str">
        <f>"252.64"</f>
        <v>252.64</v>
      </c>
      <c r="Y323" s="18"/>
      <c r="Z323" s="18"/>
      <c r="AA323" s="18"/>
      <c r="AB323" s="18"/>
      <c r="AC323" s="18" t="str">
        <f>"177.12"</f>
        <v>177.12</v>
      </c>
      <c r="AD323" s="18" t="str">
        <f>"161.13"</f>
        <v>161.13</v>
      </c>
      <c r="AE323" s="18"/>
      <c r="AF323" s="18"/>
      <c r="AG323" s="18"/>
      <c r="AH323" s="18"/>
      <c r="AI323" s="18"/>
    </row>
    <row r="324" spans="1:35">
      <c r="A324" s="14">
        <v>322</v>
      </c>
      <c r="B324" s="14">
        <v>753</v>
      </c>
      <c r="C324" s="14" t="s">
        <v>464</v>
      </c>
      <c r="D324" s="14" t="s">
        <v>112</v>
      </c>
      <c r="E324" s="15" t="str">
        <f>"129.13"</f>
        <v>129.13</v>
      </c>
      <c r="F324" s="15"/>
      <c r="G324" s="16" t="str">
        <f>"169.13"</f>
        <v>169.13</v>
      </c>
      <c r="H324" s="17" t="s">
        <v>48</v>
      </c>
      <c r="I324" s="18">
        <v>1</v>
      </c>
      <c r="J324" s="18">
        <v>2016</v>
      </c>
      <c r="K324" s="18" t="str">
        <f>"129.13"</f>
        <v>129.13</v>
      </c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</row>
    <row r="325" spans="1:35">
      <c r="A325" s="14">
        <v>323</v>
      </c>
      <c r="B325" s="14">
        <v>11081</v>
      </c>
      <c r="C325" s="14" t="s">
        <v>465</v>
      </c>
      <c r="D325" s="14" t="s">
        <v>184</v>
      </c>
      <c r="E325" s="15" t="str">
        <f>"169.29"</f>
        <v>169.29</v>
      </c>
      <c r="F325" s="15"/>
      <c r="G325" s="16" t="str">
        <f>"169.29"</f>
        <v>169.29</v>
      </c>
      <c r="H325" s="17"/>
      <c r="I325" s="18">
        <v>5</v>
      </c>
      <c r="J325" s="18">
        <v>2016</v>
      </c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 t="str">
        <f>"118.09"</f>
        <v>118.09</v>
      </c>
      <c r="W325" s="18"/>
      <c r="X325" s="18"/>
      <c r="Y325" s="18"/>
      <c r="Z325" s="18"/>
      <c r="AA325" s="18" t="str">
        <f>"220.49"</f>
        <v>220.49</v>
      </c>
      <c r="AB325" s="18"/>
      <c r="AC325" s="18"/>
      <c r="AD325" s="18"/>
      <c r="AE325" s="18"/>
      <c r="AF325" s="18"/>
      <c r="AG325" s="18"/>
      <c r="AH325" s="18"/>
      <c r="AI325" s="18"/>
    </row>
    <row r="326" spans="1:35">
      <c r="A326" s="14">
        <v>324</v>
      </c>
      <c r="B326" s="14">
        <v>4005</v>
      </c>
      <c r="C326" s="14" t="s">
        <v>466</v>
      </c>
      <c r="D326" s="14" t="s">
        <v>240</v>
      </c>
      <c r="E326" s="15" t="str">
        <f>"164.66"</f>
        <v>164.66</v>
      </c>
      <c r="F326" s="15"/>
      <c r="G326" s="16" t="str">
        <f>"169.67"</f>
        <v>169.67</v>
      </c>
      <c r="H326" s="17"/>
      <c r="I326" s="18">
        <v>3</v>
      </c>
      <c r="J326" s="18">
        <v>2016</v>
      </c>
      <c r="K326" s="18" t="str">
        <f>"164.66"</f>
        <v>164.66</v>
      </c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 t="str">
        <f>"167.78"</f>
        <v>167.78</v>
      </c>
      <c r="W326" s="18"/>
      <c r="X326" s="18"/>
      <c r="Y326" s="18"/>
      <c r="Z326" s="18"/>
      <c r="AA326" s="18"/>
      <c r="AB326" s="18" t="str">
        <f>"197.99"</f>
        <v>197.99</v>
      </c>
      <c r="AC326" s="18"/>
      <c r="AD326" s="18"/>
      <c r="AE326" s="18"/>
      <c r="AF326" s="18"/>
      <c r="AG326" s="18"/>
      <c r="AH326" s="18" t="str">
        <f>"171.55"</f>
        <v>171.55</v>
      </c>
      <c r="AI326" s="18"/>
    </row>
    <row r="327" spans="1:35">
      <c r="A327" s="14">
        <v>325</v>
      </c>
      <c r="B327" s="14">
        <v>4599</v>
      </c>
      <c r="C327" s="14" t="s">
        <v>467</v>
      </c>
      <c r="D327" s="14" t="s">
        <v>70</v>
      </c>
      <c r="E327" s="15" t="str">
        <f>"137.97"</f>
        <v>137.97</v>
      </c>
      <c r="F327" s="15"/>
      <c r="G327" s="16" t="str">
        <f>"169.98"</f>
        <v>169.98</v>
      </c>
      <c r="H327" s="17" t="s">
        <v>54</v>
      </c>
      <c r="I327" s="18">
        <v>2</v>
      </c>
      <c r="J327" s="18">
        <v>2016</v>
      </c>
      <c r="K327" s="18" t="str">
        <f>"145.95"</f>
        <v>145.95</v>
      </c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 t="str">
        <f>"129.98"</f>
        <v>129.98</v>
      </c>
      <c r="AH327" s="18"/>
      <c r="AI327" s="18"/>
    </row>
    <row r="328" spans="1:35">
      <c r="A328" s="14">
        <v>326</v>
      </c>
      <c r="B328" s="14">
        <v>2331</v>
      </c>
      <c r="C328" s="14" t="s">
        <v>468</v>
      </c>
      <c r="D328" s="14" t="s">
        <v>76</v>
      </c>
      <c r="E328" s="15" t="str">
        <f>"170.11"</f>
        <v>170.11</v>
      </c>
      <c r="F328" s="15"/>
      <c r="G328" s="16" t="str">
        <f>"170.11"</f>
        <v>170.11</v>
      </c>
      <c r="H328" s="17"/>
      <c r="I328" s="18">
        <v>3</v>
      </c>
      <c r="J328" s="18">
        <v>2016</v>
      </c>
      <c r="K328" s="18" t="str">
        <f>"234.75"</f>
        <v>234.75</v>
      </c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 t="str">
        <f>"194.67"</f>
        <v>194.67</v>
      </c>
      <c r="Y328" s="18" t="str">
        <f>"233.31"</f>
        <v>233.31</v>
      </c>
      <c r="Z328" s="18"/>
      <c r="AA328" s="18"/>
      <c r="AB328" s="18"/>
      <c r="AC328" s="18" t="str">
        <f>"164.55"</f>
        <v>164.55</v>
      </c>
      <c r="AD328" s="18" t="str">
        <f>"175.67"</f>
        <v>175.67</v>
      </c>
      <c r="AE328" s="18"/>
      <c r="AF328" s="18"/>
      <c r="AG328" s="18"/>
      <c r="AH328" s="18"/>
      <c r="AI328" s="18"/>
    </row>
    <row r="329" spans="1:35">
      <c r="A329" s="14">
        <v>327</v>
      </c>
      <c r="B329" s="14">
        <v>2356</v>
      </c>
      <c r="C329" s="14" t="s">
        <v>469</v>
      </c>
      <c r="D329" s="14" t="s">
        <v>76</v>
      </c>
      <c r="E329" s="15" t="str">
        <f>"140.51"</f>
        <v>140.51</v>
      </c>
      <c r="F329" s="15"/>
      <c r="G329" s="16" t="str">
        <f>"170.28"</f>
        <v>170.28</v>
      </c>
      <c r="H329" s="17"/>
      <c r="I329" s="18">
        <v>3</v>
      </c>
      <c r="J329" s="18">
        <v>2016</v>
      </c>
      <c r="K329" s="18" t="str">
        <f>"147.24"</f>
        <v>147.24</v>
      </c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 t="str">
        <f>"206.78"</f>
        <v>206.78</v>
      </c>
      <c r="Z329" s="18"/>
      <c r="AA329" s="18"/>
      <c r="AB329" s="18"/>
      <c r="AC329" s="18"/>
      <c r="AD329" s="18" t="str">
        <f>"133.78"</f>
        <v>133.78</v>
      </c>
      <c r="AE329" s="18"/>
      <c r="AF329" s="18"/>
      <c r="AG329" s="18"/>
      <c r="AH329" s="18"/>
      <c r="AI329" s="18"/>
    </row>
    <row r="330" spans="1:35">
      <c r="A330" s="14">
        <v>328</v>
      </c>
      <c r="B330" s="14">
        <v>10409</v>
      </c>
      <c r="C330" s="14" t="s">
        <v>470</v>
      </c>
      <c r="D330" s="14" t="s">
        <v>98</v>
      </c>
      <c r="E330" s="15" t="str">
        <f>"169.09"</f>
        <v>169.09</v>
      </c>
      <c r="F330" s="15"/>
      <c r="G330" s="16" t="str">
        <f>"170.59"</f>
        <v>170.59</v>
      </c>
      <c r="H330" s="17"/>
      <c r="I330" s="18">
        <v>3</v>
      </c>
      <c r="J330" s="18">
        <v>2016</v>
      </c>
      <c r="K330" s="18" t="str">
        <f>"194.38"</f>
        <v>194.38</v>
      </c>
      <c r="L330" s="18"/>
      <c r="M330" s="18"/>
      <c r="N330" s="18"/>
      <c r="O330" s="18"/>
      <c r="P330" s="18"/>
      <c r="Q330" s="18"/>
      <c r="R330" s="18"/>
      <c r="S330" s="18"/>
      <c r="T330" s="18"/>
      <c r="U330" s="18" t="str">
        <f>"197.38"</f>
        <v>197.38</v>
      </c>
      <c r="V330" s="18"/>
      <c r="W330" s="18"/>
      <c r="X330" s="18"/>
      <c r="Y330" s="18"/>
      <c r="Z330" s="18" t="str">
        <f>"201.47"</f>
        <v>201.47</v>
      </c>
      <c r="AA330" s="18"/>
      <c r="AB330" s="18"/>
      <c r="AC330" s="18"/>
      <c r="AD330" s="18"/>
      <c r="AE330" s="18"/>
      <c r="AF330" s="18"/>
      <c r="AG330" s="18" t="str">
        <f>"143.79"</f>
        <v>143.79</v>
      </c>
      <c r="AH330" s="18"/>
      <c r="AI330" s="18"/>
    </row>
    <row r="331" spans="1:35">
      <c r="A331" s="14">
        <v>329</v>
      </c>
      <c r="B331" s="14">
        <v>1241</v>
      </c>
      <c r="C331" s="14" t="s">
        <v>471</v>
      </c>
      <c r="D331" s="14" t="s">
        <v>125</v>
      </c>
      <c r="E331" s="15" t="str">
        <f>"106.81"</f>
        <v>106.81</v>
      </c>
      <c r="F331" s="15"/>
      <c r="G331" s="16" t="str">
        <f>"170.69"</f>
        <v>170.69</v>
      </c>
      <c r="H331" s="17"/>
      <c r="I331" s="18">
        <v>3</v>
      </c>
      <c r="J331" s="18">
        <v>2016</v>
      </c>
      <c r="K331" s="18" t="str">
        <f>"106.81"</f>
        <v>106.81</v>
      </c>
      <c r="L331" s="18"/>
      <c r="M331" s="18" t="str">
        <f>"178.76"</f>
        <v>178.76</v>
      </c>
      <c r="N331" s="18"/>
      <c r="O331" s="18" t="str">
        <f>"240.92"</f>
        <v>240.92</v>
      </c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 t="str">
        <f>"282.52"</f>
        <v>282.52</v>
      </c>
      <c r="AB331" s="18"/>
      <c r="AC331" s="18"/>
      <c r="AD331" s="18"/>
      <c r="AE331" s="18"/>
      <c r="AF331" s="18"/>
      <c r="AG331" s="18" t="str">
        <f>"162.61"</f>
        <v>162.61</v>
      </c>
      <c r="AH331" s="18"/>
      <c r="AI331" s="18"/>
    </row>
    <row r="332" spans="1:35">
      <c r="A332" s="14">
        <v>330</v>
      </c>
      <c r="B332" s="14">
        <v>8361</v>
      </c>
      <c r="C332" s="14" t="s">
        <v>472</v>
      </c>
      <c r="D332" s="14" t="s">
        <v>98</v>
      </c>
      <c r="E332" s="15" t="str">
        <f>"178.34"</f>
        <v>178.34</v>
      </c>
      <c r="F332" s="15"/>
      <c r="G332" s="16" t="str">
        <f>"171.54"</f>
        <v>171.54</v>
      </c>
      <c r="H332" s="17" t="s">
        <v>54</v>
      </c>
      <c r="I332" s="18">
        <v>2</v>
      </c>
      <c r="J332" s="18">
        <v>2016</v>
      </c>
      <c r="K332" s="18" t="str">
        <f>"225.14"</f>
        <v>225.14</v>
      </c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 t="str">
        <f>"131.54"</f>
        <v>131.54</v>
      </c>
      <c r="AA332" s="18"/>
      <c r="AB332" s="18"/>
      <c r="AC332" s="18"/>
      <c r="AD332" s="18"/>
      <c r="AE332" s="18"/>
      <c r="AF332" s="18"/>
      <c r="AG332" s="18"/>
      <c r="AH332" s="18"/>
      <c r="AI332" s="18"/>
    </row>
    <row r="333" spans="1:35">
      <c r="A333" s="14">
        <v>331</v>
      </c>
      <c r="B333" s="14">
        <v>1546</v>
      </c>
      <c r="C333" s="14" t="s">
        <v>473</v>
      </c>
      <c r="D333" s="14" t="s">
        <v>84</v>
      </c>
      <c r="E333" s="15" t="str">
        <f>"162.43"</f>
        <v>162.43</v>
      </c>
      <c r="F333" s="15"/>
      <c r="G333" s="16" t="str">
        <f>"172.48"</f>
        <v>172.48</v>
      </c>
      <c r="H333" s="17"/>
      <c r="I333" s="18">
        <v>3</v>
      </c>
      <c r="J333" s="18">
        <v>2016</v>
      </c>
      <c r="K333" s="18" t="str">
        <f>"162.43"</f>
        <v>162.43</v>
      </c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 t="str">
        <f>"174.97"</f>
        <v>174.97</v>
      </c>
      <c r="W333" s="18"/>
      <c r="X333" s="18"/>
      <c r="Y333" s="18"/>
      <c r="Z333" s="18"/>
      <c r="AA333" s="18"/>
      <c r="AB333" s="18" t="str">
        <f>"206.66"</f>
        <v>206.66</v>
      </c>
      <c r="AC333" s="18"/>
      <c r="AD333" s="18"/>
      <c r="AE333" s="18" t="str">
        <f>"169.99"</f>
        <v>169.99</v>
      </c>
      <c r="AF333" s="18" t="str">
        <f>"252.96"</f>
        <v>252.96</v>
      </c>
      <c r="AG333" s="18"/>
      <c r="AH333" s="18"/>
      <c r="AI333" s="18"/>
    </row>
    <row r="334" spans="1:35">
      <c r="A334" s="14">
        <v>332</v>
      </c>
      <c r="B334" s="14">
        <v>8090</v>
      </c>
      <c r="C334" s="14" t="s">
        <v>474</v>
      </c>
      <c r="D334" s="14" t="s">
        <v>127</v>
      </c>
      <c r="E334" s="15" t="str">
        <f>"111.96"</f>
        <v>111.96</v>
      </c>
      <c r="F334" s="15"/>
      <c r="G334" s="16" t="str">
        <f>"172.63"</f>
        <v>172.63</v>
      </c>
      <c r="H334" s="17"/>
      <c r="I334" s="18">
        <v>3</v>
      </c>
      <c r="J334" s="18">
        <v>2016</v>
      </c>
      <c r="K334" s="18" t="str">
        <f>"111.96"</f>
        <v>111.96</v>
      </c>
      <c r="L334" s="18"/>
      <c r="M334" s="18" t="str">
        <f>"193.28"</f>
        <v>193.28</v>
      </c>
      <c r="N334" s="18"/>
      <c r="O334" s="18" t="str">
        <f>"186.72"</f>
        <v>186.72</v>
      </c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 t="str">
        <f>"296.89"</f>
        <v>296.89</v>
      </c>
      <c r="AB334" s="18"/>
      <c r="AC334" s="18"/>
      <c r="AD334" s="18"/>
      <c r="AE334" s="18"/>
      <c r="AF334" s="18"/>
      <c r="AG334" s="18" t="str">
        <f>"172.23"</f>
        <v>172.23</v>
      </c>
      <c r="AH334" s="18" t="str">
        <f>"173.03"</f>
        <v>173.03</v>
      </c>
      <c r="AI334" s="18"/>
    </row>
    <row r="335" spans="1:35">
      <c r="A335" s="14">
        <v>333</v>
      </c>
      <c r="B335" s="14">
        <v>7606</v>
      </c>
      <c r="C335" s="14" t="s">
        <v>475</v>
      </c>
      <c r="D335" s="14" t="s">
        <v>60</v>
      </c>
      <c r="E335" s="15" t="str">
        <f>"153.20"</f>
        <v>153.20</v>
      </c>
      <c r="F335" s="15"/>
      <c r="G335" s="16" t="str">
        <f>"172.70"</f>
        <v>172.70</v>
      </c>
      <c r="H335" s="17" t="s">
        <v>54</v>
      </c>
      <c r="I335" s="18">
        <v>2</v>
      </c>
      <c r="J335" s="18">
        <v>2016</v>
      </c>
      <c r="K335" s="18" t="str">
        <f>"173.69"</f>
        <v>173.69</v>
      </c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 t="str">
        <f>"132.70"</f>
        <v>132.70</v>
      </c>
      <c r="AH335" s="18"/>
      <c r="AI335" s="18"/>
    </row>
    <row r="336" spans="1:35">
      <c r="A336" s="14">
        <v>334</v>
      </c>
      <c r="B336" s="14">
        <v>10126</v>
      </c>
      <c r="C336" s="14" t="s">
        <v>476</v>
      </c>
      <c r="D336" s="14" t="s">
        <v>98</v>
      </c>
      <c r="E336" s="15" t="str">
        <f>"173.51"</f>
        <v>173.51</v>
      </c>
      <c r="F336" s="15"/>
      <c r="G336" s="16" t="str">
        <f>"173.51"</f>
        <v>173.51</v>
      </c>
      <c r="H336" s="17"/>
      <c r="I336" s="18">
        <v>3</v>
      </c>
      <c r="J336" s="18">
        <v>2016</v>
      </c>
      <c r="K336" s="18" t="str">
        <f>"190.32"</f>
        <v>190.32</v>
      </c>
      <c r="L336" s="18"/>
      <c r="M336" s="18"/>
      <c r="N336" s="18"/>
      <c r="O336" s="18"/>
      <c r="P336" s="18"/>
      <c r="Q336" s="18"/>
      <c r="R336" s="18"/>
      <c r="S336" s="18"/>
      <c r="T336" s="18"/>
      <c r="U336" s="18" t="str">
        <f>"157.42"</f>
        <v>157.42</v>
      </c>
      <c r="V336" s="18"/>
      <c r="W336" s="18"/>
      <c r="X336" s="18"/>
      <c r="Y336" s="18"/>
      <c r="Z336" s="18" t="str">
        <f>"189.59"</f>
        <v>189.59</v>
      </c>
      <c r="AA336" s="18"/>
      <c r="AB336" s="18"/>
      <c r="AC336" s="18"/>
      <c r="AD336" s="18"/>
      <c r="AE336" s="18"/>
      <c r="AF336" s="18"/>
      <c r="AG336" s="18"/>
      <c r="AH336" s="18"/>
      <c r="AI336" s="18"/>
    </row>
    <row r="337" spans="1:35">
      <c r="A337" s="14">
        <v>335</v>
      </c>
      <c r="B337" s="14">
        <v>6863</v>
      </c>
      <c r="C337" s="14" t="s">
        <v>477</v>
      </c>
      <c r="D337" s="14" t="s">
        <v>76</v>
      </c>
      <c r="E337" s="15" t="str">
        <f>"159.43"</f>
        <v>159.43</v>
      </c>
      <c r="F337" s="15"/>
      <c r="G337" s="16" t="str">
        <f>"174.04"</f>
        <v>174.04</v>
      </c>
      <c r="H337" s="17"/>
      <c r="I337" s="18">
        <v>3</v>
      </c>
      <c r="J337" s="18">
        <v>2016</v>
      </c>
      <c r="K337" s="18" t="str">
        <f>"159.43"</f>
        <v>159.43</v>
      </c>
      <c r="L337" s="18" t="str">
        <f>"182.81"</f>
        <v>182.81</v>
      </c>
      <c r="M337" s="18"/>
      <c r="N337" s="18" t="str">
        <f>"165.26"</f>
        <v>165.26</v>
      </c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 t="str">
        <f>"212.09"</f>
        <v>212.09</v>
      </c>
      <c r="AB337" s="18"/>
      <c r="AC337" s="18"/>
      <c r="AD337" s="18"/>
      <c r="AE337" s="18"/>
      <c r="AF337" s="18"/>
      <c r="AG337" s="18"/>
      <c r="AH337" s="18" t="str">
        <f>"203.92"</f>
        <v>203.92</v>
      </c>
      <c r="AI337" s="18"/>
    </row>
    <row r="338" spans="1:35">
      <c r="A338" s="14">
        <v>336</v>
      </c>
      <c r="B338" s="14">
        <v>7864</v>
      </c>
      <c r="C338" s="14" t="s">
        <v>478</v>
      </c>
      <c r="D338" s="14" t="s">
        <v>200</v>
      </c>
      <c r="E338" s="15" t="str">
        <f>"130.09"</f>
        <v>130.09</v>
      </c>
      <c r="F338" s="15"/>
      <c r="G338" s="16" t="str">
        <f>"174.72"</f>
        <v>174.72</v>
      </c>
      <c r="H338" s="17" t="s">
        <v>54</v>
      </c>
      <c r="I338" s="18">
        <v>2</v>
      </c>
      <c r="J338" s="18">
        <v>2016</v>
      </c>
      <c r="K338" s="18" t="str">
        <f>"130.09"</f>
        <v>130.09</v>
      </c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 t="str">
        <f>"134.72"</f>
        <v>134.72</v>
      </c>
      <c r="AB338" s="18"/>
      <c r="AC338" s="18"/>
      <c r="AD338" s="18"/>
      <c r="AE338" s="18"/>
      <c r="AF338" s="18"/>
      <c r="AG338" s="18"/>
      <c r="AH338" s="18"/>
      <c r="AI338" s="18"/>
    </row>
    <row r="339" spans="1:35">
      <c r="A339" s="14">
        <v>337</v>
      </c>
      <c r="B339" s="14">
        <v>7609</v>
      </c>
      <c r="C339" s="14" t="s">
        <v>479</v>
      </c>
      <c r="D339" s="14" t="s">
        <v>162</v>
      </c>
      <c r="E339" s="15" t="str">
        <f>"129.80"</f>
        <v>129.80</v>
      </c>
      <c r="F339" s="15"/>
      <c r="G339" s="16" t="str">
        <f>"174.93"</f>
        <v>174.93</v>
      </c>
      <c r="H339" s="17"/>
      <c r="I339" s="18">
        <v>3</v>
      </c>
      <c r="J339" s="18">
        <v>2016</v>
      </c>
      <c r="K339" s="18" t="str">
        <f>"129.80"</f>
        <v>129.80</v>
      </c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 t="str">
        <f>"175.95"</f>
        <v>175.95</v>
      </c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 t="str">
        <f>"173.90"</f>
        <v>173.90</v>
      </c>
      <c r="AH339" s="18"/>
      <c r="AI339" s="18"/>
    </row>
    <row r="340" spans="1:35">
      <c r="A340" s="14">
        <v>338</v>
      </c>
      <c r="B340" s="14">
        <v>10690</v>
      </c>
      <c r="C340" s="14" t="s">
        <v>480</v>
      </c>
      <c r="D340" s="14" t="s">
        <v>39</v>
      </c>
      <c r="E340" s="15" t="str">
        <f>"164.33"</f>
        <v>164.33</v>
      </c>
      <c r="F340" s="15"/>
      <c r="G340" s="16" t="str">
        <f>"175.65"</f>
        <v>175.65</v>
      </c>
      <c r="H340" s="17"/>
      <c r="I340" s="18">
        <v>3</v>
      </c>
      <c r="J340" s="18">
        <v>2016</v>
      </c>
      <c r="K340" s="18" t="str">
        <f>"164.33"</f>
        <v>164.33</v>
      </c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 t="str">
        <f>"173.83"</f>
        <v>173.83</v>
      </c>
      <c r="W340" s="18"/>
      <c r="X340" s="18"/>
      <c r="Y340" s="18"/>
      <c r="Z340" s="18"/>
      <c r="AA340" s="18" t="str">
        <f>"274.92"</f>
        <v>274.92</v>
      </c>
      <c r="AB340" s="18"/>
      <c r="AC340" s="18"/>
      <c r="AD340" s="18"/>
      <c r="AE340" s="18"/>
      <c r="AF340" s="18"/>
      <c r="AG340" s="18" t="str">
        <f>"184.15"</f>
        <v>184.15</v>
      </c>
      <c r="AH340" s="18" t="str">
        <f>"177.47"</f>
        <v>177.47</v>
      </c>
      <c r="AI340" s="18"/>
    </row>
    <row r="341" spans="1:35">
      <c r="A341" s="14">
        <v>339</v>
      </c>
      <c r="B341" s="14">
        <v>7024</v>
      </c>
      <c r="C341" s="14" t="s">
        <v>481</v>
      </c>
      <c r="D341" s="14" t="s">
        <v>213</v>
      </c>
      <c r="E341" s="15" t="str">
        <f>"135.75"</f>
        <v>135.75</v>
      </c>
      <c r="F341" s="15"/>
      <c r="G341" s="16" t="str">
        <f>"175.75"</f>
        <v>175.75</v>
      </c>
      <c r="H341" s="17" t="s">
        <v>48</v>
      </c>
      <c r="I341" s="18">
        <v>1</v>
      </c>
      <c r="J341" s="18">
        <v>2016</v>
      </c>
      <c r="K341" s="18" t="str">
        <f>"135.75"</f>
        <v>135.75</v>
      </c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</row>
    <row r="342" spans="1:35">
      <c r="A342" s="14">
        <v>340</v>
      </c>
      <c r="B342" s="14">
        <v>5258</v>
      </c>
      <c r="C342" s="14" t="s">
        <v>482</v>
      </c>
      <c r="D342" s="14" t="s">
        <v>74</v>
      </c>
      <c r="E342" s="15" t="str">
        <f>"136.01"</f>
        <v>136.01</v>
      </c>
      <c r="F342" s="15"/>
      <c r="G342" s="16" t="str">
        <f>"176.01"</f>
        <v>176.01</v>
      </c>
      <c r="H342" s="17" t="s">
        <v>48</v>
      </c>
      <c r="I342" s="18">
        <v>1</v>
      </c>
      <c r="J342" s="18">
        <v>2016</v>
      </c>
      <c r="K342" s="18" t="str">
        <f>"136.01"</f>
        <v>136.01</v>
      </c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</row>
    <row r="343" spans="1:35">
      <c r="A343" s="14">
        <v>341</v>
      </c>
      <c r="B343" s="14">
        <v>1973</v>
      </c>
      <c r="C343" s="14" t="s">
        <v>483</v>
      </c>
      <c r="D343" s="14" t="s">
        <v>139</v>
      </c>
      <c r="E343" s="15" t="str">
        <f>"173.37"</f>
        <v>173.37</v>
      </c>
      <c r="F343" s="15"/>
      <c r="G343" s="16" t="str">
        <f>"176.06"</f>
        <v>176.06</v>
      </c>
      <c r="H343" s="17"/>
      <c r="I343" s="18">
        <v>3</v>
      </c>
      <c r="J343" s="18">
        <v>2016</v>
      </c>
      <c r="K343" s="18" t="str">
        <f>"185.98"</f>
        <v>185.98</v>
      </c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 t="str">
        <f>"160.75"</f>
        <v>160.75</v>
      </c>
      <c r="W343" s="18"/>
      <c r="X343" s="18"/>
      <c r="Y343" s="18"/>
      <c r="Z343" s="18"/>
      <c r="AA343" s="18"/>
      <c r="AB343" s="18"/>
      <c r="AC343" s="18"/>
      <c r="AD343" s="18"/>
      <c r="AE343" s="18" t="str">
        <f>"191.37"</f>
        <v>191.37</v>
      </c>
      <c r="AF343" s="18" t="str">
        <f>"432.52"</f>
        <v>432.52</v>
      </c>
      <c r="AG343" s="18" t="str">
        <f>"240.62"</f>
        <v>240.62</v>
      </c>
      <c r="AH343" s="18"/>
      <c r="AI343" s="18"/>
    </row>
    <row r="344" spans="1:35">
      <c r="A344" s="14">
        <v>342</v>
      </c>
      <c r="B344" s="14">
        <v>3681</v>
      </c>
      <c r="C344" s="14" t="s">
        <v>484</v>
      </c>
      <c r="D344" s="14" t="s">
        <v>186</v>
      </c>
      <c r="E344" s="15" t="str">
        <f>"136.57"</f>
        <v>136.57</v>
      </c>
      <c r="F344" s="15"/>
      <c r="G344" s="16" t="str">
        <f>"176.57"</f>
        <v>176.57</v>
      </c>
      <c r="H344" s="17" t="s">
        <v>48</v>
      </c>
      <c r="I344" s="18">
        <v>1</v>
      </c>
      <c r="J344" s="18">
        <v>2016</v>
      </c>
      <c r="K344" s="18" t="str">
        <f>"136.57"</f>
        <v>136.57</v>
      </c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</row>
    <row r="345" spans="1:35">
      <c r="A345" s="14">
        <v>343</v>
      </c>
      <c r="B345" s="14">
        <v>2237</v>
      </c>
      <c r="C345" s="14" t="s">
        <v>485</v>
      </c>
      <c r="D345" s="14" t="s">
        <v>317</v>
      </c>
      <c r="E345" s="15" t="str">
        <f>"136.86"</f>
        <v>136.86</v>
      </c>
      <c r="F345" s="15"/>
      <c r="G345" s="16" t="str">
        <f>"176.86"</f>
        <v>176.86</v>
      </c>
      <c r="H345" s="17" t="s">
        <v>48</v>
      </c>
      <c r="I345" s="18">
        <v>1</v>
      </c>
      <c r="J345" s="18">
        <v>2016</v>
      </c>
      <c r="K345" s="18" t="str">
        <f>"136.86"</f>
        <v>136.86</v>
      </c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</row>
    <row r="346" spans="1:35">
      <c r="A346" s="14">
        <v>344</v>
      </c>
      <c r="B346" s="14">
        <v>4167</v>
      </c>
      <c r="C346" s="14" t="s">
        <v>486</v>
      </c>
      <c r="D346" s="14" t="s">
        <v>487</v>
      </c>
      <c r="E346" s="15" t="str">
        <f>"136.87"</f>
        <v>136.87</v>
      </c>
      <c r="F346" s="15"/>
      <c r="G346" s="16" t="str">
        <f>"176.87"</f>
        <v>176.87</v>
      </c>
      <c r="H346" s="17" t="s">
        <v>48</v>
      </c>
      <c r="I346" s="18">
        <v>1</v>
      </c>
      <c r="J346" s="18">
        <v>2016</v>
      </c>
      <c r="K346" s="18" t="str">
        <f>"136.87"</f>
        <v>136.87</v>
      </c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</row>
    <row r="347" spans="1:35">
      <c r="A347" s="14">
        <v>345</v>
      </c>
      <c r="B347" s="14">
        <v>2494</v>
      </c>
      <c r="C347" s="14" t="s">
        <v>488</v>
      </c>
      <c r="D347" s="14" t="s">
        <v>139</v>
      </c>
      <c r="E347" s="15" t="str">
        <f>"137.07"</f>
        <v>137.07</v>
      </c>
      <c r="F347" s="15"/>
      <c r="G347" s="16" t="str">
        <f>"177.07"</f>
        <v>177.07</v>
      </c>
      <c r="H347" s="17" t="s">
        <v>48</v>
      </c>
      <c r="I347" s="18">
        <v>1</v>
      </c>
      <c r="J347" s="18">
        <v>2016</v>
      </c>
      <c r="K347" s="18" t="str">
        <f>"137.07"</f>
        <v>137.07</v>
      </c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</row>
    <row r="348" spans="1:35">
      <c r="A348" s="14">
        <v>346</v>
      </c>
      <c r="B348" s="14">
        <v>4225</v>
      </c>
      <c r="C348" s="14" t="s">
        <v>489</v>
      </c>
      <c r="D348" s="14" t="s">
        <v>139</v>
      </c>
      <c r="E348" s="15" t="str">
        <f>"106.00"</f>
        <v>106.00</v>
      </c>
      <c r="F348" s="15"/>
      <c r="G348" s="16" t="str">
        <f>"177.11"</f>
        <v>177.11</v>
      </c>
      <c r="H348" s="17"/>
      <c r="I348" s="18">
        <v>3</v>
      </c>
      <c r="J348" s="18">
        <v>2016</v>
      </c>
      <c r="K348" s="18" t="str">
        <f>"106.00"</f>
        <v>106.00</v>
      </c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 t="str">
        <f>"163.27"</f>
        <v>163.27</v>
      </c>
      <c r="X348" s="18"/>
      <c r="Y348" s="18"/>
      <c r="Z348" s="18"/>
      <c r="AA348" s="18"/>
      <c r="AB348" s="18" t="str">
        <f>"190.94"</f>
        <v>190.94</v>
      </c>
      <c r="AC348" s="18"/>
      <c r="AD348" s="18"/>
      <c r="AE348" s="18"/>
      <c r="AF348" s="18"/>
      <c r="AG348" s="18"/>
      <c r="AH348" s="18"/>
      <c r="AI348" s="18"/>
    </row>
    <row r="349" spans="1:35">
      <c r="A349" s="14">
        <v>347</v>
      </c>
      <c r="B349" s="14">
        <v>5145</v>
      </c>
      <c r="C349" s="14" t="s">
        <v>490</v>
      </c>
      <c r="D349" s="14" t="s">
        <v>378</v>
      </c>
      <c r="E349" s="15" t="str">
        <f>"137.14"</f>
        <v>137.14</v>
      </c>
      <c r="F349" s="15"/>
      <c r="G349" s="16" t="str">
        <f>"177.14"</f>
        <v>177.14</v>
      </c>
      <c r="H349" s="17" t="s">
        <v>48</v>
      </c>
      <c r="I349" s="18">
        <v>1</v>
      </c>
      <c r="J349" s="18">
        <v>2016</v>
      </c>
      <c r="K349" s="18" t="str">
        <f>"137.14"</f>
        <v>137.14</v>
      </c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</row>
    <row r="350" spans="1:35">
      <c r="A350" s="14">
        <v>348</v>
      </c>
      <c r="B350" s="14">
        <v>5478</v>
      </c>
      <c r="C350" s="14" t="s">
        <v>491</v>
      </c>
      <c r="D350" s="14" t="s">
        <v>98</v>
      </c>
      <c r="E350" s="15" t="str">
        <f>"177.38"</f>
        <v>177.38</v>
      </c>
      <c r="F350" s="15"/>
      <c r="G350" s="16" t="str">
        <f>"177.38"</f>
        <v>177.38</v>
      </c>
      <c r="H350" s="17"/>
      <c r="I350" s="18">
        <v>3</v>
      </c>
      <c r="J350" s="18">
        <v>2016</v>
      </c>
      <c r="K350" s="18" t="str">
        <f>"269.24"</f>
        <v>269.24</v>
      </c>
      <c r="L350" s="18"/>
      <c r="M350" s="18"/>
      <c r="N350" s="18"/>
      <c r="O350" s="18"/>
      <c r="P350" s="18"/>
      <c r="Q350" s="18" t="str">
        <f>"174.38"</f>
        <v>174.38</v>
      </c>
      <c r="R350" s="18"/>
      <c r="S350" s="18"/>
      <c r="T350" s="18"/>
      <c r="U350" s="18" t="str">
        <f>"308.99"</f>
        <v>308.99</v>
      </c>
      <c r="V350" s="18"/>
      <c r="W350" s="18"/>
      <c r="X350" s="18"/>
      <c r="Y350" s="18"/>
      <c r="Z350" s="18" t="str">
        <f>"186.39"</f>
        <v>186.39</v>
      </c>
      <c r="AA350" s="18"/>
      <c r="AB350" s="18"/>
      <c r="AC350" s="18"/>
      <c r="AD350" s="18"/>
      <c r="AE350" s="18"/>
      <c r="AF350" s="18"/>
      <c r="AG350" s="18" t="str">
        <f>"180.38"</f>
        <v>180.38</v>
      </c>
      <c r="AH350" s="18"/>
      <c r="AI350" s="18"/>
    </row>
    <row r="351" spans="1:35">
      <c r="A351" s="14">
        <v>349</v>
      </c>
      <c r="B351" s="14">
        <v>1621</v>
      </c>
      <c r="C351" s="14" t="s">
        <v>492</v>
      </c>
      <c r="D351" s="14" t="s">
        <v>248</v>
      </c>
      <c r="E351" s="15" t="str">
        <f>"137.91"</f>
        <v>137.91</v>
      </c>
      <c r="F351" s="15"/>
      <c r="G351" s="16" t="str">
        <f>"177.91"</f>
        <v>177.91</v>
      </c>
      <c r="H351" s="17" t="s">
        <v>48</v>
      </c>
      <c r="I351" s="18">
        <v>1</v>
      </c>
      <c r="J351" s="18">
        <v>2016</v>
      </c>
      <c r="K351" s="18" t="str">
        <f>"137.91"</f>
        <v>137.91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</row>
    <row r="352" spans="1:35">
      <c r="A352" s="14">
        <v>350</v>
      </c>
      <c r="B352" s="14">
        <v>10106</v>
      </c>
      <c r="C352" s="14" t="s">
        <v>493</v>
      </c>
      <c r="D352" s="14" t="s">
        <v>424</v>
      </c>
      <c r="E352" s="15" t="str">
        <f>"137.99"</f>
        <v>137.99</v>
      </c>
      <c r="F352" s="15"/>
      <c r="G352" s="16" t="str">
        <f>"177.99"</f>
        <v>177.99</v>
      </c>
      <c r="H352" s="17" t="s">
        <v>48</v>
      </c>
      <c r="I352" s="18">
        <v>1</v>
      </c>
      <c r="J352" s="18">
        <v>2016</v>
      </c>
      <c r="K352" s="18" t="str">
        <f>"137.99"</f>
        <v>137.99</v>
      </c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</row>
    <row r="353" spans="1:35">
      <c r="A353" s="14">
        <v>351</v>
      </c>
      <c r="B353" s="14">
        <v>1201</v>
      </c>
      <c r="C353" s="14" t="s">
        <v>494</v>
      </c>
      <c r="D353" s="14" t="s">
        <v>495</v>
      </c>
      <c r="E353" s="15" t="str">
        <f>"166.22"</f>
        <v>166.22</v>
      </c>
      <c r="F353" s="15"/>
      <c r="G353" s="16" t="str">
        <f>"178.19"</f>
        <v>178.19</v>
      </c>
      <c r="H353" s="17"/>
      <c r="I353" s="18">
        <v>3</v>
      </c>
      <c r="J353" s="18">
        <v>2016</v>
      </c>
      <c r="K353" s="18" t="str">
        <f>"166.22"</f>
        <v>166.22</v>
      </c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 t="str">
        <f>"176.77"</f>
        <v>176.77</v>
      </c>
      <c r="W353" s="18"/>
      <c r="X353" s="18"/>
      <c r="Y353" s="18"/>
      <c r="Z353" s="18"/>
      <c r="AA353" s="18" t="str">
        <f>"317.41"</f>
        <v>317.41</v>
      </c>
      <c r="AB353" s="18"/>
      <c r="AC353" s="18"/>
      <c r="AD353" s="18"/>
      <c r="AE353" s="18" t="str">
        <f>"179.61"</f>
        <v>179.61</v>
      </c>
      <c r="AF353" s="18" t="str">
        <f>"217.39"</f>
        <v>217.39</v>
      </c>
      <c r="AG353" s="18"/>
      <c r="AH353" s="18"/>
      <c r="AI353" s="18"/>
    </row>
    <row r="354" spans="1:35">
      <c r="A354" s="14">
        <v>352</v>
      </c>
      <c r="B354" s="14">
        <v>7171</v>
      </c>
      <c r="C354" s="14" t="s">
        <v>496</v>
      </c>
      <c r="D354" s="14" t="s">
        <v>112</v>
      </c>
      <c r="E354" s="15" t="str">
        <f>"138.54"</f>
        <v>138.54</v>
      </c>
      <c r="F354" s="15"/>
      <c r="G354" s="16" t="str">
        <f>"178.54"</f>
        <v>178.54</v>
      </c>
      <c r="H354" s="17" t="s">
        <v>48</v>
      </c>
      <c r="I354" s="18">
        <v>1</v>
      </c>
      <c r="J354" s="18">
        <v>2016</v>
      </c>
      <c r="K354" s="18" t="str">
        <f>"138.54"</f>
        <v>138.54</v>
      </c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</row>
    <row r="355" spans="1:35">
      <c r="A355" s="14">
        <v>353</v>
      </c>
      <c r="B355" s="14">
        <v>4858</v>
      </c>
      <c r="C355" s="14" t="s">
        <v>497</v>
      </c>
      <c r="D355" s="14" t="s">
        <v>498</v>
      </c>
      <c r="E355" s="15" t="str">
        <f>"77.63"</f>
        <v>77.63</v>
      </c>
      <c r="F355" s="15"/>
      <c r="G355" s="16" t="str">
        <f>"178.85"</f>
        <v>178.85</v>
      </c>
      <c r="H355" s="17" t="s">
        <v>54</v>
      </c>
      <c r="I355" s="18">
        <v>2</v>
      </c>
      <c r="J355" s="18">
        <v>2016</v>
      </c>
      <c r="K355" s="18" t="str">
        <f>"77.63"</f>
        <v>77.63</v>
      </c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 t="str">
        <f>"138.85"</f>
        <v>138.85</v>
      </c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</row>
    <row r="356" spans="1:35">
      <c r="A356" s="14">
        <v>354</v>
      </c>
      <c r="B356" s="14">
        <v>5292</v>
      </c>
      <c r="C356" s="14" t="s">
        <v>499</v>
      </c>
      <c r="D356" s="14" t="s">
        <v>500</v>
      </c>
      <c r="E356" s="15" t="str">
        <f>"114.19"</f>
        <v>114.19</v>
      </c>
      <c r="F356" s="15"/>
      <c r="G356" s="16" t="str">
        <f>"179.17"</f>
        <v>179.17</v>
      </c>
      <c r="H356" s="17"/>
      <c r="I356" s="18">
        <v>3</v>
      </c>
      <c r="J356" s="18">
        <v>2016</v>
      </c>
      <c r="K356" s="18" t="str">
        <f>"114.19"</f>
        <v>114.19</v>
      </c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 t="str">
        <f>"163.30"</f>
        <v>163.30</v>
      </c>
      <c r="AC356" s="18"/>
      <c r="AD356" s="18"/>
      <c r="AE356" s="18"/>
      <c r="AF356" s="18"/>
      <c r="AG356" s="18"/>
      <c r="AH356" s="18" t="str">
        <f>"195.04"</f>
        <v>195.04</v>
      </c>
      <c r="AI356" s="18"/>
    </row>
    <row r="357" spans="1:35">
      <c r="A357" s="14">
        <v>355</v>
      </c>
      <c r="B357" s="14">
        <v>10350</v>
      </c>
      <c r="C357" s="14" t="s">
        <v>501</v>
      </c>
      <c r="D357" s="14" t="s">
        <v>51</v>
      </c>
      <c r="E357" s="15" t="str">
        <f>"179.58"</f>
        <v>179.58</v>
      </c>
      <c r="F357" s="15"/>
      <c r="G357" s="16" t="str">
        <f>"179.58"</f>
        <v>179.58</v>
      </c>
      <c r="H357" s="17" t="s">
        <v>54</v>
      </c>
      <c r="I357" s="18">
        <v>4</v>
      </c>
      <c r="J357" s="18">
        <v>2016</v>
      </c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 t="str">
        <f>"139.58"</f>
        <v>139.58</v>
      </c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</row>
    <row r="358" spans="1:35">
      <c r="A358" s="14">
        <v>356</v>
      </c>
      <c r="B358" s="14">
        <v>10068</v>
      </c>
      <c r="C358" s="14" t="s">
        <v>502</v>
      </c>
      <c r="D358" s="14" t="s">
        <v>76</v>
      </c>
      <c r="E358" s="15" t="str">
        <f>"179.61"</f>
        <v>179.61</v>
      </c>
      <c r="F358" s="15"/>
      <c r="G358" s="16" t="str">
        <f>"179.61"</f>
        <v>179.61</v>
      </c>
      <c r="H358" s="17"/>
      <c r="I358" s="18">
        <v>3</v>
      </c>
      <c r="J358" s="18">
        <v>2016</v>
      </c>
      <c r="K358" s="18" t="str">
        <f>"217.57"</f>
        <v>217.57</v>
      </c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 t="str">
        <f>"159.81"</f>
        <v>159.81</v>
      </c>
      <c r="Y358" s="18"/>
      <c r="Z358" s="18"/>
      <c r="AA358" s="18"/>
      <c r="AB358" s="18"/>
      <c r="AC358" s="18" t="str">
        <f>"199.40"</f>
        <v>199.40</v>
      </c>
      <c r="AD358" s="18" t="str">
        <f>"222.24"</f>
        <v>222.24</v>
      </c>
      <c r="AE358" s="18"/>
      <c r="AF358" s="18"/>
      <c r="AG358" s="18"/>
      <c r="AH358" s="18"/>
      <c r="AI358" s="18"/>
    </row>
    <row r="359" spans="1:35">
      <c r="A359" s="14">
        <v>357</v>
      </c>
      <c r="B359" s="14">
        <v>3039</v>
      </c>
      <c r="C359" s="14" t="s">
        <v>503</v>
      </c>
      <c r="D359" s="14" t="s">
        <v>317</v>
      </c>
      <c r="E359" s="15" t="str">
        <f>"167.33"</f>
        <v>167.33</v>
      </c>
      <c r="F359" s="15"/>
      <c r="G359" s="16" t="str">
        <f>"179.98"</f>
        <v>179.98</v>
      </c>
      <c r="H359" s="17" t="s">
        <v>54</v>
      </c>
      <c r="I359" s="18">
        <v>2</v>
      </c>
      <c r="J359" s="18">
        <v>2016</v>
      </c>
      <c r="K359" s="18" t="str">
        <f>"194.68"</f>
        <v>194.68</v>
      </c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 t="str">
        <f>"139.98"</f>
        <v>139.98</v>
      </c>
      <c r="AC359" s="18"/>
      <c r="AD359" s="18"/>
      <c r="AE359" s="18"/>
      <c r="AF359" s="18"/>
      <c r="AG359" s="18"/>
      <c r="AH359" s="18"/>
      <c r="AI359" s="18"/>
    </row>
    <row r="360" spans="1:35">
      <c r="A360" s="14">
        <v>358</v>
      </c>
      <c r="B360" s="14">
        <v>1426</v>
      </c>
      <c r="C360" s="14" t="s">
        <v>504</v>
      </c>
      <c r="D360" s="14" t="s">
        <v>505</v>
      </c>
      <c r="E360" s="15" t="str">
        <f>"140.72"</f>
        <v>140.72</v>
      </c>
      <c r="F360" s="15"/>
      <c r="G360" s="16" t="str">
        <f>"180.72"</f>
        <v>180.72</v>
      </c>
      <c r="H360" s="17" t="s">
        <v>48</v>
      </c>
      <c r="I360" s="18">
        <v>1</v>
      </c>
      <c r="J360" s="18">
        <v>2016</v>
      </c>
      <c r="K360" s="18" t="str">
        <f>"140.72"</f>
        <v>140.72</v>
      </c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</row>
    <row r="361" spans="1:35">
      <c r="A361" s="14">
        <v>359</v>
      </c>
      <c r="B361" s="14">
        <v>5386</v>
      </c>
      <c r="C361" s="14" t="s">
        <v>506</v>
      </c>
      <c r="D361" s="14" t="s">
        <v>242</v>
      </c>
      <c r="E361" s="15" t="str">
        <f>"126.96"</f>
        <v>126.96</v>
      </c>
      <c r="F361" s="15"/>
      <c r="G361" s="16" t="str">
        <f>"181.49"</f>
        <v>181.49</v>
      </c>
      <c r="H361" s="17" t="s">
        <v>54</v>
      </c>
      <c r="I361" s="18">
        <v>2</v>
      </c>
      <c r="J361" s="18">
        <v>2016</v>
      </c>
      <c r="K361" s="18" t="str">
        <f>"126.96"</f>
        <v>126.96</v>
      </c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 t="str">
        <f>"141.49"</f>
        <v>141.49</v>
      </c>
      <c r="AH361" s="18"/>
      <c r="AI361" s="18"/>
    </row>
    <row r="362" spans="1:35">
      <c r="A362" s="14">
        <v>360</v>
      </c>
      <c r="B362" s="14">
        <v>3312</v>
      </c>
      <c r="C362" s="14" t="s">
        <v>507</v>
      </c>
      <c r="D362" s="14" t="s">
        <v>76</v>
      </c>
      <c r="E362" s="15" t="str">
        <f>"155.59"</f>
        <v>155.59</v>
      </c>
      <c r="F362" s="15"/>
      <c r="G362" s="16" t="str">
        <f>"181.75"</f>
        <v>181.75</v>
      </c>
      <c r="H362" s="17"/>
      <c r="I362" s="18">
        <v>3</v>
      </c>
      <c r="J362" s="18">
        <v>2016</v>
      </c>
      <c r="K362" s="18" t="str">
        <f>"155.59"</f>
        <v>155.59</v>
      </c>
      <c r="L362" s="18" t="str">
        <f>"217.44"</f>
        <v>217.44</v>
      </c>
      <c r="M362" s="18"/>
      <c r="N362" s="18" t="str">
        <f>"191.73"</f>
        <v>191.73</v>
      </c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 t="str">
        <f>"192.61"</f>
        <v>192.61</v>
      </c>
      <c r="Z362" s="18"/>
      <c r="AA362" s="18"/>
      <c r="AB362" s="18"/>
      <c r="AC362" s="18"/>
      <c r="AD362" s="18" t="str">
        <f>"171.77"</f>
        <v>171.77</v>
      </c>
      <c r="AE362" s="18"/>
      <c r="AF362" s="18"/>
      <c r="AG362" s="18"/>
      <c r="AH362" s="18"/>
      <c r="AI362" s="18"/>
    </row>
    <row r="363" spans="1:35">
      <c r="A363" s="14">
        <v>361</v>
      </c>
      <c r="B363" s="14">
        <v>1911</v>
      </c>
      <c r="C363" s="14" t="s">
        <v>508</v>
      </c>
      <c r="D363" s="14" t="s">
        <v>354</v>
      </c>
      <c r="E363" s="15" t="str">
        <f>"168.34"</f>
        <v>168.34</v>
      </c>
      <c r="F363" s="15"/>
      <c r="G363" s="16" t="str">
        <f>"181.93"</f>
        <v>181.93</v>
      </c>
      <c r="H363" s="17" t="s">
        <v>54</v>
      </c>
      <c r="I363" s="18">
        <v>2</v>
      </c>
      <c r="J363" s="18">
        <v>2016</v>
      </c>
      <c r="K363" s="18" t="str">
        <f>"194.75"</f>
        <v>194.75</v>
      </c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 t="str">
        <f>"141.93"</f>
        <v>141.93</v>
      </c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</row>
    <row r="364" spans="1:35">
      <c r="A364" s="14">
        <v>362</v>
      </c>
      <c r="B364" s="14">
        <v>6853</v>
      </c>
      <c r="C364" s="14" t="s">
        <v>509</v>
      </c>
      <c r="D364" s="14" t="s">
        <v>84</v>
      </c>
      <c r="E364" s="15" t="str">
        <f>"142.66"</f>
        <v>142.66</v>
      </c>
      <c r="F364" s="15"/>
      <c r="G364" s="16" t="str">
        <f>"182.66"</f>
        <v>182.66</v>
      </c>
      <c r="H364" s="17" t="s">
        <v>48</v>
      </c>
      <c r="I364" s="18">
        <v>1</v>
      </c>
      <c r="J364" s="18">
        <v>2016</v>
      </c>
      <c r="K364" s="18" t="str">
        <f>"142.66"</f>
        <v>142.66</v>
      </c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</row>
    <row r="365" spans="1:35">
      <c r="A365" s="14">
        <v>363</v>
      </c>
      <c r="B365" s="14">
        <v>7851</v>
      </c>
      <c r="C365" s="14" t="s">
        <v>510</v>
      </c>
      <c r="D365" s="14" t="s">
        <v>98</v>
      </c>
      <c r="E365" s="15" t="str">
        <f>"128.29"</f>
        <v>128.29</v>
      </c>
      <c r="F365" s="15"/>
      <c r="G365" s="16" t="str">
        <f>"182.97"</f>
        <v>182.97</v>
      </c>
      <c r="H365" s="17" t="s">
        <v>54</v>
      </c>
      <c r="I365" s="18">
        <v>2</v>
      </c>
      <c r="J365" s="18">
        <v>2016</v>
      </c>
      <c r="K365" s="18" t="str">
        <f>"128.29"</f>
        <v>128.29</v>
      </c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 t="str">
        <f>"142.97"</f>
        <v>142.97</v>
      </c>
      <c r="AA365" s="18"/>
      <c r="AB365" s="18"/>
      <c r="AC365" s="18"/>
      <c r="AD365" s="18"/>
      <c r="AE365" s="18"/>
      <c r="AF365" s="18"/>
      <c r="AG365" s="18"/>
      <c r="AH365" s="18"/>
      <c r="AI365" s="18"/>
    </row>
    <row r="366" spans="1:35">
      <c r="A366" s="14">
        <v>364</v>
      </c>
      <c r="B366" s="14">
        <v>8336</v>
      </c>
      <c r="C366" s="14" t="s">
        <v>511</v>
      </c>
      <c r="D366" s="14" t="s">
        <v>148</v>
      </c>
      <c r="E366" s="15" t="str">
        <f>"183.05"</f>
        <v>183.05</v>
      </c>
      <c r="F366" s="15"/>
      <c r="G366" s="16" t="str">
        <f>"183.05"</f>
        <v>183.05</v>
      </c>
      <c r="H366" s="17"/>
      <c r="I366" s="18">
        <v>3</v>
      </c>
      <c r="J366" s="18">
        <v>2016</v>
      </c>
      <c r="K366" s="18" t="str">
        <f>"246.76"</f>
        <v>246.76</v>
      </c>
      <c r="L366" s="18"/>
      <c r="M366" s="18"/>
      <c r="N366" s="18"/>
      <c r="O366" s="18"/>
      <c r="P366" s="18"/>
      <c r="Q366" s="18" t="str">
        <f>"166.95"</f>
        <v>166.95</v>
      </c>
      <c r="R366" s="18"/>
      <c r="S366" s="18"/>
      <c r="T366" s="18"/>
      <c r="U366" s="18" t="str">
        <f>"199.14"</f>
        <v>199.14</v>
      </c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</row>
    <row r="367" spans="1:35">
      <c r="A367" s="14">
        <v>365</v>
      </c>
      <c r="B367" s="14">
        <v>4846</v>
      </c>
      <c r="C367" s="14" t="s">
        <v>512</v>
      </c>
      <c r="D367" s="14" t="s">
        <v>133</v>
      </c>
      <c r="E367" s="15" t="str">
        <f>"162.43"</f>
        <v>162.43</v>
      </c>
      <c r="F367" s="15"/>
      <c r="G367" s="16" t="str">
        <f>"183.41"</f>
        <v>183.41</v>
      </c>
      <c r="H367" s="17"/>
      <c r="I367" s="18">
        <v>3</v>
      </c>
      <c r="J367" s="18">
        <v>2016</v>
      </c>
      <c r="K367" s="18" t="str">
        <f>"175.43"</f>
        <v>175.43</v>
      </c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 t="str">
        <f>"149.42"</f>
        <v>149.42</v>
      </c>
      <c r="AF367" s="18" t="str">
        <f>"217.39"</f>
        <v>217.39</v>
      </c>
      <c r="AG367" s="18"/>
      <c r="AH367" s="18"/>
      <c r="AI367" s="18"/>
    </row>
    <row r="368" spans="1:35">
      <c r="A368" s="14">
        <v>366</v>
      </c>
      <c r="B368" s="14">
        <v>5368</v>
      </c>
      <c r="C368" s="14" t="s">
        <v>513</v>
      </c>
      <c r="D368" s="14" t="s">
        <v>462</v>
      </c>
      <c r="E368" s="15" t="str">
        <f>"152.09"</f>
        <v>152.09</v>
      </c>
      <c r="F368" s="15"/>
      <c r="G368" s="16" t="str">
        <f>"183.53"</f>
        <v>183.53</v>
      </c>
      <c r="H368" s="17"/>
      <c r="I368" s="18">
        <v>3</v>
      </c>
      <c r="J368" s="18">
        <v>2016</v>
      </c>
      <c r="K368" s="18" t="str">
        <f>"152.09"</f>
        <v>152.09</v>
      </c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 t="str">
        <f>"174.04"</f>
        <v>174.04</v>
      </c>
      <c r="AF368" s="18" t="str">
        <f>"198.64"</f>
        <v>198.64</v>
      </c>
      <c r="AG368" s="18" t="str">
        <f>"200.88"</f>
        <v>200.88</v>
      </c>
      <c r="AH368" s="18" t="str">
        <f>"193.01"</f>
        <v>193.01</v>
      </c>
      <c r="AI368" s="18"/>
    </row>
    <row r="369" spans="1:35">
      <c r="A369" s="14">
        <v>367</v>
      </c>
      <c r="B369" s="14">
        <v>6180</v>
      </c>
      <c r="C369" s="14" t="s">
        <v>514</v>
      </c>
      <c r="D369" s="14" t="s">
        <v>125</v>
      </c>
      <c r="E369" s="15" t="str">
        <f>"94.01"</f>
        <v>94.01</v>
      </c>
      <c r="F369" s="15"/>
      <c r="G369" s="16" t="str">
        <f>"183.92"</f>
        <v>183.92</v>
      </c>
      <c r="H369" s="17" t="s">
        <v>54</v>
      </c>
      <c r="I369" s="18">
        <v>2</v>
      </c>
      <c r="J369" s="18">
        <v>2016</v>
      </c>
      <c r="K369" s="18" t="str">
        <f>"94.01"</f>
        <v>94.01</v>
      </c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 t="str">
        <f>"143.92"</f>
        <v>143.92</v>
      </c>
      <c r="AB369" s="18"/>
      <c r="AC369" s="18"/>
      <c r="AD369" s="18"/>
      <c r="AE369" s="18"/>
      <c r="AF369" s="18"/>
      <c r="AG369" s="18"/>
      <c r="AH369" s="18"/>
      <c r="AI369" s="18"/>
    </row>
    <row r="370" spans="1:35">
      <c r="A370" s="14">
        <v>368</v>
      </c>
      <c r="B370" s="14">
        <v>10955</v>
      </c>
      <c r="C370" s="14" t="s">
        <v>515</v>
      </c>
      <c r="D370" s="14" t="s">
        <v>98</v>
      </c>
      <c r="E370" s="15" t="str">
        <f>"184.35"</f>
        <v>184.35</v>
      </c>
      <c r="F370" s="15"/>
      <c r="G370" s="16" t="str">
        <f>"184.35"</f>
        <v>184.35</v>
      </c>
      <c r="H370" s="17"/>
      <c r="I370" s="18">
        <v>5</v>
      </c>
      <c r="J370" s="18">
        <v>2016</v>
      </c>
      <c r="K370" s="18"/>
      <c r="L370" s="18"/>
      <c r="M370" s="18"/>
      <c r="N370" s="18"/>
      <c r="O370" s="18"/>
      <c r="P370" s="18"/>
      <c r="Q370" s="18" t="str">
        <f>"205.16"</f>
        <v>205.16</v>
      </c>
      <c r="R370" s="18"/>
      <c r="S370" s="18"/>
      <c r="T370" s="18"/>
      <c r="U370" s="18" t="str">
        <f>"249.12"</f>
        <v>249.12</v>
      </c>
      <c r="V370" s="18"/>
      <c r="W370" s="18"/>
      <c r="X370" s="18"/>
      <c r="Y370" s="18"/>
      <c r="Z370" s="18" t="str">
        <f>"163.54"</f>
        <v>163.54</v>
      </c>
      <c r="AA370" s="18"/>
      <c r="AB370" s="18"/>
      <c r="AC370" s="18"/>
      <c r="AD370" s="18"/>
      <c r="AE370" s="18"/>
      <c r="AF370" s="18"/>
      <c r="AG370" s="18"/>
      <c r="AH370" s="18"/>
      <c r="AI370" s="18"/>
    </row>
    <row r="371" spans="1:35">
      <c r="A371" s="14">
        <v>369</v>
      </c>
      <c r="B371" s="14">
        <v>10064</v>
      </c>
      <c r="C371" s="14" t="s">
        <v>516</v>
      </c>
      <c r="D371" s="14" t="s">
        <v>76</v>
      </c>
      <c r="E371" s="15" t="str">
        <f>"184.98"</f>
        <v>184.98</v>
      </c>
      <c r="F371" s="15"/>
      <c r="G371" s="16" t="str">
        <f>"184.98"</f>
        <v>184.98</v>
      </c>
      <c r="H371" s="17"/>
      <c r="I371" s="18">
        <v>3</v>
      </c>
      <c r="J371" s="18">
        <v>2016</v>
      </c>
      <c r="K371" s="18" t="str">
        <f>"226.73"</f>
        <v>226.73</v>
      </c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 t="str">
        <f>"193.32"</f>
        <v>193.32</v>
      </c>
      <c r="Y371" s="18" t="str">
        <f>"187.88"</f>
        <v>187.88</v>
      </c>
      <c r="Z371" s="18"/>
      <c r="AA371" s="18"/>
      <c r="AB371" s="18"/>
      <c r="AC371" s="18" t="str">
        <f>"182.08"</f>
        <v>182.08</v>
      </c>
      <c r="AD371" s="18" t="str">
        <f>"235.80"</f>
        <v>235.80</v>
      </c>
      <c r="AE371" s="18"/>
      <c r="AF371" s="18"/>
      <c r="AG371" s="18"/>
      <c r="AH371" s="18"/>
      <c r="AI371" s="18"/>
    </row>
    <row r="372" spans="1:35">
      <c r="A372" s="14">
        <v>370</v>
      </c>
      <c r="B372" s="14">
        <v>9812</v>
      </c>
      <c r="C372" s="14" t="s">
        <v>517</v>
      </c>
      <c r="D372" s="14" t="s">
        <v>518</v>
      </c>
      <c r="E372" s="15" t="str">
        <f>"148.17"</f>
        <v>148.17</v>
      </c>
      <c r="F372" s="15"/>
      <c r="G372" s="16" t="str">
        <f>"185.30"</f>
        <v>185.30</v>
      </c>
      <c r="H372" s="17"/>
      <c r="I372" s="18">
        <v>3</v>
      </c>
      <c r="J372" s="18">
        <v>2016</v>
      </c>
      <c r="K372" s="18" t="str">
        <f>"148.17"</f>
        <v>148.17</v>
      </c>
      <c r="L372" s="18"/>
      <c r="M372" s="18" t="str">
        <f>"190.78"</f>
        <v>190.78</v>
      </c>
      <c r="N372" s="18"/>
      <c r="O372" s="18" t="str">
        <f>"180.75"</f>
        <v>180.75</v>
      </c>
      <c r="P372" s="18"/>
      <c r="Q372" s="18"/>
      <c r="R372" s="18"/>
      <c r="S372" s="18"/>
      <c r="T372" s="18"/>
      <c r="U372" s="18"/>
      <c r="V372" s="18" t="str">
        <f>"189.84"</f>
        <v>189.84</v>
      </c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</row>
    <row r="373" spans="1:35">
      <c r="A373" s="14">
        <v>371</v>
      </c>
      <c r="B373" s="14">
        <v>10504</v>
      </c>
      <c r="C373" s="14" t="s">
        <v>519</v>
      </c>
      <c r="D373" s="14" t="s">
        <v>98</v>
      </c>
      <c r="E373" s="15" t="str">
        <f>"157.79"</f>
        <v>157.79</v>
      </c>
      <c r="F373" s="15"/>
      <c r="G373" s="16" t="str">
        <f>"185.38"</f>
        <v>185.38</v>
      </c>
      <c r="H373" s="17"/>
      <c r="I373" s="18">
        <v>3</v>
      </c>
      <c r="J373" s="18">
        <v>2016</v>
      </c>
      <c r="K373" s="18" t="str">
        <f>"157.79"</f>
        <v>157.79</v>
      </c>
      <c r="L373" s="18"/>
      <c r="M373" s="18"/>
      <c r="N373" s="18"/>
      <c r="O373" s="18"/>
      <c r="P373" s="18"/>
      <c r="Q373" s="18" t="str">
        <f>"198.33"</f>
        <v>198.33</v>
      </c>
      <c r="R373" s="18"/>
      <c r="S373" s="18"/>
      <c r="T373" s="18"/>
      <c r="U373" s="18" t="str">
        <f>"234.58"</f>
        <v>234.58</v>
      </c>
      <c r="V373" s="18"/>
      <c r="W373" s="18"/>
      <c r="X373" s="18"/>
      <c r="Y373" s="18"/>
      <c r="Z373" s="18" t="str">
        <f>"211.99"</f>
        <v>211.99</v>
      </c>
      <c r="AA373" s="18"/>
      <c r="AB373" s="18"/>
      <c r="AC373" s="18"/>
      <c r="AD373" s="18"/>
      <c r="AE373" s="18"/>
      <c r="AF373" s="18"/>
      <c r="AG373" s="18"/>
      <c r="AH373" s="18"/>
      <c r="AI373" s="18" t="str">
        <f>"172.42"</f>
        <v>172.42</v>
      </c>
    </row>
    <row r="374" spans="1:35">
      <c r="A374" s="14">
        <v>372</v>
      </c>
      <c r="B374" s="14">
        <v>5398</v>
      </c>
      <c r="C374" s="14" t="s">
        <v>520</v>
      </c>
      <c r="D374" s="14" t="s">
        <v>373</v>
      </c>
      <c r="E374" s="15" t="str">
        <f>"145.52"</f>
        <v>145.52</v>
      </c>
      <c r="F374" s="15"/>
      <c r="G374" s="16" t="str">
        <f>"185.52"</f>
        <v>185.52</v>
      </c>
      <c r="H374" s="17" t="s">
        <v>48</v>
      </c>
      <c r="I374" s="18">
        <v>1</v>
      </c>
      <c r="J374" s="18">
        <v>2016</v>
      </c>
      <c r="K374" s="18" t="str">
        <f>"145.52"</f>
        <v>145.52</v>
      </c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</row>
    <row r="375" spans="1:35">
      <c r="A375" s="14">
        <v>373</v>
      </c>
      <c r="B375" s="14">
        <v>3754</v>
      </c>
      <c r="C375" s="14" t="s">
        <v>521</v>
      </c>
      <c r="D375" s="14" t="s">
        <v>276</v>
      </c>
      <c r="E375" s="15" t="str">
        <f>"145.70"</f>
        <v>145.70</v>
      </c>
      <c r="F375" s="15"/>
      <c r="G375" s="16" t="str">
        <f>"185.70"</f>
        <v>185.70</v>
      </c>
      <c r="H375" s="17" t="s">
        <v>48</v>
      </c>
      <c r="I375" s="18">
        <v>1</v>
      </c>
      <c r="J375" s="18">
        <v>2016</v>
      </c>
      <c r="K375" s="18" t="str">
        <f>"145.70"</f>
        <v>145.70</v>
      </c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</row>
    <row r="376" spans="1:35">
      <c r="A376" s="14">
        <v>374</v>
      </c>
      <c r="B376" s="14">
        <v>2489</v>
      </c>
      <c r="C376" s="14" t="s">
        <v>522</v>
      </c>
      <c r="D376" s="14" t="s">
        <v>39</v>
      </c>
      <c r="E376" s="15" t="str">
        <f>"145.73"</f>
        <v>145.73</v>
      </c>
      <c r="F376" s="15"/>
      <c r="G376" s="16" t="str">
        <f>"185.73"</f>
        <v>185.73</v>
      </c>
      <c r="H376" s="17" t="s">
        <v>48</v>
      </c>
      <c r="I376" s="18">
        <v>1</v>
      </c>
      <c r="J376" s="18">
        <v>2016</v>
      </c>
      <c r="K376" s="18" t="str">
        <f>"145.73"</f>
        <v>145.73</v>
      </c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</row>
    <row r="377" spans="1:35">
      <c r="A377" s="14">
        <v>375</v>
      </c>
      <c r="B377" s="14">
        <v>10105</v>
      </c>
      <c r="C377" s="14" t="s">
        <v>523</v>
      </c>
      <c r="D377" s="14" t="s">
        <v>109</v>
      </c>
      <c r="E377" s="15" t="str">
        <f>"135.54"</f>
        <v>135.54</v>
      </c>
      <c r="F377" s="15"/>
      <c r="G377" s="16" t="str">
        <f>"186.09"</f>
        <v>186.09</v>
      </c>
      <c r="H377" s="17"/>
      <c r="I377" s="18">
        <v>3</v>
      </c>
      <c r="J377" s="18">
        <v>2016</v>
      </c>
      <c r="K377" s="18" t="str">
        <f>"135.54"</f>
        <v>135.54</v>
      </c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 t="str">
        <f>"197.03"</f>
        <v>197.03</v>
      </c>
      <c r="W377" s="18"/>
      <c r="X377" s="18"/>
      <c r="Y377" s="18"/>
      <c r="Z377" s="18"/>
      <c r="AA377" s="18"/>
      <c r="AB377" s="18"/>
      <c r="AC377" s="18"/>
      <c r="AD377" s="18"/>
      <c r="AE377" s="18" t="str">
        <f>"175.15"</f>
        <v>175.15</v>
      </c>
      <c r="AF377" s="18" t="str">
        <f>"301.73"</f>
        <v>301.73</v>
      </c>
      <c r="AG377" s="18"/>
      <c r="AH377" s="18"/>
      <c r="AI377" s="18"/>
    </row>
    <row r="378" spans="1:35">
      <c r="A378" s="14">
        <v>376</v>
      </c>
      <c r="B378" s="14">
        <v>10356</v>
      </c>
      <c r="C378" s="14" t="s">
        <v>524</v>
      </c>
      <c r="D378" s="14" t="s">
        <v>299</v>
      </c>
      <c r="E378" s="15" t="str">
        <f>"146.63"</f>
        <v>146.63</v>
      </c>
      <c r="F378" s="15"/>
      <c r="G378" s="16" t="str">
        <f>"186.63"</f>
        <v>186.63</v>
      </c>
      <c r="H378" s="17" t="s">
        <v>48</v>
      </c>
      <c r="I378" s="18">
        <v>1</v>
      </c>
      <c r="J378" s="18">
        <v>2016</v>
      </c>
      <c r="K378" s="18" t="str">
        <f>"146.63"</f>
        <v>146.63</v>
      </c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</row>
    <row r="379" spans="1:35">
      <c r="A379" s="14">
        <v>377</v>
      </c>
      <c r="B379" s="14">
        <v>6700</v>
      </c>
      <c r="C379" s="14" t="s">
        <v>525</v>
      </c>
      <c r="D379" s="14" t="s">
        <v>213</v>
      </c>
      <c r="E379" s="15" t="str">
        <f>"186.65"</f>
        <v>186.65</v>
      </c>
      <c r="F379" s="15"/>
      <c r="G379" s="16" t="str">
        <f>"186.65"</f>
        <v>186.65</v>
      </c>
      <c r="H379" s="17"/>
      <c r="I379" s="18">
        <v>3</v>
      </c>
      <c r="J379" s="18">
        <v>2016</v>
      </c>
      <c r="K379" s="18" t="str">
        <f>"245.95"</f>
        <v>245.95</v>
      </c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 t="str">
        <f>"219.68"</f>
        <v>219.68</v>
      </c>
      <c r="AB379" s="18"/>
      <c r="AC379" s="18"/>
      <c r="AD379" s="18"/>
      <c r="AE379" s="18"/>
      <c r="AF379" s="18"/>
      <c r="AG379" s="18" t="str">
        <f>"153.62"</f>
        <v>153.62</v>
      </c>
      <c r="AH379" s="18"/>
      <c r="AI379" s="18"/>
    </row>
    <row r="380" spans="1:35">
      <c r="A380" s="14">
        <v>378</v>
      </c>
      <c r="B380" s="14">
        <v>7006</v>
      </c>
      <c r="C380" s="14" t="s">
        <v>526</v>
      </c>
      <c r="D380" s="14" t="s">
        <v>86</v>
      </c>
      <c r="E380" s="15" t="str">
        <f>"165.57"</f>
        <v>165.57</v>
      </c>
      <c r="F380" s="15"/>
      <c r="G380" s="16" t="str">
        <f>"187.02"</f>
        <v>187.02</v>
      </c>
      <c r="H380" s="17"/>
      <c r="I380" s="18">
        <v>3</v>
      </c>
      <c r="J380" s="18">
        <v>2016</v>
      </c>
      <c r="K380" s="18" t="str">
        <f>"165.57"</f>
        <v>165.57</v>
      </c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 t="str">
        <f>"205.37"</f>
        <v>205.37</v>
      </c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 t="str">
        <f>"168.67"</f>
        <v>168.67</v>
      </c>
      <c r="AH380" s="18"/>
      <c r="AI380" s="18"/>
    </row>
    <row r="381" spans="1:35">
      <c r="A381" s="14">
        <v>379</v>
      </c>
      <c r="B381" s="14">
        <v>4528</v>
      </c>
      <c r="C381" s="14" t="s">
        <v>527</v>
      </c>
      <c r="D381" s="14" t="s">
        <v>462</v>
      </c>
      <c r="E381" s="15" t="str">
        <f>"174.56"</f>
        <v>174.56</v>
      </c>
      <c r="F381" s="15"/>
      <c r="G381" s="16" t="str">
        <f>"187.21"</f>
        <v>187.21</v>
      </c>
      <c r="H381" s="17"/>
      <c r="I381" s="18">
        <v>3</v>
      </c>
      <c r="J381" s="18">
        <v>2016</v>
      </c>
      <c r="K381" s="18" t="str">
        <f>"181.17"</f>
        <v>181.17</v>
      </c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 t="str">
        <f>"167.94"</f>
        <v>167.94</v>
      </c>
      <c r="W381" s="18"/>
      <c r="X381" s="18"/>
      <c r="Y381" s="18"/>
      <c r="Z381" s="18"/>
      <c r="AA381" s="18"/>
      <c r="AB381" s="18"/>
      <c r="AC381" s="18"/>
      <c r="AD381" s="18"/>
      <c r="AE381" s="18" t="str">
        <f>"206.47"</f>
        <v>206.47</v>
      </c>
      <c r="AF381" s="18" t="str">
        <f>"232.72"</f>
        <v>232.72</v>
      </c>
      <c r="AG381" s="18" t="str">
        <f>"219.70"</f>
        <v>219.70</v>
      </c>
      <c r="AH381" s="18"/>
      <c r="AI381" s="18"/>
    </row>
    <row r="382" spans="1:35">
      <c r="A382" s="14">
        <v>380</v>
      </c>
      <c r="B382" s="14">
        <v>10058</v>
      </c>
      <c r="C382" s="14" t="s">
        <v>528</v>
      </c>
      <c r="D382" s="14" t="s">
        <v>76</v>
      </c>
      <c r="E382" s="15" t="str">
        <f>"187.86"</f>
        <v>187.86</v>
      </c>
      <c r="F382" s="15"/>
      <c r="G382" s="16" t="str">
        <f>"187.86"</f>
        <v>187.86</v>
      </c>
      <c r="H382" s="17"/>
      <c r="I382" s="18">
        <v>3</v>
      </c>
      <c r="J382" s="18">
        <v>2016</v>
      </c>
      <c r="K382" s="18" t="str">
        <f>"215.55"</f>
        <v>215.55</v>
      </c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 t="str">
        <f>"217.64"</f>
        <v>217.64</v>
      </c>
      <c r="Y382" s="18" t="str">
        <f>"256.83"</f>
        <v>256.83</v>
      </c>
      <c r="Z382" s="18"/>
      <c r="AA382" s="18"/>
      <c r="AB382" s="18"/>
      <c r="AC382" s="18" t="str">
        <f>"184.95"</f>
        <v>184.95</v>
      </c>
      <c r="AD382" s="18" t="str">
        <f>"190.76"</f>
        <v>190.76</v>
      </c>
      <c r="AE382" s="18"/>
      <c r="AF382" s="18"/>
      <c r="AG382" s="18"/>
      <c r="AH382" s="18"/>
      <c r="AI382" s="18"/>
    </row>
    <row r="383" spans="1:35">
      <c r="A383" s="14">
        <v>381</v>
      </c>
      <c r="B383" s="14">
        <v>5162</v>
      </c>
      <c r="C383" s="14" t="s">
        <v>529</v>
      </c>
      <c r="D383" s="14" t="s">
        <v>410</v>
      </c>
      <c r="E383" s="15" t="str">
        <f>"148.02"</f>
        <v>148.02</v>
      </c>
      <c r="F383" s="15"/>
      <c r="G383" s="16" t="str">
        <f>"188.02"</f>
        <v>188.02</v>
      </c>
      <c r="H383" s="17" t="s">
        <v>48</v>
      </c>
      <c r="I383" s="18">
        <v>1</v>
      </c>
      <c r="J383" s="18">
        <v>2016</v>
      </c>
      <c r="K383" s="18" t="str">
        <f>"148.02"</f>
        <v>148.02</v>
      </c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</row>
    <row r="384" spans="1:35">
      <c r="A384" s="14">
        <v>382</v>
      </c>
      <c r="B384" s="14">
        <v>7566</v>
      </c>
      <c r="C384" s="14" t="s">
        <v>530</v>
      </c>
      <c r="D384" s="14" t="s">
        <v>222</v>
      </c>
      <c r="E384" s="15" t="str">
        <f>"172.49"</f>
        <v>172.49</v>
      </c>
      <c r="F384" s="15"/>
      <c r="G384" s="16" t="str">
        <f>"188.22"</f>
        <v>188.22</v>
      </c>
      <c r="H384" s="17"/>
      <c r="I384" s="18">
        <v>3</v>
      </c>
      <c r="J384" s="18">
        <v>2016</v>
      </c>
      <c r="K384" s="18" t="str">
        <f>"175.89"</f>
        <v>175.89</v>
      </c>
      <c r="L384" s="18"/>
      <c r="M384" s="18" t="str">
        <f>"207.34"</f>
        <v>207.34</v>
      </c>
      <c r="N384" s="18"/>
      <c r="O384" s="18" t="str">
        <f>"260.62"</f>
        <v>260.62</v>
      </c>
      <c r="P384" s="18"/>
      <c r="Q384" s="18"/>
      <c r="R384" s="18"/>
      <c r="S384" s="18"/>
      <c r="T384" s="18"/>
      <c r="U384" s="18"/>
      <c r="V384" s="18" t="str">
        <f>"169.09"</f>
        <v>169.09</v>
      </c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 t="str">
        <f>"239.62"</f>
        <v>239.62</v>
      </c>
      <c r="AI384" s="18"/>
    </row>
    <row r="385" spans="1:35">
      <c r="A385" s="14">
        <v>383</v>
      </c>
      <c r="B385" s="14">
        <v>970</v>
      </c>
      <c r="C385" s="14" t="s">
        <v>531</v>
      </c>
      <c r="D385" s="14" t="s">
        <v>532</v>
      </c>
      <c r="E385" s="15" t="str">
        <f>"139.86"</f>
        <v>139.86</v>
      </c>
      <c r="F385" s="15"/>
      <c r="G385" s="16" t="str">
        <f>"188.23"</f>
        <v>188.23</v>
      </c>
      <c r="H385" s="17"/>
      <c r="I385" s="18">
        <v>3</v>
      </c>
      <c r="J385" s="18">
        <v>2016</v>
      </c>
      <c r="K385" s="18" t="str">
        <f>"139.86"</f>
        <v>139.86</v>
      </c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 t="str">
        <f>"168.97"</f>
        <v>168.97</v>
      </c>
      <c r="AF385" s="18" t="str">
        <f>"207.48"</f>
        <v>207.48</v>
      </c>
      <c r="AG385" s="18"/>
      <c r="AH385" s="18"/>
      <c r="AI385" s="18"/>
    </row>
    <row r="386" spans="1:35">
      <c r="A386" s="14">
        <v>384</v>
      </c>
      <c r="B386" s="14">
        <v>2317</v>
      </c>
      <c r="C386" s="14" t="s">
        <v>533</v>
      </c>
      <c r="D386" s="14" t="s">
        <v>76</v>
      </c>
      <c r="E386" s="15" t="str">
        <f>"166.48"</f>
        <v>166.48</v>
      </c>
      <c r="F386" s="15"/>
      <c r="G386" s="16" t="str">
        <f>"188.46"</f>
        <v>188.46</v>
      </c>
      <c r="H386" s="17"/>
      <c r="I386" s="18">
        <v>3</v>
      </c>
      <c r="J386" s="18">
        <v>2016</v>
      </c>
      <c r="K386" s="18" t="str">
        <f>"191.37"</f>
        <v>191.37</v>
      </c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 t="str">
        <f>"235.32"</f>
        <v>235.32</v>
      </c>
      <c r="Z386" s="18"/>
      <c r="AA386" s="18"/>
      <c r="AB386" s="18"/>
      <c r="AC386" s="18"/>
      <c r="AD386" s="18" t="str">
        <f>"141.59"</f>
        <v>141.59</v>
      </c>
      <c r="AE386" s="18"/>
      <c r="AF386" s="18"/>
      <c r="AG386" s="18"/>
      <c r="AH386" s="18"/>
      <c r="AI386" s="18"/>
    </row>
    <row r="387" spans="1:35">
      <c r="A387" s="14">
        <v>385</v>
      </c>
      <c r="B387" s="14">
        <v>1359</v>
      </c>
      <c r="C387" s="14" t="s">
        <v>534</v>
      </c>
      <c r="D387" s="14" t="s">
        <v>417</v>
      </c>
      <c r="E387" s="15" t="str">
        <f>"153.27"</f>
        <v>153.27</v>
      </c>
      <c r="F387" s="15"/>
      <c r="G387" s="16" t="str">
        <f>"188.69"</f>
        <v>188.69</v>
      </c>
      <c r="H387" s="17"/>
      <c r="I387" s="18">
        <v>3</v>
      </c>
      <c r="J387" s="18">
        <v>2016</v>
      </c>
      <c r="K387" s="18" t="str">
        <f>"153.27"</f>
        <v>153.27</v>
      </c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 t="str">
        <f>"167.35"</f>
        <v>167.35</v>
      </c>
      <c r="AF387" s="18" t="str">
        <f>"231.87"</f>
        <v>231.87</v>
      </c>
      <c r="AG387" s="18" t="str">
        <f>"240.20"</f>
        <v>240.20</v>
      </c>
      <c r="AH387" s="18" t="str">
        <f>"210.03"</f>
        <v>210.03</v>
      </c>
      <c r="AI387" s="18"/>
    </row>
    <row r="388" spans="1:35">
      <c r="A388" s="14">
        <v>386</v>
      </c>
      <c r="B388" s="14">
        <v>8468</v>
      </c>
      <c r="C388" s="14" t="s">
        <v>535</v>
      </c>
      <c r="D388" s="14" t="s">
        <v>76</v>
      </c>
      <c r="E388" s="15" t="str">
        <f>"154.03"</f>
        <v>154.03</v>
      </c>
      <c r="F388" s="15"/>
      <c r="G388" s="16" t="str">
        <f>"188.98"</f>
        <v>188.98</v>
      </c>
      <c r="H388" s="17" t="s">
        <v>54</v>
      </c>
      <c r="I388" s="18">
        <v>2</v>
      </c>
      <c r="J388" s="18">
        <v>2016</v>
      </c>
      <c r="K388" s="18" t="str">
        <f>"159.08"</f>
        <v>159.08</v>
      </c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 t="str">
        <f>"148.98"</f>
        <v>148.98</v>
      </c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</row>
    <row r="389" spans="1:35">
      <c r="A389" s="14">
        <v>387</v>
      </c>
      <c r="B389" s="14">
        <v>5248</v>
      </c>
      <c r="C389" s="14" t="s">
        <v>536</v>
      </c>
      <c r="D389" s="14" t="s">
        <v>210</v>
      </c>
      <c r="E389" s="15" t="str">
        <f>"140.67"</f>
        <v>140.67</v>
      </c>
      <c r="F389" s="15"/>
      <c r="G389" s="16" t="str">
        <f>"189.06"</f>
        <v>189.06</v>
      </c>
      <c r="H389" s="17"/>
      <c r="I389" s="18">
        <v>3</v>
      </c>
      <c r="J389" s="18">
        <v>2016</v>
      </c>
      <c r="K389" s="18" t="str">
        <f>"140.67"</f>
        <v>140.67</v>
      </c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 t="str">
        <f>"197.52"</f>
        <v>197.52</v>
      </c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 t="str">
        <f>"180.59"</f>
        <v>180.59</v>
      </c>
      <c r="AH389" s="18"/>
      <c r="AI389" s="18"/>
    </row>
    <row r="390" spans="1:35">
      <c r="A390" s="14">
        <v>388</v>
      </c>
      <c r="B390" s="14">
        <v>2638</v>
      </c>
      <c r="C390" s="14" t="s">
        <v>537</v>
      </c>
      <c r="D390" s="14" t="s">
        <v>133</v>
      </c>
      <c r="E390" s="15" t="str">
        <f>"156.51"</f>
        <v>156.51</v>
      </c>
      <c r="F390" s="15"/>
      <c r="G390" s="16" t="str">
        <f>"189.40"</f>
        <v>189.40</v>
      </c>
      <c r="H390" s="17"/>
      <c r="I390" s="18">
        <v>3</v>
      </c>
      <c r="J390" s="18">
        <v>2016</v>
      </c>
      <c r="K390" s="18" t="str">
        <f>"156.51"</f>
        <v>156.51</v>
      </c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 t="str">
        <f>"164.68"</f>
        <v>164.68</v>
      </c>
      <c r="X390" s="18"/>
      <c r="Y390" s="18"/>
      <c r="Z390" s="18"/>
      <c r="AA390" s="18"/>
      <c r="AB390" s="18" t="str">
        <f>"214.12"</f>
        <v>214.12</v>
      </c>
      <c r="AC390" s="18"/>
      <c r="AD390" s="18"/>
      <c r="AE390" s="18"/>
      <c r="AF390" s="18"/>
      <c r="AG390" s="18"/>
      <c r="AH390" s="18"/>
      <c r="AI390" s="18"/>
    </row>
    <row r="391" spans="1:35">
      <c r="A391" s="14">
        <v>389</v>
      </c>
      <c r="B391" s="14">
        <v>7836</v>
      </c>
      <c r="C391" s="14" t="s">
        <v>538</v>
      </c>
      <c r="D391" s="14" t="s">
        <v>266</v>
      </c>
      <c r="E391" s="15" t="str">
        <f>"157.86"</f>
        <v>157.86</v>
      </c>
      <c r="F391" s="15"/>
      <c r="G391" s="16" t="str">
        <f>"190.33"</f>
        <v>190.33</v>
      </c>
      <c r="H391" s="17" t="s">
        <v>54</v>
      </c>
      <c r="I391" s="18">
        <v>2</v>
      </c>
      <c r="J391" s="18">
        <v>2016</v>
      </c>
      <c r="K391" s="18" t="str">
        <f>"165.38"</f>
        <v>165.38</v>
      </c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 t="str">
        <f>"150.33"</f>
        <v>150.33</v>
      </c>
      <c r="AF391" s="18"/>
      <c r="AG391" s="18"/>
      <c r="AH391" s="18"/>
      <c r="AI391" s="18"/>
    </row>
    <row r="392" spans="1:35">
      <c r="A392" s="14">
        <v>390</v>
      </c>
      <c r="B392" s="14">
        <v>3102</v>
      </c>
      <c r="C392" s="14" t="s">
        <v>539</v>
      </c>
      <c r="D392" s="14" t="s">
        <v>112</v>
      </c>
      <c r="E392" s="15" t="str">
        <f>"154.59"</f>
        <v>154.59</v>
      </c>
      <c r="F392" s="15"/>
      <c r="G392" s="16" t="str">
        <f>"190.48"</f>
        <v>190.48</v>
      </c>
      <c r="H392" s="17"/>
      <c r="I392" s="18">
        <v>3</v>
      </c>
      <c r="J392" s="18">
        <v>2016</v>
      </c>
      <c r="K392" s="18" t="str">
        <f>"154.59"</f>
        <v>154.59</v>
      </c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 t="str">
        <f>"204.88"</f>
        <v>204.88</v>
      </c>
      <c r="W392" s="18"/>
      <c r="X392" s="18"/>
      <c r="Y392" s="18"/>
      <c r="Z392" s="18"/>
      <c r="AA392" s="18"/>
      <c r="AB392" s="18"/>
      <c r="AC392" s="18"/>
      <c r="AD392" s="18"/>
      <c r="AE392" s="18" t="str">
        <f>"176.07"</f>
        <v>176.07</v>
      </c>
      <c r="AF392" s="18"/>
      <c r="AG392" s="18"/>
      <c r="AH392" s="18"/>
      <c r="AI392" s="18"/>
    </row>
    <row r="393" spans="1:35">
      <c r="A393" s="14">
        <v>391</v>
      </c>
      <c r="B393" s="14">
        <v>2247</v>
      </c>
      <c r="C393" s="14" t="s">
        <v>540</v>
      </c>
      <c r="D393" s="14" t="s">
        <v>76</v>
      </c>
      <c r="E393" s="15" t="str">
        <f>"170.93"</f>
        <v>170.93</v>
      </c>
      <c r="F393" s="15"/>
      <c r="G393" s="16" t="str">
        <f>"190.68"</f>
        <v>190.68</v>
      </c>
      <c r="H393" s="17"/>
      <c r="I393" s="18">
        <v>3</v>
      </c>
      <c r="J393" s="18">
        <v>2016</v>
      </c>
      <c r="K393" s="18" t="str">
        <f>"170.93"</f>
        <v>170.93</v>
      </c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 t="str">
        <f>"205.47"</f>
        <v>205.47</v>
      </c>
      <c r="Z393" s="18"/>
      <c r="AA393" s="18"/>
      <c r="AB393" s="18"/>
      <c r="AC393" s="18"/>
      <c r="AD393" s="18" t="str">
        <f>"175.89"</f>
        <v>175.89</v>
      </c>
      <c r="AE393" s="18"/>
      <c r="AF393" s="18"/>
      <c r="AG393" s="18"/>
      <c r="AH393" s="18"/>
      <c r="AI393" s="18"/>
    </row>
    <row r="394" spans="1:35">
      <c r="A394" s="14">
        <v>392</v>
      </c>
      <c r="B394" s="14">
        <v>2403</v>
      </c>
      <c r="C394" s="14" t="s">
        <v>541</v>
      </c>
      <c r="D394" s="14" t="s">
        <v>76</v>
      </c>
      <c r="E394" s="15" t="str">
        <f>"161.96"</f>
        <v>161.96</v>
      </c>
      <c r="F394" s="15"/>
      <c r="G394" s="16" t="str">
        <f>"190.88"</f>
        <v>190.88</v>
      </c>
      <c r="H394" s="17"/>
      <c r="I394" s="18">
        <v>3</v>
      </c>
      <c r="J394" s="18">
        <v>2016</v>
      </c>
      <c r="K394" s="18" t="str">
        <f>"161.96"</f>
        <v>161.96</v>
      </c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 t="str">
        <f>"189.03"</f>
        <v>189.03</v>
      </c>
      <c r="W394" s="18"/>
      <c r="X394" s="18"/>
      <c r="Y394" s="18" t="str">
        <f>"250.50"</f>
        <v>250.50</v>
      </c>
      <c r="Z394" s="18"/>
      <c r="AA394" s="18"/>
      <c r="AB394" s="18"/>
      <c r="AC394" s="18"/>
      <c r="AD394" s="18"/>
      <c r="AE394" s="18"/>
      <c r="AF394" s="18"/>
      <c r="AG394" s="18" t="str">
        <f>"192.72"</f>
        <v>192.72</v>
      </c>
      <c r="AH394" s="18" t="str">
        <f>"206.70"</f>
        <v>206.70</v>
      </c>
      <c r="AI394" s="18"/>
    </row>
    <row r="395" spans="1:35">
      <c r="A395" s="14">
        <v>393</v>
      </c>
      <c r="B395" s="14">
        <v>10812</v>
      </c>
      <c r="C395" s="14" t="s">
        <v>542</v>
      </c>
      <c r="D395" s="14" t="s">
        <v>98</v>
      </c>
      <c r="E395" s="15" t="str">
        <f>"191.11"</f>
        <v>191.11</v>
      </c>
      <c r="F395" s="15"/>
      <c r="G395" s="16" t="str">
        <f>"191.11"</f>
        <v>191.11</v>
      </c>
      <c r="H395" s="17"/>
      <c r="I395" s="18">
        <v>5</v>
      </c>
      <c r="J395" s="18">
        <v>2016</v>
      </c>
      <c r="K395" s="18"/>
      <c r="L395" s="18"/>
      <c r="M395" s="18"/>
      <c r="N395" s="18"/>
      <c r="O395" s="18"/>
      <c r="P395" s="18"/>
      <c r="Q395" s="18" t="str">
        <f>"205.59"</f>
        <v>205.59</v>
      </c>
      <c r="R395" s="18"/>
      <c r="S395" s="18"/>
      <c r="T395" s="18"/>
      <c r="U395" s="18" t="str">
        <f>"273.55"</f>
        <v>273.55</v>
      </c>
      <c r="V395" s="18"/>
      <c r="W395" s="18"/>
      <c r="X395" s="18"/>
      <c r="Y395" s="18"/>
      <c r="Z395" s="18" t="str">
        <f>"214.27"</f>
        <v>214.27</v>
      </c>
      <c r="AA395" s="18"/>
      <c r="AB395" s="18"/>
      <c r="AC395" s="18"/>
      <c r="AD395" s="18"/>
      <c r="AE395" s="18"/>
      <c r="AF395" s="18"/>
      <c r="AG395" s="18" t="str">
        <f>"176.62"</f>
        <v>176.62</v>
      </c>
      <c r="AH395" s="18"/>
      <c r="AI395" s="18"/>
    </row>
    <row r="396" spans="1:35">
      <c r="A396" s="14">
        <v>394</v>
      </c>
      <c r="B396" s="14">
        <v>756</v>
      </c>
      <c r="C396" s="14" t="s">
        <v>543</v>
      </c>
      <c r="D396" s="14" t="s">
        <v>133</v>
      </c>
      <c r="E396" s="15" t="str">
        <f>"152.14"</f>
        <v>152.14</v>
      </c>
      <c r="F396" s="15"/>
      <c r="G396" s="16" t="str">
        <f>"192.14"</f>
        <v>192.14</v>
      </c>
      <c r="H396" s="17" t="s">
        <v>48</v>
      </c>
      <c r="I396" s="18">
        <v>1</v>
      </c>
      <c r="J396" s="18">
        <v>2016</v>
      </c>
      <c r="K396" s="18" t="str">
        <f>"152.14"</f>
        <v>152.14</v>
      </c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</row>
    <row r="397" spans="1:35">
      <c r="A397" s="14">
        <v>395</v>
      </c>
      <c r="B397" s="14">
        <v>10696</v>
      </c>
      <c r="C397" s="14" t="s">
        <v>544</v>
      </c>
      <c r="D397" s="14" t="s">
        <v>41</v>
      </c>
      <c r="E397" s="15" t="str">
        <f>"192.51"</f>
        <v>192.51</v>
      </c>
      <c r="F397" s="15"/>
      <c r="G397" s="16" t="str">
        <f>"192.51"</f>
        <v>192.51</v>
      </c>
      <c r="H397" s="17"/>
      <c r="I397" s="18">
        <v>3</v>
      </c>
      <c r="J397" s="18">
        <v>2016</v>
      </c>
      <c r="K397" s="18" t="str">
        <f>"264.59"</f>
        <v>264.59</v>
      </c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 t="str">
        <f>"199.68"</f>
        <v>199.68</v>
      </c>
      <c r="AF397" s="18" t="str">
        <f>"185.33"</f>
        <v>185.33</v>
      </c>
      <c r="AG397" s="18"/>
      <c r="AH397" s="18"/>
      <c r="AI397" s="18"/>
    </row>
    <row r="398" spans="1:35">
      <c r="A398" s="14">
        <v>396</v>
      </c>
      <c r="B398" s="14">
        <v>9650</v>
      </c>
      <c r="C398" s="14" t="s">
        <v>545</v>
      </c>
      <c r="D398" s="14" t="s">
        <v>86</v>
      </c>
      <c r="E398" s="15" t="str">
        <f>"190.34"</f>
        <v>190.34</v>
      </c>
      <c r="F398" s="15"/>
      <c r="G398" s="16" t="str">
        <f>"192.60"</f>
        <v>192.60</v>
      </c>
      <c r="H398" s="17"/>
      <c r="I398" s="18">
        <v>3</v>
      </c>
      <c r="J398" s="18">
        <v>2016</v>
      </c>
      <c r="K398" s="18" t="str">
        <f>"196.10"</f>
        <v>196.10</v>
      </c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 t="str">
        <f>"200.63"</f>
        <v>200.63</v>
      </c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 t="str">
        <f>"184.57"</f>
        <v>184.57</v>
      </c>
      <c r="AH398" s="18"/>
      <c r="AI398" s="18"/>
    </row>
    <row r="399" spans="1:35">
      <c r="A399" s="14">
        <v>397</v>
      </c>
      <c r="B399" s="14">
        <v>1616</v>
      </c>
      <c r="C399" s="14" t="s">
        <v>546</v>
      </c>
      <c r="D399" s="14" t="s">
        <v>133</v>
      </c>
      <c r="E399" s="15" t="str">
        <f>"131.18"</f>
        <v>131.18</v>
      </c>
      <c r="F399" s="15"/>
      <c r="G399" s="16" t="str">
        <f>"192.65"</f>
        <v>192.65</v>
      </c>
      <c r="H399" s="17"/>
      <c r="I399" s="18">
        <v>3</v>
      </c>
      <c r="J399" s="18">
        <v>2016</v>
      </c>
      <c r="K399" s="18" t="str">
        <f>"131.18"</f>
        <v>131.18</v>
      </c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 t="str">
        <f>"160.60"</f>
        <v>160.60</v>
      </c>
      <c r="X399" s="18"/>
      <c r="Y399" s="18"/>
      <c r="Z399" s="18"/>
      <c r="AA399" s="18"/>
      <c r="AB399" s="18" t="str">
        <f>"224.69"</f>
        <v>224.69</v>
      </c>
      <c r="AC399" s="18"/>
      <c r="AD399" s="18"/>
      <c r="AE399" s="18"/>
      <c r="AF399" s="18"/>
      <c r="AG399" s="18"/>
      <c r="AH399" s="18"/>
      <c r="AI399" s="18"/>
    </row>
    <row r="400" spans="1:35">
      <c r="A400" s="14">
        <v>398</v>
      </c>
      <c r="B400" s="14">
        <v>9332</v>
      </c>
      <c r="C400" s="14" t="s">
        <v>547</v>
      </c>
      <c r="D400" s="14" t="s">
        <v>505</v>
      </c>
      <c r="E400" s="15" t="str">
        <f>"153.61"</f>
        <v>153.61</v>
      </c>
      <c r="F400" s="15"/>
      <c r="G400" s="16" t="str">
        <f>"193.61"</f>
        <v>193.61</v>
      </c>
      <c r="H400" s="17" t="s">
        <v>48</v>
      </c>
      <c r="I400" s="18">
        <v>1</v>
      </c>
      <c r="J400" s="18">
        <v>2016</v>
      </c>
      <c r="K400" s="18" t="str">
        <f>"153.61"</f>
        <v>153.61</v>
      </c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</row>
    <row r="401" spans="1:35">
      <c r="A401" s="14">
        <v>399</v>
      </c>
      <c r="B401" s="14">
        <v>4884</v>
      </c>
      <c r="C401" s="14" t="s">
        <v>548</v>
      </c>
      <c r="D401" s="14" t="s">
        <v>139</v>
      </c>
      <c r="E401" s="15" t="str">
        <f>"174.42"</f>
        <v>174.42</v>
      </c>
      <c r="F401" s="15"/>
      <c r="G401" s="16" t="str">
        <f>"193.73"</f>
        <v>193.73</v>
      </c>
      <c r="H401" s="17"/>
      <c r="I401" s="18">
        <v>3</v>
      </c>
      <c r="J401" s="18">
        <v>2016</v>
      </c>
      <c r="K401" s="18" t="str">
        <f>"174.42"</f>
        <v>174.42</v>
      </c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 t="str">
        <f>"219.10"</f>
        <v>219.10</v>
      </c>
      <c r="W401" s="18"/>
      <c r="X401" s="18"/>
      <c r="Y401" s="18"/>
      <c r="Z401" s="18"/>
      <c r="AA401" s="18"/>
      <c r="AB401" s="18"/>
      <c r="AC401" s="18"/>
      <c r="AD401" s="18"/>
      <c r="AE401" s="18" t="str">
        <f>"176.67"</f>
        <v>176.67</v>
      </c>
      <c r="AF401" s="18" t="str">
        <f>"210.79"</f>
        <v>210.79</v>
      </c>
      <c r="AG401" s="18"/>
      <c r="AH401" s="18"/>
      <c r="AI401" s="18"/>
    </row>
    <row r="402" spans="1:35">
      <c r="A402" s="14">
        <v>400</v>
      </c>
      <c r="B402" s="14">
        <v>3311</v>
      </c>
      <c r="C402" s="14" t="s">
        <v>549</v>
      </c>
      <c r="D402" s="14" t="s">
        <v>127</v>
      </c>
      <c r="E402" s="15" t="str">
        <f>"171.20"</f>
        <v>171.20</v>
      </c>
      <c r="F402" s="15"/>
      <c r="G402" s="16" t="str">
        <f>"193.82"</f>
        <v>193.82</v>
      </c>
      <c r="H402" s="17"/>
      <c r="I402" s="18">
        <v>3</v>
      </c>
      <c r="J402" s="18">
        <v>2016</v>
      </c>
      <c r="K402" s="18" t="str">
        <f>"171.20"</f>
        <v>171.20</v>
      </c>
      <c r="L402" s="18"/>
      <c r="M402" s="18" t="str">
        <f>"199.63"</f>
        <v>199.63</v>
      </c>
      <c r="N402" s="18"/>
      <c r="O402" s="18" t="str">
        <f>"188.01"</f>
        <v>188.01</v>
      </c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 t="str">
        <f>"224.63"</f>
        <v>224.63</v>
      </c>
      <c r="AG402" s="18"/>
      <c r="AH402" s="18"/>
      <c r="AI402" s="18"/>
    </row>
    <row r="403" spans="1:35">
      <c r="A403" s="14">
        <v>401</v>
      </c>
      <c r="B403" s="14">
        <v>127</v>
      </c>
      <c r="C403" s="14" t="s">
        <v>550</v>
      </c>
      <c r="D403" s="14" t="s">
        <v>289</v>
      </c>
      <c r="E403" s="15" t="str">
        <f>"153.91"</f>
        <v>153.91</v>
      </c>
      <c r="F403" s="15"/>
      <c r="G403" s="16" t="str">
        <f>"193.91"</f>
        <v>193.91</v>
      </c>
      <c r="H403" s="17" t="s">
        <v>48</v>
      </c>
      <c r="I403" s="18">
        <v>1</v>
      </c>
      <c r="J403" s="18">
        <v>2016</v>
      </c>
      <c r="K403" s="18" t="str">
        <f>"153.91"</f>
        <v>153.91</v>
      </c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</row>
    <row r="404" spans="1:35">
      <c r="A404" s="14">
        <v>402</v>
      </c>
      <c r="B404" s="14">
        <v>3126</v>
      </c>
      <c r="C404" s="14" t="s">
        <v>551</v>
      </c>
      <c r="D404" s="14" t="s">
        <v>184</v>
      </c>
      <c r="E404" s="15" t="str">
        <f>"131.24"</f>
        <v>131.24</v>
      </c>
      <c r="F404" s="15"/>
      <c r="G404" s="16" t="str">
        <f>"193.94"</f>
        <v>193.94</v>
      </c>
      <c r="H404" s="17"/>
      <c r="I404" s="18">
        <v>3</v>
      </c>
      <c r="J404" s="18">
        <v>2016</v>
      </c>
      <c r="K404" s="18" t="str">
        <f>"131.24"</f>
        <v>131.24</v>
      </c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 t="str">
        <f>"169.74"</f>
        <v>169.74</v>
      </c>
      <c r="W404" s="18"/>
      <c r="X404" s="18"/>
      <c r="Y404" s="18"/>
      <c r="Z404" s="18"/>
      <c r="AA404" s="18"/>
      <c r="AB404" s="18"/>
      <c r="AC404" s="18"/>
      <c r="AD404" s="18"/>
      <c r="AE404" s="18" t="str">
        <f>"245.99"</f>
        <v>245.99</v>
      </c>
      <c r="AF404" s="18" t="str">
        <f>"218.13"</f>
        <v>218.13</v>
      </c>
      <c r="AG404" s="18"/>
      <c r="AH404" s="18"/>
      <c r="AI404" s="18"/>
    </row>
    <row r="405" spans="1:35">
      <c r="A405" s="14">
        <v>403</v>
      </c>
      <c r="B405" s="14">
        <v>3347</v>
      </c>
      <c r="C405" s="14" t="s">
        <v>552</v>
      </c>
      <c r="D405" s="14" t="s">
        <v>282</v>
      </c>
      <c r="E405" s="15" t="str">
        <f>"154.43"</f>
        <v>154.43</v>
      </c>
      <c r="F405" s="15"/>
      <c r="G405" s="16" t="str">
        <f>"194.43"</f>
        <v>194.43</v>
      </c>
      <c r="H405" s="17" t="s">
        <v>48</v>
      </c>
      <c r="I405" s="18">
        <v>1</v>
      </c>
      <c r="J405" s="18">
        <v>2016</v>
      </c>
      <c r="K405" s="18" t="str">
        <f>"154.43"</f>
        <v>154.43</v>
      </c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</row>
    <row r="406" spans="1:35">
      <c r="A406" s="14">
        <v>404</v>
      </c>
      <c r="B406" s="14">
        <v>9633</v>
      </c>
      <c r="C406" s="14" t="s">
        <v>553</v>
      </c>
      <c r="D406" s="14" t="s">
        <v>81</v>
      </c>
      <c r="E406" s="15" t="str">
        <f>"130.76"</f>
        <v>130.76</v>
      </c>
      <c r="F406" s="15"/>
      <c r="G406" s="16" t="str">
        <f>"194.43"</f>
        <v>194.43</v>
      </c>
      <c r="H406" s="17"/>
      <c r="I406" s="18">
        <v>3</v>
      </c>
      <c r="J406" s="18">
        <v>2016</v>
      </c>
      <c r="K406" s="18" t="str">
        <f>"130.76"</f>
        <v>130.76</v>
      </c>
      <c r="L406" s="18"/>
      <c r="M406" s="18" t="str">
        <f>"198.50"</f>
        <v>198.50</v>
      </c>
      <c r="N406" s="18"/>
      <c r="O406" s="18" t="str">
        <f>"190.35"</f>
        <v>190.35</v>
      </c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 t="str">
        <f>"308.68"</f>
        <v>308.68</v>
      </c>
      <c r="AB406" s="18"/>
      <c r="AC406" s="18"/>
      <c r="AD406" s="18"/>
      <c r="AE406" s="18" t="str">
        <f>"213.96"</f>
        <v>213.96</v>
      </c>
      <c r="AF406" s="18"/>
      <c r="AG406" s="18" t="str">
        <f>"225.35"</f>
        <v>225.35</v>
      </c>
      <c r="AH406" s="18"/>
      <c r="AI406" s="18"/>
    </row>
    <row r="407" spans="1:35">
      <c r="A407" s="14">
        <v>405</v>
      </c>
      <c r="B407" s="14">
        <v>350</v>
      </c>
      <c r="C407" s="14" t="s">
        <v>554</v>
      </c>
      <c r="D407" s="14" t="s">
        <v>555</v>
      </c>
      <c r="E407" s="15" t="str">
        <f>"154.54"</f>
        <v>154.54</v>
      </c>
      <c r="F407" s="15"/>
      <c r="G407" s="16" t="str">
        <f>"194.54"</f>
        <v>194.54</v>
      </c>
      <c r="H407" s="17" t="s">
        <v>48</v>
      </c>
      <c r="I407" s="18">
        <v>1</v>
      </c>
      <c r="J407" s="18">
        <v>2016</v>
      </c>
      <c r="K407" s="18" t="str">
        <f>"154.54"</f>
        <v>154.54</v>
      </c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</row>
    <row r="408" spans="1:35">
      <c r="A408" s="14">
        <v>406</v>
      </c>
      <c r="B408" s="14">
        <v>503</v>
      </c>
      <c r="C408" s="14" t="s">
        <v>556</v>
      </c>
      <c r="D408" s="14" t="s">
        <v>222</v>
      </c>
      <c r="E408" s="15" t="str">
        <f>"125.61"</f>
        <v>125.61</v>
      </c>
      <c r="F408" s="15"/>
      <c r="G408" s="16" t="str">
        <f>"195.03"</f>
        <v>195.03</v>
      </c>
      <c r="H408" s="17"/>
      <c r="I408" s="18">
        <v>3</v>
      </c>
      <c r="J408" s="18">
        <v>2016</v>
      </c>
      <c r="K408" s="18" t="str">
        <f>"125.61"</f>
        <v>125.61</v>
      </c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 t="str">
        <f>"193.90"</f>
        <v>193.90</v>
      </c>
      <c r="AF408" s="18" t="str">
        <f>"205.46"</f>
        <v>205.46</v>
      </c>
      <c r="AG408" s="18" t="str">
        <f>"239.78"</f>
        <v>239.78</v>
      </c>
      <c r="AH408" s="18" t="str">
        <f>"196.15"</f>
        <v>196.15</v>
      </c>
      <c r="AI408" s="18"/>
    </row>
    <row r="409" spans="1:35">
      <c r="A409" s="14">
        <v>407</v>
      </c>
      <c r="B409" s="14">
        <v>2894</v>
      </c>
      <c r="C409" s="14" t="s">
        <v>557</v>
      </c>
      <c r="D409" s="14" t="s">
        <v>210</v>
      </c>
      <c r="E409" s="15" t="str">
        <f>"195.17"</f>
        <v>195.17</v>
      </c>
      <c r="F409" s="15"/>
      <c r="G409" s="16" t="str">
        <f>"195.17"</f>
        <v>195.17</v>
      </c>
      <c r="H409" s="17"/>
      <c r="I409" s="18">
        <v>5</v>
      </c>
      <c r="J409" s="18">
        <v>2016</v>
      </c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 t="str">
        <f>"211.42"</f>
        <v>211.42</v>
      </c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 t="str">
        <f>"178.92"</f>
        <v>178.92</v>
      </c>
      <c r="AH409" s="18"/>
      <c r="AI409" s="18"/>
    </row>
    <row r="410" spans="1:35">
      <c r="A410" s="14">
        <v>408</v>
      </c>
      <c r="B410" s="14">
        <v>1937</v>
      </c>
      <c r="C410" s="14" t="s">
        <v>558</v>
      </c>
      <c r="D410" s="14" t="s">
        <v>76</v>
      </c>
      <c r="E410" s="15" t="str">
        <f>"189.37"</f>
        <v>189.37</v>
      </c>
      <c r="F410" s="15"/>
      <c r="G410" s="16" t="str">
        <f>"195.38"</f>
        <v>195.38</v>
      </c>
      <c r="H410" s="17"/>
      <c r="I410" s="18">
        <v>3</v>
      </c>
      <c r="J410" s="18">
        <v>2016</v>
      </c>
      <c r="K410" s="18" t="str">
        <f>"195.47"</f>
        <v>195.47</v>
      </c>
      <c r="L410" s="18" t="str">
        <f>"235.26"</f>
        <v>235.26</v>
      </c>
      <c r="M410" s="18"/>
      <c r="N410" s="18" t="str">
        <f>"214.09"</f>
        <v>214.09</v>
      </c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 t="str">
        <f>"207.48"</f>
        <v>207.48</v>
      </c>
      <c r="Z410" s="18"/>
      <c r="AA410" s="18"/>
      <c r="AB410" s="18"/>
      <c r="AC410" s="18"/>
      <c r="AD410" s="18" t="str">
        <f>"183.27"</f>
        <v>183.27</v>
      </c>
      <c r="AE410" s="18"/>
      <c r="AF410" s="18"/>
      <c r="AG410" s="18"/>
      <c r="AH410" s="18"/>
      <c r="AI410" s="18"/>
    </row>
    <row r="411" spans="1:35">
      <c r="A411" s="14">
        <v>409</v>
      </c>
      <c r="B411" s="14">
        <v>5144</v>
      </c>
      <c r="C411" s="14" t="s">
        <v>559</v>
      </c>
      <c r="D411" s="14" t="s">
        <v>378</v>
      </c>
      <c r="E411" s="15" t="str">
        <f>"177.17"</f>
        <v>177.17</v>
      </c>
      <c r="F411" s="15"/>
      <c r="G411" s="16" t="str">
        <f>"195.38"</f>
        <v>195.38</v>
      </c>
      <c r="H411" s="17"/>
      <c r="I411" s="18">
        <v>3</v>
      </c>
      <c r="J411" s="18">
        <v>2016</v>
      </c>
      <c r="K411" s="18" t="str">
        <f>"191.51"</f>
        <v>191.51</v>
      </c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 t="str">
        <f>"227.93"</f>
        <v>227.93</v>
      </c>
      <c r="W411" s="18"/>
      <c r="X411" s="18"/>
      <c r="Y411" s="18"/>
      <c r="Z411" s="18"/>
      <c r="AA411" s="18" t="str">
        <f>"324.03"</f>
        <v>324.03</v>
      </c>
      <c r="AB411" s="18"/>
      <c r="AC411" s="18"/>
      <c r="AD411" s="18"/>
      <c r="AE411" s="18"/>
      <c r="AF411" s="18"/>
      <c r="AG411" s="18" t="str">
        <f>"162.82"</f>
        <v>162.82</v>
      </c>
      <c r="AH411" s="18"/>
      <c r="AI411" s="18"/>
    </row>
    <row r="412" spans="1:35">
      <c r="A412" s="14">
        <v>410</v>
      </c>
      <c r="B412" s="14">
        <v>10579</v>
      </c>
      <c r="C412" s="14" t="s">
        <v>560</v>
      </c>
      <c r="D412" s="14" t="s">
        <v>76</v>
      </c>
      <c r="E412" s="15" t="str">
        <f>"195.48"</f>
        <v>195.48</v>
      </c>
      <c r="F412" s="15"/>
      <c r="G412" s="16" t="str">
        <f>"195.48"</f>
        <v>195.48</v>
      </c>
      <c r="H412" s="17"/>
      <c r="I412" s="18">
        <v>3</v>
      </c>
      <c r="J412" s="18">
        <v>2016</v>
      </c>
      <c r="K412" s="18" t="str">
        <f>"293.64"</f>
        <v>293.64</v>
      </c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 t="str">
        <f>"230.07"</f>
        <v>230.07</v>
      </c>
      <c r="Y412" s="18" t="str">
        <f>"251.91"</f>
        <v>251.91</v>
      </c>
      <c r="Z412" s="18"/>
      <c r="AA412" s="18"/>
      <c r="AB412" s="18"/>
      <c r="AC412" s="18" t="str">
        <f>"181.75"</f>
        <v>181.75</v>
      </c>
      <c r="AD412" s="18" t="str">
        <f>"209.21"</f>
        <v>209.21</v>
      </c>
      <c r="AE412" s="18"/>
      <c r="AF412" s="18"/>
      <c r="AG412" s="18"/>
      <c r="AH412" s="18"/>
      <c r="AI412" s="18"/>
    </row>
    <row r="413" spans="1:35">
      <c r="A413" s="14">
        <v>411</v>
      </c>
      <c r="B413" s="14">
        <v>5722</v>
      </c>
      <c r="C413" s="14" t="s">
        <v>561</v>
      </c>
      <c r="D413" s="14" t="s">
        <v>98</v>
      </c>
      <c r="E413" s="15" t="str">
        <f>"196.46"</f>
        <v>196.46</v>
      </c>
      <c r="F413" s="15"/>
      <c r="G413" s="16" t="str">
        <f>"196.46"</f>
        <v>196.46</v>
      </c>
      <c r="H413" s="17"/>
      <c r="I413" s="18">
        <v>3</v>
      </c>
      <c r="J413" s="18">
        <v>2016</v>
      </c>
      <c r="K413" s="18" t="str">
        <f>"232.90"</f>
        <v>232.90</v>
      </c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 t="str">
        <f>"188.68"</f>
        <v>188.68</v>
      </c>
      <c r="AA413" s="18"/>
      <c r="AB413" s="18"/>
      <c r="AC413" s="18"/>
      <c r="AD413" s="18"/>
      <c r="AE413" s="18"/>
      <c r="AF413" s="18"/>
      <c r="AG413" s="18" t="str">
        <f>"204.23"</f>
        <v>204.23</v>
      </c>
      <c r="AH413" s="18"/>
      <c r="AI413" s="18" t="str">
        <f>"237.05"</f>
        <v>237.05</v>
      </c>
    </row>
    <row r="414" spans="1:35">
      <c r="A414" s="14">
        <v>412</v>
      </c>
      <c r="B414" s="14">
        <v>4327</v>
      </c>
      <c r="C414" s="14" t="s">
        <v>562</v>
      </c>
      <c r="D414" s="14" t="s">
        <v>139</v>
      </c>
      <c r="E414" s="15" t="str">
        <f>"184.96"</f>
        <v>184.96</v>
      </c>
      <c r="F414" s="15"/>
      <c r="G414" s="16" t="str">
        <f>"196.47"</f>
        <v>196.47</v>
      </c>
      <c r="H414" s="17"/>
      <c r="I414" s="18">
        <v>3</v>
      </c>
      <c r="J414" s="18">
        <v>2016</v>
      </c>
      <c r="K414" s="18" t="str">
        <f>"184.96"</f>
        <v>184.96</v>
      </c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 t="str">
        <f>"188.43"</f>
        <v>188.43</v>
      </c>
      <c r="AF414" s="18" t="str">
        <f>"204.50"</f>
        <v>204.50</v>
      </c>
      <c r="AG414" s="18"/>
      <c r="AH414" s="18"/>
      <c r="AI414" s="18"/>
    </row>
    <row r="415" spans="1:35">
      <c r="A415" s="14">
        <v>413</v>
      </c>
      <c r="B415" s="14">
        <v>10299</v>
      </c>
      <c r="C415" s="14" t="s">
        <v>563</v>
      </c>
      <c r="D415" s="14" t="s">
        <v>193</v>
      </c>
      <c r="E415" s="15" t="str">
        <f>"149.08"</f>
        <v>149.08</v>
      </c>
      <c r="F415" s="15"/>
      <c r="G415" s="16" t="str">
        <f>"196.76"</f>
        <v>196.76</v>
      </c>
      <c r="H415" s="17"/>
      <c r="I415" s="18">
        <v>3</v>
      </c>
      <c r="J415" s="18">
        <v>2016</v>
      </c>
      <c r="K415" s="18" t="str">
        <f>"149.08"</f>
        <v>149.08</v>
      </c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 t="str">
        <f>"241.16"</f>
        <v>241.16</v>
      </c>
      <c r="AB415" s="18"/>
      <c r="AC415" s="18"/>
      <c r="AD415" s="18"/>
      <c r="AE415" s="18" t="str">
        <f>"152.35"</f>
        <v>152.35</v>
      </c>
      <c r="AF415" s="18"/>
      <c r="AG415" s="18"/>
      <c r="AH415" s="18"/>
      <c r="AI415" s="18"/>
    </row>
    <row r="416" spans="1:35">
      <c r="A416" s="14">
        <v>414</v>
      </c>
      <c r="B416" s="14">
        <v>10599</v>
      </c>
      <c r="C416" s="14" t="s">
        <v>564</v>
      </c>
      <c r="D416" s="14" t="s">
        <v>76</v>
      </c>
      <c r="E416" s="15" t="str">
        <f>"197.06"</f>
        <v>197.06</v>
      </c>
      <c r="F416" s="15"/>
      <c r="G416" s="16" t="str">
        <f>"197.06"</f>
        <v>197.06</v>
      </c>
      <c r="H416" s="17"/>
      <c r="I416" s="18">
        <v>3</v>
      </c>
      <c r="J416" s="18">
        <v>2016</v>
      </c>
      <c r="K416" s="18" t="str">
        <f>"320.58"</f>
        <v>320.58</v>
      </c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 t="str">
        <f>"285.60"</f>
        <v>285.60</v>
      </c>
      <c r="Y416" s="18" t="str">
        <f>"280.56"</f>
        <v>280.56</v>
      </c>
      <c r="Z416" s="18"/>
      <c r="AA416" s="18"/>
      <c r="AB416" s="18"/>
      <c r="AC416" s="18" t="str">
        <f>"209.54"</f>
        <v>209.54</v>
      </c>
      <c r="AD416" s="18" t="str">
        <f>"184.57"</f>
        <v>184.57</v>
      </c>
      <c r="AE416" s="18"/>
      <c r="AF416" s="18"/>
      <c r="AG416" s="18"/>
      <c r="AH416" s="18"/>
      <c r="AI416" s="18"/>
    </row>
    <row r="417" spans="1:35">
      <c r="A417" s="14">
        <v>415</v>
      </c>
      <c r="B417" s="14">
        <v>10715</v>
      </c>
      <c r="C417" s="14" t="s">
        <v>565</v>
      </c>
      <c r="D417" s="14" t="s">
        <v>242</v>
      </c>
      <c r="E417" s="15" t="str">
        <f>"197.15"</f>
        <v>197.15</v>
      </c>
      <c r="F417" s="15"/>
      <c r="G417" s="16" t="str">
        <f>"197.15"</f>
        <v>197.15</v>
      </c>
      <c r="H417" s="17" t="s">
        <v>54</v>
      </c>
      <c r="I417" s="18">
        <v>4</v>
      </c>
      <c r="J417" s="18">
        <v>2016</v>
      </c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 t="str">
        <f>"157.15"</f>
        <v>157.15</v>
      </c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</row>
    <row r="418" spans="1:35">
      <c r="A418" s="14">
        <v>416</v>
      </c>
      <c r="B418" s="14">
        <v>1805</v>
      </c>
      <c r="C418" s="14" t="s">
        <v>566</v>
      </c>
      <c r="D418" s="14" t="s">
        <v>139</v>
      </c>
      <c r="E418" s="15" t="str">
        <f>"157.40"</f>
        <v>157.40</v>
      </c>
      <c r="F418" s="15"/>
      <c r="G418" s="16" t="str">
        <f>"197.40"</f>
        <v>197.40</v>
      </c>
      <c r="H418" s="17" t="s">
        <v>48</v>
      </c>
      <c r="I418" s="18">
        <v>1</v>
      </c>
      <c r="J418" s="18">
        <v>2016</v>
      </c>
      <c r="K418" s="18" t="str">
        <f>"157.40"</f>
        <v>157.40</v>
      </c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</row>
    <row r="419" spans="1:35">
      <c r="A419" s="14">
        <v>417</v>
      </c>
      <c r="B419" s="14">
        <v>1193</v>
      </c>
      <c r="C419" s="14" t="s">
        <v>567</v>
      </c>
      <c r="D419" s="14" t="s">
        <v>442</v>
      </c>
      <c r="E419" s="15" t="str">
        <f>"149.54"</f>
        <v>149.54</v>
      </c>
      <c r="F419" s="15"/>
      <c r="G419" s="16" t="str">
        <f>"197.46"</f>
        <v>197.46</v>
      </c>
      <c r="H419" s="17"/>
      <c r="I419" s="18">
        <v>3</v>
      </c>
      <c r="J419" s="18">
        <v>2016</v>
      </c>
      <c r="K419" s="18" t="str">
        <f>"170.35"</f>
        <v>170.35</v>
      </c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 t="str">
        <f>"128.72"</f>
        <v>128.72</v>
      </c>
      <c r="W419" s="18"/>
      <c r="X419" s="18"/>
      <c r="Y419" s="18"/>
      <c r="Z419" s="18"/>
      <c r="AA419" s="18" t="str">
        <f>"266.20"</f>
        <v>266.20</v>
      </c>
      <c r="AB419" s="18"/>
      <c r="AC419" s="18"/>
      <c r="AD419" s="18"/>
      <c r="AE419" s="18"/>
      <c r="AF419" s="18"/>
      <c r="AG419" s="18"/>
      <c r="AH419" s="18"/>
      <c r="AI419" s="18"/>
    </row>
    <row r="420" spans="1:35">
      <c r="A420" s="14">
        <v>418</v>
      </c>
      <c r="B420" s="14">
        <v>591</v>
      </c>
      <c r="C420" s="14" t="s">
        <v>568</v>
      </c>
      <c r="D420" s="14" t="s">
        <v>162</v>
      </c>
      <c r="E420" s="15" t="str">
        <f>"157.65"</f>
        <v>157.65</v>
      </c>
      <c r="F420" s="15"/>
      <c r="G420" s="16" t="str">
        <f>"197.65"</f>
        <v>197.65</v>
      </c>
      <c r="H420" s="17" t="s">
        <v>48</v>
      </c>
      <c r="I420" s="18">
        <v>1</v>
      </c>
      <c r="J420" s="18">
        <v>2016</v>
      </c>
      <c r="K420" s="18" t="str">
        <f>"157.65"</f>
        <v>157.65</v>
      </c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</row>
    <row r="421" spans="1:35">
      <c r="A421" s="14">
        <v>419</v>
      </c>
      <c r="B421" s="14">
        <v>3655</v>
      </c>
      <c r="C421" s="14" t="s">
        <v>569</v>
      </c>
      <c r="D421" s="14" t="s">
        <v>148</v>
      </c>
      <c r="E421" s="15" t="str">
        <f>"111.88"</f>
        <v>111.88</v>
      </c>
      <c r="F421" s="15"/>
      <c r="G421" s="16" t="str">
        <f>"198.91"</f>
        <v>198.91</v>
      </c>
      <c r="H421" s="17"/>
      <c r="I421" s="18">
        <v>3</v>
      </c>
      <c r="J421" s="18">
        <v>2016</v>
      </c>
      <c r="K421" s="18" t="str">
        <f>"111.88"</f>
        <v>111.88</v>
      </c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 t="str">
        <f>"155.52"</f>
        <v>155.52</v>
      </c>
      <c r="W421" s="18"/>
      <c r="X421" s="18"/>
      <c r="Y421" s="18"/>
      <c r="Z421" s="18"/>
      <c r="AA421" s="18" t="str">
        <f>"242.29"</f>
        <v>242.29</v>
      </c>
      <c r="AB421" s="18"/>
      <c r="AC421" s="18"/>
      <c r="AD421" s="18"/>
      <c r="AE421" s="18"/>
      <c r="AF421" s="18"/>
      <c r="AG421" s="18"/>
      <c r="AH421" s="18"/>
      <c r="AI421" s="18"/>
    </row>
    <row r="422" spans="1:35">
      <c r="A422" s="14">
        <v>420</v>
      </c>
      <c r="B422" s="14">
        <v>7702</v>
      </c>
      <c r="C422" s="14" t="s">
        <v>570</v>
      </c>
      <c r="D422" s="14" t="s">
        <v>571</v>
      </c>
      <c r="E422" s="15" t="str">
        <f>"199.05"</f>
        <v>199.05</v>
      </c>
      <c r="F422" s="15"/>
      <c r="G422" s="16" t="str">
        <f>"199.05"</f>
        <v>199.05</v>
      </c>
      <c r="H422" s="17" t="s">
        <v>54</v>
      </c>
      <c r="I422" s="18">
        <v>4</v>
      </c>
      <c r="J422" s="18">
        <v>2016</v>
      </c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 t="str">
        <f>"159.05"</f>
        <v>159.05</v>
      </c>
      <c r="AH422" s="18"/>
      <c r="AI422" s="18"/>
    </row>
    <row r="423" spans="1:35">
      <c r="A423" s="14">
        <v>421</v>
      </c>
      <c r="B423" s="14">
        <v>5487</v>
      </c>
      <c r="C423" s="14" t="s">
        <v>572</v>
      </c>
      <c r="D423" s="14" t="s">
        <v>98</v>
      </c>
      <c r="E423" s="15" t="str">
        <f>"199.09"</f>
        <v>199.09</v>
      </c>
      <c r="F423" s="15"/>
      <c r="G423" s="16" t="str">
        <f>"199.09"</f>
        <v>199.09</v>
      </c>
      <c r="H423" s="17"/>
      <c r="I423" s="18">
        <v>3</v>
      </c>
      <c r="J423" s="18">
        <v>2016</v>
      </c>
      <c r="K423" s="18" t="str">
        <f>"223.47"</f>
        <v>223.47</v>
      </c>
      <c r="L423" s="18"/>
      <c r="M423" s="18"/>
      <c r="N423" s="18"/>
      <c r="O423" s="18"/>
      <c r="P423" s="18"/>
      <c r="Q423" s="18" t="str">
        <f>"174.81"</f>
        <v>174.81</v>
      </c>
      <c r="R423" s="18"/>
      <c r="S423" s="18"/>
      <c r="T423" s="18"/>
      <c r="U423" s="18" t="str">
        <f>"223.36"</f>
        <v>223.36</v>
      </c>
      <c r="V423" s="18"/>
      <c r="W423" s="18"/>
      <c r="X423" s="18"/>
      <c r="Y423" s="18"/>
      <c r="Z423" s="18" t="str">
        <f>"227.99"</f>
        <v>227.99</v>
      </c>
      <c r="AA423" s="18"/>
      <c r="AB423" s="18"/>
      <c r="AC423" s="18"/>
      <c r="AD423" s="18"/>
      <c r="AE423" s="18"/>
      <c r="AF423" s="18"/>
      <c r="AG423" s="18"/>
      <c r="AH423" s="18"/>
      <c r="AI423" s="18"/>
    </row>
    <row r="424" spans="1:35">
      <c r="A424" s="14">
        <v>422</v>
      </c>
      <c r="B424" s="14">
        <v>10382</v>
      </c>
      <c r="C424" s="14" t="s">
        <v>573</v>
      </c>
      <c r="D424" s="14" t="s">
        <v>76</v>
      </c>
      <c r="E424" s="15" t="str">
        <f>"199.20"</f>
        <v>199.20</v>
      </c>
      <c r="F424" s="15"/>
      <c r="G424" s="16" t="str">
        <f>"199.20"</f>
        <v>199.20</v>
      </c>
      <c r="H424" s="17"/>
      <c r="I424" s="18">
        <v>3</v>
      </c>
      <c r="J424" s="18">
        <v>2016</v>
      </c>
      <c r="K424" s="18" t="str">
        <f>"342.26"</f>
        <v>342.26</v>
      </c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 t="str">
        <f>"272.50"</f>
        <v>272.50</v>
      </c>
      <c r="Y424" s="18"/>
      <c r="Z424" s="18"/>
      <c r="AA424" s="18"/>
      <c r="AB424" s="18"/>
      <c r="AC424" s="18" t="str">
        <f>"258.73"</f>
        <v>258.73</v>
      </c>
      <c r="AD424" s="18" t="str">
        <f>"251.00"</f>
        <v>251.00</v>
      </c>
      <c r="AE424" s="18"/>
      <c r="AF424" s="18"/>
      <c r="AG424" s="18" t="str">
        <f>"187.08"</f>
        <v>187.08</v>
      </c>
      <c r="AH424" s="18" t="str">
        <f>"211.32"</f>
        <v>211.32</v>
      </c>
      <c r="AI424" s="18"/>
    </row>
    <row r="425" spans="1:35">
      <c r="A425" s="14">
        <v>423</v>
      </c>
      <c r="B425" s="14">
        <v>5653</v>
      </c>
      <c r="C425" s="14" t="s">
        <v>574</v>
      </c>
      <c r="D425" s="14" t="s">
        <v>86</v>
      </c>
      <c r="E425" s="15" t="str">
        <f>"170.92"</f>
        <v>170.92</v>
      </c>
      <c r="F425" s="15"/>
      <c r="G425" s="16" t="str">
        <f>"199.37"</f>
        <v>199.37</v>
      </c>
      <c r="H425" s="17"/>
      <c r="I425" s="18">
        <v>3</v>
      </c>
      <c r="J425" s="18">
        <v>2016</v>
      </c>
      <c r="K425" s="18" t="str">
        <f>"170.92"</f>
        <v>170.92</v>
      </c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 t="str">
        <f>"194.51"</f>
        <v>194.51</v>
      </c>
      <c r="AF425" s="18"/>
      <c r="AG425" s="18" t="str">
        <f>"204.23"</f>
        <v>204.23</v>
      </c>
      <c r="AH425" s="18"/>
      <c r="AI425" s="18"/>
    </row>
    <row r="426" spans="1:35">
      <c r="A426" s="14">
        <v>424</v>
      </c>
      <c r="B426" s="14">
        <v>2037</v>
      </c>
      <c r="C426" s="14" t="s">
        <v>575</v>
      </c>
      <c r="D426" s="14" t="s">
        <v>354</v>
      </c>
      <c r="E426" s="15" t="str">
        <f>"158.36"</f>
        <v>158.36</v>
      </c>
      <c r="F426" s="15"/>
      <c r="G426" s="16" t="str">
        <f>"199.70"</f>
        <v>199.70</v>
      </c>
      <c r="H426" s="17"/>
      <c r="I426" s="18">
        <v>3</v>
      </c>
      <c r="J426" s="18">
        <v>2016</v>
      </c>
      <c r="K426" s="18" t="str">
        <f>"158.36"</f>
        <v>158.36</v>
      </c>
      <c r="L426" s="18"/>
      <c r="M426" s="18" t="str">
        <f>"202.35"</f>
        <v>202.35</v>
      </c>
      <c r="N426" s="18"/>
      <c r="O426" s="18" t="str">
        <f>"202.28"</f>
        <v>202.28</v>
      </c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 t="str">
        <f>"197.12"</f>
        <v>197.12</v>
      </c>
      <c r="AH426" s="18" t="str">
        <f>"252.38"</f>
        <v>252.38</v>
      </c>
      <c r="AI426" s="18"/>
    </row>
    <row r="427" spans="1:35">
      <c r="A427" s="14">
        <v>425</v>
      </c>
      <c r="B427" s="14">
        <v>4054</v>
      </c>
      <c r="C427" s="14" t="s">
        <v>576</v>
      </c>
      <c r="D427" s="14" t="s">
        <v>184</v>
      </c>
      <c r="E427" s="15" t="str">
        <f>"159.85"</f>
        <v>159.85</v>
      </c>
      <c r="F427" s="15"/>
      <c r="G427" s="16" t="str">
        <f>"199.85"</f>
        <v>199.85</v>
      </c>
      <c r="H427" s="17" t="s">
        <v>48</v>
      </c>
      <c r="I427" s="18">
        <v>1</v>
      </c>
      <c r="J427" s="18">
        <v>2016</v>
      </c>
      <c r="K427" s="18" t="str">
        <f>"159.85"</f>
        <v>159.85</v>
      </c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</row>
    <row r="428" spans="1:35">
      <c r="A428" s="14">
        <v>426</v>
      </c>
      <c r="B428" s="14">
        <v>5911</v>
      </c>
      <c r="C428" s="14" t="s">
        <v>577</v>
      </c>
      <c r="D428" s="14" t="s">
        <v>39</v>
      </c>
      <c r="E428" s="15" t="str">
        <f>"160.92"</f>
        <v>160.92</v>
      </c>
      <c r="F428" s="15"/>
      <c r="G428" s="16" t="str">
        <f>"200.92"</f>
        <v>200.92</v>
      </c>
      <c r="H428" s="17" t="s">
        <v>48</v>
      </c>
      <c r="I428" s="18">
        <v>1</v>
      </c>
      <c r="J428" s="18">
        <v>2016</v>
      </c>
      <c r="K428" s="18" t="str">
        <f>"160.92"</f>
        <v>160.92</v>
      </c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</row>
    <row r="429" spans="1:35">
      <c r="A429" s="14">
        <v>427</v>
      </c>
      <c r="B429" s="14">
        <v>2300</v>
      </c>
      <c r="C429" s="14" t="s">
        <v>578</v>
      </c>
      <c r="D429" s="14" t="s">
        <v>76</v>
      </c>
      <c r="E429" s="15" t="str">
        <f>"200.98"</f>
        <v>200.98</v>
      </c>
      <c r="F429" s="15"/>
      <c r="G429" s="16" t="str">
        <f>"200.98"</f>
        <v>200.98</v>
      </c>
      <c r="H429" s="17"/>
      <c r="I429" s="18">
        <v>3</v>
      </c>
      <c r="J429" s="18">
        <v>2016</v>
      </c>
      <c r="K429" s="18" t="str">
        <f>"386.76"</f>
        <v>386.76</v>
      </c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 t="str">
        <f>"299.93"</f>
        <v>299.93</v>
      </c>
      <c r="Y429" s="18"/>
      <c r="Z429" s="18"/>
      <c r="AA429" s="18"/>
      <c r="AB429" s="18"/>
      <c r="AC429" s="18" t="str">
        <f>"204.47"</f>
        <v>204.47</v>
      </c>
      <c r="AD429" s="18" t="str">
        <f>"197.49"</f>
        <v>197.49</v>
      </c>
      <c r="AE429" s="18"/>
      <c r="AF429" s="18"/>
      <c r="AG429" s="18"/>
      <c r="AH429" s="18"/>
      <c r="AI429" s="18"/>
    </row>
    <row r="430" spans="1:35">
      <c r="A430" s="14">
        <v>428</v>
      </c>
      <c r="B430" s="14">
        <v>5400</v>
      </c>
      <c r="C430" s="14" t="s">
        <v>579</v>
      </c>
      <c r="D430" s="14" t="s">
        <v>580</v>
      </c>
      <c r="E430" s="15" t="str">
        <f>"201.18"</f>
        <v>201.18</v>
      </c>
      <c r="F430" s="15"/>
      <c r="G430" s="16" t="str">
        <f>"201.18"</f>
        <v>201.18</v>
      </c>
      <c r="H430" s="17"/>
      <c r="I430" s="18">
        <v>3</v>
      </c>
      <c r="J430" s="18">
        <v>2016</v>
      </c>
      <c r="K430" s="18" t="str">
        <f>"201.87"</f>
        <v>201.87</v>
      </c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 t="str">
        <f>"200.63"</f>
        <v>200.63</v>
      </c>
      <c r="W430" s="18"/>
      <c r="X430" s="18"/>
      <c r="Y430" s="18"/>
      <c r="Z430" s="18"/>
      <c r="AA430" s="18"/>
      <c r="AB430" s="18" t="str">
        <f>"226.04"</f>
        <v>226.04</v>
      </c>
      <c r="AC430" s="18"/>
      <c r="AD430" s="18"/>
      <c r="AE430" s="18"/>
      <c r="AF430" s="18"/>
      <c r="AG430" s="18" t="str">
        <f>"201.72"</f>
        <v>201.72</v>
      </c>
      <c r="AH430" s="18" t="str">
        <f>"239.81"</f>
        <v>239.81</v>
      </c>
      <c r="AI430" s="18"/>
    </row>
    <row r="431" spans="1:35">
      <c r="A431" s="14">
        <v>429</v>
      </c>
      <c r="B431" s="14">
        <v>10988</v>
      </c>
      <c r="C431" s="14" t="s">
        <v>581</v>
      </c>
      <c r="D431" s="14" t="s">
        <v>114</v>
      </c>
      <c r="E431" s="15" t="str">
        <f>"201.75"</f>
        <v>201.75</v>
      </c>
      <c r="F431" s="15"/>
      <c r="G431" s="16" t="str">
        <f>"201.75"</f>
        <v>201.75</v>
      </c>
      <c r="H431" s="17" t="s">
        <v>54</v>
      </c>
      <c r="I431" s="18">
        <v>4</v>
      </c>
      <c r="J431" s="18">
        <v>2016</v>
      </c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 t="str">
        <f>"161.75"</f>
        <v>161.75</v>
      </c>
      <c r="AI431" s="18"/>
    </row>
    <row r="432" spans="1:35">
      <c r="A432" s="14">
        <v>430</v>
      </c>
      <c r="B432" s="14">
        <v>361</v>
      </c>
      <c r="C432" s="14" t="s">
        <v>582</v>
      </c>
      <c r="D432" s="14" t="s">
        <v>139</v>
      </c>
      <c r="E432" s="15" t="str">
        <f>"167.83"</f>
        <v>167.83</v>
      </c>
      <c r="F432" s="15"/>
      <c r="G432" s="16" t="str">
        <f>"202.22"</f>
        <v>202.22</v>
      </c>
      <c r="H432" s="17" t="s">
        <v>54</v>
      </c>
      <c r="I432" s="18">
        <v>2</v>
      </c>
      <c r="J432" s="18">
        <v>2016</v>
      </c>
      <c r="K432" s="18" t="str">
        <f>"173.44"</f>
        <v>173.44</v>
      </c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 t="str">
        <f>"162.22"</f>
        <v>162.22</v>
      </c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</row>
    <row r="433" spans="1:35">
      <c r="A433" s="14">
        <v>431</v>
      </c>
      <c r="B433" s="14">
        <v>2989</v>
      </c>
      <c r="C433" s="14" t="s">
        <v>583</v>
      </c>
      <c r="D433" s="14" t="s">
        <v>93</v>
      </c>
      <c r="E433" s="15" t="str">
        <f>"162.81"</f>
        <v>162.81</v>
      </c>
      <c r="F433" s="15"/>
      <c r="G433" s="16" t="str">
        <f>"202.81"</f>
        <v>202.81</v>
      </c>
      <c r="H433" s="17" t="s">
        <v>48</v>
      </c>
      <c r="I433" s="18">
        <v>1</v>
      </c>
      <c r="J433" s="18">
        <v>2016</v>
      </c>
      <c r="K433" s="18" t="str">
        <f>"162.81"</f>
        <v>162.81</v>
      </c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</row>
    <row r="434" spans="1:35">
      <c r="A434" s="14">
        <v>432</v>
      </c>
      <c r="B434" s="14">
        <v>10739</v>
      </c>
      <c r="C434" s="14" t="s">
        <v>584</v>
      </c>
      <c r="D434" s="14" t="s">
        <v>98</v>
      </c>
      <c r="E434" s="15" t="str">
        <f>"202.95"</f>
        <v>202.95</v>
      </c>
      <c r="F434" s="15"/>
      <c r="G434" s="16" t="str">
        <f>"202.95"</f>
        <v>202.95</v>
      </c>
      <c r="H434" s="17"/>
      <c r="I434" s="18">
        <v>5</v>
      </c>
      <c r="J434" s="18">
        <v>2016</v>
      </c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 t="str">
        <f>"203.76"</f>
        <v>203.76</v>
      </c>
      <c r="AA434" s="18"/>
      <c r="AB434" s="18"/>
      <c r="AC434" s="18"/>
      <c r="AD434" s="18"/>
      <c r="AE434" s="18"/>
      <c r="AF434" s="18"/>
      <c r="AG434" s="18" t="str">
        <f>"202.13"</f>
        <v>202.13</v>
      </c>
      <c r="AH434" s="18"/>
      <c r="AI434" s="18"/>
    </row>
    <row r="435" spans="1:35">
      <c r="A435" s="14">
        <v>433</v>
      </c>
      <c r="B435" s="14">
        <v>1487</v>
      </c>
      <c r="C435" s="14" t="s">
        <v>585</v>
      </c>
      <c r="D435" s="14" t="s">
        <v>586</v>
      </c>
      <c r="E435" s="15" t="str">
        <f>"203.04"</f>
        <v>203.04</v>
      </c>
      <c r="F435" s="15"/>
      <c r="G435" s="16" t="str">
        <f>"203.04"</f>
        <v>203.04</v>
      </c>
      <c r="H435" s="17" t="s">
        <v>54</v>
      </c>
      <c r="I435" s="18">
        <v>4</v>
      </c>
      <c r="J435" s="18">
        <v>2016</v>
      </c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 t="str">
        <f>"163.04"</f>
        <v>163.04</v>
      </c>
      <c r="AI435" s="18"/>
    </row>
    <row r="436" spans="1:35">
      <c r="A436" s="14">
        <v>434</v>
      </c>
      <c r="B436" s="14">
        <v>10329</v>
      </c>
      <c r="C436" s="14" t="s">
        <v>587</v>
      </c>
      <c r="D436" s="14" t="s">
        <v>98</v>
      </c>
      <c r="E436" s="15" t="str">
        <f>"200.88"</f>
        <v>200.88</v>
      </c>
      <c r="F436" s="15"/>
      <c r="G436" s="16" t="str">
        <f>"203.17"</f>
        <v>203.17</v>
      </c>
      <c r="H436" s="17"/>
      <c r="I436" s="18">
        <v>3</v>
      </c>
      <c r="J436" s="18">
        <v>2016</v>
      </c>
      <c r="K436" s="18" t="str">
        <f>"215.87"</f>
        <v>215.87</v>
      </c>
      <c r="L436" s="18"/>
      <c r="M436" s="18"/>
      <c r="N436" s="18"/>
      <c r="O436" s="18"/>
      <c r="P436" s="18"/>
      <c r="Q436" s="18" t="str">
        <f>"185.88"</f>
        <v>185.88</v>
      </c>
      <c r="R436" s="18"/>
      <c r="S436" s="18"/>
      <c r="T436" s="18"/>
      <c r="U436" s="18" t="str">
        <f>"220.46"</f>
        <v>220.46</v>
      </c>
      <c r="V436" s="18"/>
      <c r="W436" s="18"/>
      <c r="X436" s="18"/>
      <c r="Y436" s="18"/>
      <c r="Z436" s="18" t="str">
        <f>"392.08"</f>
        <v>392.08</v>
      </c>
      <c r="AA436" s="18"/>
      <c r="AB436" s="18"/>
      <c r="AC436" s="18"/>
      <c r="AD436" s="18"/>
      <c r="AE436" s="18"/>
      <c r="AF436" s="18"/>
      <c r="AG436" s="18"/>
      <c r="AH436" s="18"/>
      <c r="AI436" s="18"/>
    </row>
    <row r="437" spans="1:35">
      <c r="A437" s="14">
        <v>435</v>
      </c>
      <c r="B437" s="14">
        <v>7726</v>
      </c>
      <c r="C437" s="14" t="s">
        <v>588</v>
      </c>
      <c r="D437" s="14" t="s">
        <v>186</v>
      </c>
      <c r="E437" s="15" t="str">
        <f>"129.76"</f>
        <v>129.76</v>
      </c>
      <c r="F437" s="15"/>
      <c r="G437" s="16" t="str">
        <f>"203.20"</f>
        <v>203.20</v>
      </c>
      <c r="H437" s="17" t="s">
        <v>54</v>
      </c>
      <c r="I437" s="18">
        <v>2</v>
      </c>
      <c r="J437" s="18">
        <v>2016</v>
      </c>
      <c r="K437" s="18" t="str">
        <f>"129.76"</f>
        <v>129.76</v>
      </c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 t="str">
        <f>"163.20"</f>
        <v>163.20</v>
      </c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</row>
    <row r="438" spans="1:35">
      <c r="A438" s="14">
        <v>436</v>
      </c>
      <c r="B438" s="14">
        <v>5381</v>
      </c>
      <c r="C438" s="14" t="s">
        <v>589</v>
      </c>
      <c r="D438" s="14" t="s">
        <v>590</v>
      </c>
      <c r="E438" s="15" t="str">
        <f>"203.63"</f>
        <v>203.63</v>
      </c>
      <c r="F438" s="15"/>
      <c r="G438" s="16" t="str">
        <f>"203.63"</f>
        <v>203.63</v>
      </c>
      <c r="H438" s="17"/>
      <c r="I438" s="18">
        <v>3</v>
      </c>
      <c r="J438" s="18">
        <v>2016</v>
      </c>
      <c r="K438" s="18" t="str">
        <f>"249.22"</f>
        <v>249.22</v>
      </c>
      <c r="L438" s="18"/>
      <c r="M438" s="18"/>
      <c r="N438" s="18"/>
      <c r="O438" s="18"/>
      <c r="P438" s="18" t="str">
        <f>"227.87"</f>
        <v>227.87</v>
      </c>
      <c r="Q438" s="18"/>
      <c r="R438" s="18" t="str">
        <f>"179.39"</f>
        <v>179.39</v>
      </c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</row>
    <row r="439" spans="1:35">
      <c r="A439" s="14">
        <v>437</v>
      </c>
      <c r="B439" s="14">
        <v>5335</v>
      </c>
      <c r="C439" s="14" t="s">
        <v>591</v>
      </c>
      <c r="D439" s="14" t="s">
        <v>532</v>
      </c>
      <c r="E439" s="15" t="str">
        <f>"162.86"</f>
        <v>162.86</v>
      </c>
      <c r="F439" s="15"/>
      <c r="G439" s="16" t="str">
        <f>"203.68"</f>
        <v>203.68</v>
      </c>
      <c r="H439" s="17"/>
      <c r="I439" s="18">
        <v>3</v>
      </c>
      <c r="J439" s="18">
        <v>2016</v>
      </c>
      <c r="K439" s="18" t="str">
        <f>"162.86"</f>
        <v>162.86</v>
      </c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 t="str">
        <f>"195.62"</f>
        <v>195.62</v>
      </c>
      <c r="AF439" s="18" t="str">
        <f>"211.74"</f>
        <v>211.74</v>
      </c>
      <c r="AG439" s="18"/>
      <c r="AH439" s="18"/>
      <c r="AI439" s="18"/>
    </row>
    <row r="440" spans="1:35">
      <c r="A440" s="14">
        <v>438</v>
      </c>
      <c r="B440" s="14">
        <v>1876</v>
      </c>
      <c r="C440" s="14" t="s">
        <v>592</v>
      </c>
      <c r="D440" s="14" t="s">
        <v>76</v>
      </c>
      <c r="E440" s="15" t="str">
        <f>"197.13"</f>
        <v>197.13</v>
      </c>
      <c r="F440" s="15"/>
      <c r="G440" s="16" t="str">
        <f>"204.14"</f>
        <v>204.14</v>
      </c>
      <c r="H440" s="17"/>
      <c r="I440" s="18">
        <v>3</v>
      </c>
      <c r="J440" s="18">
        <v>2016</v>
      </c>
      <c r="K440" s="18" t="str">
        <f>"198.39"</f>
        <v>198.39</v>
      </c>
      <c r="L440" s="18" t="str">
        <f>"289.24"</f>
        <v>289.24</v>
      </c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 t="str">
        <f>"212.41"</f>
        <v>212.41</v>
      </c>
      <c r="Z440" s="18"/>
      <c r="AA440" s="18"/>
      <c r="AB440" s="18"/>
      <c r="AC440" s="18"/>
      <c r="AD440" s="18" t="str">
        <f>"195.86"</f>
        <v>195.86</v>
      </c>
      <c r="AE440" s="18"/>
      <c r="AF440" s="18"/>
      <c r="AG440" s="18"/>
      <c r="AH440" s="18"/>
      <c r="AI440" s="18"/>
    </row>
    <row r="441" spans="1:35">
      <c r="A441" s="14">
        <v>439</v>
      </c>
      <c r="B441" s="14">
        <v>4055</v>
      </c>
      <c r="C441" s="14" t="s">
        <v>593</v>
      </c>
      <c r="D441" s="14" t="s">
        <v>594</v>
      </c>
      <c r="E441" s="15" t="str">
        <f>"164.58"</f>
        <v>164.58</v>
      </c>
      <c r="F441" s="15"/>
      <c r="G441" s="16" t="str">
        <f>"204.58"</f>
        <v>204.58</v>
      </c>
      <c r="H441" s="17" t="s">
        <v>48</v>
      </c>
      <c r="I441" s="18">
        <v>1</v>
      </c>
      <c r="J441" s="18">
        <v>2016</v>
      </c>
      <c r="K441" s="18" t="str">
        <f>"164.58"</f>
        <v>164.58</v>
      </c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</row>
    <row r="442" spans="1:35">
      <c r="A442" s="14">
        <v>440</v>
      </c>
      <c r="B442" s="14">
        <v>9969</v>
      </c>
      <c r="C442" s="14" t="s">
        <v>595</v>
      </c>
      <c r="D442" s="14" t="s">
        <v>76</v>
      </c>
      <c r="E442" s="15" t="str">
        <f>"184.61"</f>
        <v>184.61</v>
      </c>
      <c r="F442" s="15"/>
      <c r="G442" s="16">
        <v>204.61</v>
      </c>
      <c r="H442" s="17" t="s">
        <v>78</v>
      </c>
      <c r="I442" s="18">
        <v>1</v>
      </c>
      <c r="J442" s="18">
        <v>2016</v>
      </c>
      <c r="K442" s="18" t="str">
        <f>"184.61"</f>
        <v>184.61</v>
      </c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</row>
    <row r="443" spans="1:35">
      <c r="A443" s="14">
        <v>441</v>
      </c>
      <c r="B443" s="14">
        <v>8461</v>
      </c>
      <c r="C443" s="14" t="s">
        <v>596</v>
      </c>
      <c r="D443" s="14" t="s">
        <v>76</v>
      </c>
      <c r="E443" s="15" t="str">
        <f>"176.74"</f>
        <v>176.74</v>
      </c>
      <c r="F443" s="15"/>
      <c r="G443" s="16" t="str">
        <f>"205.63"</f>
        <v>205.63</v>
      </c>
      <c r="H443" s="17"/>
      <c r="I443" s="18">
        <v>3</v>
      </c>
      <c r="J443" s="18">
        <v>2016</v>
      </c>
      <c r="K443" s="18" t="str">
        <f>"176.74"</f>
        <v>176.74</v>
      </c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 t="str">
        <f>"213.01"</f>
        <v>213.01</v>
      </c>
      <c r="Z443" s="18"/>
      <c r="AA443" s="18"/>
      <c r="AB443" s="18"/>
      <c r="AC443" s="18"/>
      <c r="AD443" s="18" t="str">
        <f>"198.25"</f>
        <v>198.25</v>
      </c>
      <c r="AE443" s="18"/>
      <c r="AF443" s="18"/>
      <c r="AG443" s="18"/>
      <c r="AH443" s="18"/>
      <c r="AI443" s="18"/>
    </row>
    <row r="444" spans="1:35">
      <c r="A444" s="14">
        <v>442</v>
      </c>
      <c r="B444" s="14">
        <v>2335</v>
      </c>
      <c r="C444" s="14" t="s">
        <v>597</v>
      </c>
      <c r="D444" s="14" t="s">
        <v>442</v>
      </c>
      <c r="E444" s="15" t="str">
        <f>"125.52"</f>
        <v>125.52</v>
      </c>
      <c r="F444" s="15"/>
      <c r="G444" s="16" t="str">
        <f>"205.87"</f>
        <v>205.87</v>
      </c>
      <c r="H444" s="17" t="s">
        <v>54</v>
      </c>
      <c r="I444" s="18">
        <v>2</v>
      </c>
      <c r="J444" s="18">
        <v>2016</v>
      </c>
      <c r="K444" s="18" t="str">
        <f>"125.52"</f>
        <v>125.52</v>
      </c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 t="str">
        <f>"165.87"</f>
        <v>165.87</v>
      </c>
      <c r="AC444" s="18"/>
      <c r="AD444" s="18"/>
      <c r="AE444" s="18"/>
      <c r="AF444" s="18"/>
      <c r="AG444" s="18"/>
      <c r="AH444" s="18"/>
      <c r="AI444" s="18"/>
    </row>
    <row r="445" spans="1:35">
      <c r="A445" s="14">
        <v>443</v>
      </c>
      <c r="B445" s="14">
        <v>10005</v>
      </c>
      <c r="C445" s="14" t="s">
        <v>598</v>
      </c>
      <c r="D445" s="14" t="s">
        <v>76</v>
      </c>
      <c r="E445" s="15" t="str">
        <f>"181.44"</f>
        <v>181.44</v>
      </c>
      <c r="F445" s="15"/>
      <c r="G445" s="16" t="str">
        <f>"206.17"</f>
        <v>206.17</v>
      </c>
      <c r="H445" s="17" t="s">
        <v>54</v>
      </c>
      <c r="I445" s="18">
        <v>2</v>
      </c>
      <c r="J445" s="18">
        <v>2016</v>
      </c>
      <c r="K445" s="18" t="str">
        <f>"196.71"</f>
        <v>196.71</v>
      </c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 t="str">
        <f>"166.17"</f>
        <v>166.17</v>
      </c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</row>
    <row r="446" spans="1:35">
      <c r="A446" s="14">
        <v>444</v>
      </c>
      <c r="B446" s="14">
        <v>550</v>
      </c>
      <c r="C446" s="14" t="s">
        <v>599</v>
      </c>
      <c r="D446" s="14" t="s">
        <v>289</v>
      </c>
      <c r="E446" s="15" t="str">
        <f>"166.23"</f>
        <v>166.23</v>
      </c>
      <c r="F446" s="15"/>
      <c r="G446" s="16" t="str">
        <f>"206.23"</f>
        <v>206.23</v>
      </c>
      <c r="H446" s="17" t="s">
        <v>48</v>
      </c>
      <c r="I446" s="18">
        <v>1</v>
      </c>
      <c r="J446" s="18">
        <v>2016</v>
      </c>
      <c r="K446" s="18" t="str">
        <f>"166.23"</f>
        <v>166.23</v>
      </c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</row>
    <row r="447" spans="1:35">
      <c r="A447" s="14">
        <v>445</v>
      </c>
      <c r="B447" s="14">
        <v>3910</v>
      </c>
      <c r="C447" s="14" t="s">
        <v>600</v>
      </c>
      <c r="D447" s="14" t="s">
        <v>410</v>
      </c>
      <c r="E447" s="15" t="str">
        <f>"166.36"</f>
        <v>166.36</v>
      </c>
      <c r="F447" s="15"/>
      <c r="G447" s="16" t="str">
        <f>"206.36"</f>
        <v>206.36</v>
      </c>
      <c r="H447" s="17" t="s">
        <v>48</v>
      </c>
      <c r="I447" s="18">
        <v>1</v>
      </c>
      <c r="J447" s="18">
        <v>2016</v>
      </c>
      <c r="K447" s="18" t="str">
        <f>"166.36"</f>
        <v>166.36</v>
      </c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</row>
    <row r="448" spans="1:35">
      <c r="A448" s="14">
        <v>446</v>
      </c>
      <c r="B448" s="14">
        <v>2543</v>
      </c>
      <c r="C448" s="14" t="s">
        <v>601</v>
      </c>
      <c r="D448" s="14" t="s">
        <v>225</v>
      </c>
      <c r="E448" s="15" t="str">
        <f>"190.12"</f>
        <v>190.12</v>
      </c>
      <c r="F448" s="15"/>
      <c r="G448" s="16" t="str">
        <f>"206.41"</f>
        <v>206.41</v>
      </c>
      <c r="H448" s="17" t="s">
        <v>54</v>
      </c>
      <c r="I448" s="18">
        <v>2</v>
      </c>
      <c r="J448" s="18">
        <v>2016</v>
      </c>
      <c r="K448" s="18" t="str">
        <f>"213.82"</f>
        <v>213.82</v>
      </c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 t="str">
        <f>"166.41"</f>
        <v>166.41</v>
      </c>
      <c r="AC448" s="18"/>
      <c r="AD448" s="18"/>
      <c r="AE448" s="18"/>
      <c r="AF448" s="18"/>
      <c r="AG448" s="18"/>
      <c r="AH448" s="18"/>
      <c r="AI448" s="18"/>
    </row>
    <row r="449" spans="1:35">
      <c r="A449" s="14">
        <v>447</v>
      </c>
      <c r="B449" s="14">
        <v>4092</v>
      </c>
      <c r="C449" s="14" t="s">
        <v>602</v>
      </c>
      <c r="D449" s="14" t="s">
        <v>248</v>
      </c>
      <c r="E449" s="15" t="str">
        <f>"94.16"</f>
        <v>94.16</v>
      </c>
      <c r="F449" s="15"/>
      <c r="G449" s="16" t="str">
        <f>"206.86"</f>
        <v>206.86</v>
      </c>
      <c r="H449" s="17" t="s">
        <v>54</v>
      </c>
      <c r="I449" s="18">
        <v>2</v>
      </c>
      <c r="J449" s="18">
        <v>2016</v>
      </c>
      <c r="K449" s="18" t="str">
        <f>"94.16"</f>
        <v>94.16</v>
      </c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 t="str">
        <f>"166.86"</f>
        <v>166.86</v>
      </c>
      <c r="AB449" s="18"/>
      <c r="AC449" s="18"/>
      <c r="AD449" s="18"/>
      <c r="AE449" s="18"/>
      <c r="AF449" s="18"/>
      <c r="AG449" s="18"/>
      <c r="AH449" s="18"/>
      <c r="AI449" s="18"/>
    </row>
    <row r="450" spans="1:35">
      <c r="A450" s="14">
        <v>448</v>
      </c>
      <c r="B450" s="14">
        <v>1413</v>
      </c>
      <c r="C450" s="14" t="s">
        <v>603</v>
      </c>
      <c r="D450" s="14" t="s">
        <v>39</v>
      </c>
      <c r="E450" s="15" t="str">
        <f>"167.08"</f>
        <v>167.08</v>
      </c>
      <c r="F450" s="15"/>
      <c r="G450" s="16" t="str">
        <f>"207.08"</f>
        <v>207.08</v>
      </c>
      <c r="H450" s="17" t="s">
        <v>48</v>
      </c>
      <c r="I450" s="18">
        <v>1</v>
      </c>
      <c r="J450" s="18">
        <v>2016</v>
      </c>
      <c r="K450" s="18" t="str">
        <f>"167.08"</f>
        <v>167.08</v>
      </c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</row>
    <row r="451" spans="1:35">
      <c r="A451" s="14">
        <v>449</v>
      </c>
      <c r="B451" s="14">
        <v>1664</v>
      </c>
      <c r="C451" s="14" t="s">
        <v>604</v>
      </c>
      <c r="D451" s="14" t="s">
        <v>184</v>
      </c>
      <c r="E451" s="15" t="str">
        <f>"167.26"</f>
        <v>167.26</v>
      </c>
      <c r="F451" s="15"/>
      <c r="G451" s="16" t="str">
        <f>"207.26"</f>
        <v>207.26</v>
      </c>
      <c r="H451" s="17" t="s">
        <v>48</v>
      </c>
      <c r="I451" s="18">
        <v>1</v>
      </c>
      <c r="J451" s="18">
        <v>2016</v>
      </c>
      <c r="K451" s="18" t="str">
        <f>"167.26"</f>
        <v>167.26</v>
      </c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</row>
    <row r="452" spans="1:35">
      <c r="A452" s="14">
        <v>450</v>
      </c>
      <c r="B452" s="14">
        <v>7104</v>
      </c>
      <c r="C452" s="14" t="s">
        <v>605</v>
      </c>
      <c r="D452" s="14" t="s">
        <v>186</v>
      </c>
      <c r="E452" s="15" t="str">
        <f>"167.63"</f>
        <v>167.63</v>
      </c>
      <c r="F452" s="15"/>
      <c r="G452" s="16" t="str">
        <f>"207.63"</f>
        <v>207.63</v>
      </c>
      <c r="H452" s="17" t="s">
        <v>48</v>
      </c>
      <c r="I452" s="18">
        <v>1</v>
      </c>
      <c r="J452" s="18">
        <v>2016</v>
      </c>
      <c r="K452" s="18" t="str">
        <f>"167.63"</f>
        <v>167.63</v>
      </c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</row>
    <row r="453" spans="1:35">
      <c r="A453" s="14">
        <v>451</v>
      </c>
      <c r="B453" s="14">
        <v>10069</v>
      </c>
      <c r="C453" s="14" t="s">
        <v>606</v>
      </c>
      <c r="D453" s="14" t="s">
        <v>76</v>
      </c>
      <c r="E453" s="15" t="str">
        <f>"208.00"</f>
        <v>208.00</v>
      </c>
      <c r="F453" s="15"/>
      <c r="G453" s="16" t="str">
        <f>"208.00"</f>
        <v>208.00</v>
      </c>
      <c r="H453" s="17"/>
      <c r="I453" s="18">
        <v>3</v>
      </c>
      <c r="J453" s="18">
        <v>2016</v>
      </c>
      <c r="K453" s="18" t="str">
        <f>"264.46"</f>
        <v>264.46</v>
      </c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 t="str">
        <f>"305.20"</f>
        <v>305.20</v>
      </c>
      <c r="Y453" s="18" t="str">
        <f>"304.88"</f>
        <v>304.88</v>
      </c>
      <c r="Z453" s="18"/>
      <c r="AA453" s="18"/>
      <c r="AB453" s="18"/>
      <c r="AC453" s="18" t="str">
        <f>"220.13"</f>
        <v>220.13</v>
      </c>
      <c r="AD453" s="18" t="str">
        <f>"195.86"</f>
        <v>195.86</v>
      </c>
      <c r="AE453" s="18"/>
      <c r="AF453" s="18"/>
      <c r="AG453" s="18"/>
      <c r="AH453" s="18"/>
      <c r="AI453" s="18"/>
    </row>
    <row r="454" spans="1:35">
      <c r="A454" s="14">
        <v>452</v>
      </c>
      <c r="B454" s="14">
        <v>8504</v>
      </c>
      <c r="C454" s="14" t="s">
        <v>607</v>
      </c>
      <c r="D454" s="14" t="s">
        <v>76</v>
      </c>
      <c r="E454" s="15" t="str">
        <f>"208.32"</f>
        <v>208.32</v>
      </c>
      <c r="F454" s="15"/>
      <c r="G454" s="16" t="str">
        <f>"208.32"</f>
        <v>208.32</v>
      </c>
      <c r="H454" s="17"/>
      <c r="I454" s="18">
        <v>3</v>
      </c>
      <c r="J454" s="18">
        <v>2016</v>
      </c>
      <c r="K454" s="18" t="str">
        <f>"254.05"</f>
        <v>254.05</v>
      </c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 t="str">
        <f>"251.42"</f>
        <v>251.42</v>
      </c>
      <c r="Y454" s="18" t="str">
        <f>"243.16"</f>
        <v>243.16</v>
      </c>
      <c r="Z454" s="18"/>
      <c r="AA454" s="18"/>
      <c r="AB454" s="18"/>
      <c r="AC454" s="18" t="str">
        <f>"173.48"</f>
        <v>173.48</v>
      </c>
      <c r="AD454" s="18" t="str">
        <f>"257.08"</f>
        <v>257.08</v>
      </c>
      <c r="AE454" s="18"/>
      <c r="AF454" s="18"/>
      <c r="AG454" s="18"/>
      <c r="AH454" s="18"/>
      <c r="AI454" s="18"/>
    </row>
    <row r="455" spans="1:35">
      <c r="A455" s="14">
        <v>453</v>
      </c>
      <c r="B455" s="14">
        <v>4885</v>
      </c>
      <c r="C455" s="14" t="s">
        <v>608</v>
      </c>
      <c r="D455" s="14" t="s">
        <v>148</v>
      </c>
      <c r="E455" s="15" t="str">
        <f>"186.19"</f>
        <v>186.19</v>
      </c>
      <c r="F455" s="15"/>
      <c r="G455" s="16" t="str">
        <f>"208.41"</f>
        <v>208.41</v>
      </c>
      <c r="H455" s="17" t="s">
        <v>54</v>
      </c>
      <c r="I455" s="18">
        <v>2</v>
      </c>
      <c r="J455" s="18">
        <v>2016</v>
      </c>
      <c r="K455" s="18" t="str">
        <f>"203.97"</f>
        <v>203.97</v>
      </c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 t="str">
        <f>"168.41"</f>
        <v>168.41</v>
      </c>
      <c r="AI455" s="18"/>
    </row>
    <row r="456" spans="1:35">
      <c r="A456" s="14">
        <v>454</v>
      </c>
      <c r="B456" s="14">
        <v>2769</v>
      </c>
      <c r="C456" s="14" t="s">
        <v>609</v>
      </c>
      <c r="D456" s="14" t="s">
        <v>84</v>
      </c>
      <c r="E456" s="15" t="str">
        <f>"184.92"</f>
        <v>184.92</v>
      </c>
      <c r="F456" s="15"/>
      <c r="G456" s="16" t="str">
        <f>"208.77"</f>
        <v>208.77</v>
      </c>
      <c r="H456" s="17"/>
      <c r="I456" s="18">
        <v>3</v>
      </c>
      <c r="J456" s="18">
        <v>2016</v>
      </c>
      <c r="K456" s="18" t="str">
        <f>"188.52"</f>
        <v>188.52</v>
      </c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 t="str">
        <f>"181.31"</f>
        <v>181.31</v>
      </c>
      <c r="X456" s="18"/>
      <c r="Y456" s="18"/>
      <c r="Z456" s="18"/>
      <c r="AA456" s="18"/>
      <c r="AB456" s="18"/>
      <c r="AC456" s="18"/>
      <c r="AD456" s="18"/>
      <c r="AE456" s="18"/>
      <c r="AF456" s="18"/>
      <c r="AG456" s="18" t="str">
        <f>"236.22"</f>
        <v>236.22</v>
      </c>
      <c r="AH456" s="18"/>
      <c r="AI456" s="18"/>
    </row>
    <row r="457" spans="1:35">
      <c r="A457" s="14">
        <v>455</v>
      </c>
      <c r="B457" s="14">
        <v>341</v>
      </c>
      <c r="C457" s="14" t="s">
        <v>610</v>
      </c>
      <c r="D457" s="14" t="s">
        <v>305</v>
      </c>
      <c r="E457" s="15" t="str">
        <f>"149.38"</f>
        <v>149.38</v>
      </c>
      <c r="F457" s="15"/>
      <c r="G457" s="16" t="str">
        <f>"209.18"</f>
        <v>209.18</v>
      </c>
      <c r="H457" s="17" t="s">
        <v>54</v>
      </c>
      <c r="I457" s="18">
        <v>2</v>
      </c>
      <c r="J457" s="18">
        <v>2016</v>
      </c>
      <c r="K457" s="18" t="str">
        <f>"149.38"</f>
        <v>149.38</v>
      </c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 t="str">
        <f>"169.18"</f>
        <v>169.18</v>
      </c>
      <c r="AF457" s="18"/>
      <c r="AG457" s="18"/>
      <c r="AH457" s="18"/>
      <c r="AI457" s="18"/>
    </row>
    <row r="458" spans="1:35">
      <c r="A458" s="14">
        <v>456</v>
      </c>
      <c r="B458" s="14">
        <v>3023</v>
      </c>
      <c r="C458" s="14" t="s">
        <v>611</v>
      </c>
      <c r="D458" s="14" t="s">
        <v>442</v>
      </c>
      <c r="E458" s="15" t="str">
        <f>"169.25"</f>
        <v>169.25</v>
      </c>
      <c r="F458" s="15"/>
      <c r="G458" s="16" t="str">
        <f>"209.25"</f>
        <v>209.25</v>
      </c>
      <c r="H458" s="17" t="s">
        <v>48</v>
      </c>
      <c r="I458" s="18">
        <v>1</v>
      </c>
      <c r="J458" s="18">
        <v>2016</v>
      </c>
      <c r="K458" s="18" t="str">
        <f>"169.25"</f>
        <v>169.25</v>
      </c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</row>
    <row r="459" spans="1:35">
      <c r="A459" s="14">
        <v>457</v>
      </c>
      <c r="B459" s="14">
        <v>6129</v>
      </c>
      <c r="C459" s="14" t="s">
        <v>612</v>
      </c>
      <c r="D459" s="14" t="s">
        <v>86</v>
      </c>
      <c r="E459" s="15" t="str">
        <f>"163.38"</f>
        <v>163.38</v>
      </c>
      <c r="F459" s="15"/>
      <c r="G459" s="16" t="str">
        <f>"209.33"</f>
        <v>209.33</v>
      </c>
      <c r="H459" s="17"/>
      <c r="I459" s="18">
        <v>3</v>
      </c>
      <c r="J459" s="18">
        <v>2016</v>
      </c>
      <c r="K459" s="18" t="str">
        <f>"163.38"</f>
        <v>163.38</v>
      </c>
      <c r="L459" s="18"/>
      <c r="M459" s="18" t="str">
        <f>"213.01"</f>
        <v>213.01</v>
      </c>
      <c r="N459" s="18"/>
      <c r="O459" s="18" t="str">
        <f>"205.65"</f>
        <v>205.65</v>
      </c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 t="str">
        <f>"281.87"</f>
        <v>281.87</v>
      </c>
      <c r="AB459" s="18"/>
      <c r="AC459" s="18"/>
      <c r="AD459" s="18"/>
      <c r="AE459" s="18"/>
      <c r="AF459" s="18"/>
      <c r="AG459" s="18"/>
      <c r="AH459" s="18"/>
      <c r="AI459" s="18"/>
    </row>
    <row r="460" spans="1:35">
      <c r="A460" s="14">
        <v>458</v>
      </c>
      <c r="B460" s="14">
        <v>3195</v>
      </c>
      <c r="C460" s="14" t="s">
        <v>613</v>
      </c>
      <c r="D460" s="14" t="s">
        <v>198</v>
      </c>
      <c r="E460" s="15" t="str">
        <f>"169.90"</f>
        <v>169.90</v>
      </c>
      <c r="F460" s="15"/>
      <c r="G460" s="16" t="str">
        <f>"209.90"</f>
        <v>209.90</v>
      </c>
      <c r="H460" s="17" t="s">
        <v>48</v>
      </c>
      <c r="I460" s="18">
        <v>1</v>
      </c>
      <c r="J460" s="18">
        <v>2016</v>
      </c>
      <c r="K460" s="18" t="str">
        <f>"169.90"</f>
        <v>169.90</v>
      </c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</row>
    <row r="461" spans="1:35">
      <c r="A461" s="14">
        <v>459</v>
      </c>
      <c r="B461" s="14">
        <v>1970</v>
      </c>
      <c r="C461" s="14" t="s">
        <v>614</v>
      </c>
      <c r="D461" s="14" t="s">
        <v>107</v>
      </c>
      <c r="E461" s="15" t="str">
        <f>"183.65"</f>
        <v>183.65</v>
      </c>
      <c r="F461" s="15"/>
      <c r="G461" s="16" t="str">
        <f>"209.93"</f>
        <v>209.93</v>
      </c>
      <c r="H461" s="17" t="s">
        <v>54</v>
      </c>
      <c r="I461" s="18">
        <v>2</v>
      </c>
      <c r="J461" s="18">
        <v>2016</v>
      </c>
      <c r="K461" s="18" t="str">
        <f>"197.36"</f>
        <v>197.36</v>
      </c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 t="str">
        <f>"169.93"</f>
        <v>169.93</v>
      </c>
      <c r="AH461" s="18"/>
      <c r="AI461" s="18"/>
    </row>
    <row r="462" spans="1:35">
      <c r="A462" s="14">
        <v>460</v>
      </c>
      <c r="B462" s="14">
        <v>2897</v>
      </c>
      <c r="C462" s="14" t="s">
        <v>615</v>
      </c>
      <c r="D462" s="14" t="s">
        <v>210</v>
      </c>
      <c r="E462" s="15" t="str">
        <f>"170.01"</f>
        <v>170.01</v>
      </c>
      <c r="F462" s="15"/>
      <c r="G462" s="16" t="str">
        <f>"210.01"</f>
        <v>210.01</v>
      </c>
      <c r="H462" s="17" t="s">
        <v>48</v>
      </c>
      <c r="I462" s="18">
        <v>1</v>
      </c>
      <c r="J462" s="18">
        <v>2016</v>
      </c>
      <c r="K462" s="18" t="str">
        <f>"170.01"</f>
        <v>170.01</v>
      </c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</row>
    <row r="463" spans="1:35">
      <c r="A463" s="14">
        <v>461</v>
      </c>
      <c r="B463" s="14">
        <v>4219</v>
      </c>
      <c r="C463" s="14" t="s">
        <v>616</v>
      </c>
      <c r="D463" s="14" t="s">
        <v>242</v>
      </c>
      <c r="E463" s="15" t="str">
        <f>"210.26"</f>
        <v>210.26</v>
      </c>
      <c r="F463" s="15"/>
      <c r="G463" s="16" t="str">
        <f>"210.26"</f>
        <v>210.26</v>
      </c>
      <c r="H463" s="17" t="s">
        <v>54</v>
      </c>
      <c r="I463" s="18">
        <v>4</v>
      </c>
      <c r="J463" s="18">
        <v>2016</v>
      </c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 t="str">
        <f>"170.26"</f>
        <v>170.26</v>
      </c>
      <c r="AI463" s="18"/>
    </row>
    <row r="464" spans="1:35">
      <c r="A464" s="14">
        <v>462</v>
      </c>
      <c r="B464" s="14">
        <v>9648</v>
      </c>
      <c r="C464" s="14" t="s">
        <v>617</v>
      </c>
      <c r="D464" s="14" t="s">
        <v>86</v>
      </c>
      <c r="E464" s="15" t="str">
        <f>"187.35"</f>
        <v>187.35</v>
      </c>
      <c r="F464" s="15"/>
      <c r="G464" s="16" t="str">
        <f>"210.30"</f>
        <v>210.30</v>
      </c>
      <c r="H464" s="17"/>
      <c r="I464" s="18">
        <v>3</v>
      </c>
      <c r="J464" s="18">
        <v>2016</v>
      </c>
      <c r="K464" s="18" t="str">
        <f>"187.35"</f>
        <v>187.35</v>
      </c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 t="str">
        <f>"188.83"</f>
        <v>188.83</v>
      </c>
      <c r="AF464" s="18" t="str">
        <f>"231.77"</f>
        <v>231.77</v>
      </c>
      <c r="AG464" s="18"/>
      <c r="AH464" s="18"/>
      <c r="AI464" s="18"/>
    </row>
    <row r="465" spans="1:35">
      <c r="A465" s="14">
        <v>463</v>
      </c>
      <c r="B465" s="14">
        <v>1208</v>
      </c>
      <c r="C465" s="14" t="s">
        <v>618</v>
      </c>
      <c r="D465" s="14" t="s">
        <v>395</v>
      </c>
      <c r="E465" s="15" t="str">
        <f>"184.09"</f>
        <v>184.09</v>
      </c>
      <c r="F465" s="15"/>
      <c r="G465" s="16" t="str">
        <f>"210.49"</f>
        <v>210.49</v>
      </c>
      <c r="H465" s="17" t="s">
        <v>54</v>
      </c>
      <c r="I465" s="18">
        <v>2</v>
      </c>
      <c r="J465" s="18">
        <v>2016</v>
      </c>
      <c r="K465" s="18" t="str">
        <f>"197.69"</f>
        <v>197.69</v>
      </c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 t="str">
        <f>"170.49"</f>
        <v>170.49</v>
      </c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</row>
    <row r="466" spans="1:35">
      <c r="A466" s="14">
        <v>464</v>
      </c>
      <c r="B466" s="14">
        <v>3010</v>
      </c>
      <c r="C466" s="14" t="s">
        <v>619</v>
      </c>
      <c r="D466" s="14" t="s">
        <v>240</v>
      </c>
      <c r="E466" s="15" t="str">
        <f>"210.65"</f>
        <v>210.65</v>
      </c>
      <c r="F466" s="15"/>
      <c r="G466" s="16" t="str">
        <f>"210.65"</f>
        <v>210.65</v>
      </c>
      <c r="H466" s="17"/>
      <c r="I466" s="18">
        <v>3</v>
      </c>
      <c r="J466" s="18">
        <v>2016</v>
      </c>
      <c r="K466" s="18" t="str">
        <f>"255.31"</f>
        <v>255.31</v>
      </c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 t="str">
        <f>"182.10"</f>
        <v>182.10</v>
      </c>
      <c r="X466" s="18"/>
      <c r="Y466" s="18"/>
      <c r="Z466" s="18"/>
      <c r="AA466" s="18"/>
      <c r="AB466" s="18" t="str">
        <f>"239.19"</f>
        <v>239.19</v>
      </c>
      <c r="AC466" s="18"/>
      <c r="AD466" s="18"/>
      <c r="AE466" s="18"/>
      <c r="AF466" s="18"/>
      <c r="AG466" s="18"/>
      <c r="AH466" s="18"/>
      <c r="AI466" s="18"/>
    </row>
    <row r="467" spans="1:35">
      <c r="A467" s="14">
        <v>465</v>
      </c>
      <c r="B467" s="14">
        <v>1243</v>
      </c>
      <c r="C467" s="14" t="s">
        <v>620</v>
      </c>
      <c r="D467" s="14" t="s">
        <v>410</v>
      </c>
      <c r="E467" s="15" t="str">
        <f>"170.77"</f>
        <v>170.77</v>
      </c>
      <c r="F467" s="15"/>
      <c r="G467" s="16" t="str">
        <f>"210.77"</f>
        <v>210.77</v>
      </c>
      <c r="H467" s="17" t="s">
        <v>48</v>
      </c>
      <c r="I467" s="18">
        <v>1</v>
      </c>
      <c r="J467" s="18">
        <v>2016</v>
      </c>
      <c r="K467" s="18" t="str">
        <f>"170.77"</f>
        <v>170.77</v>
      </c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</row>
    <row r="468" spans="1:35">
      <c r="A468" s="14">
        <v>466</v>
      </c>
      <c r="B468" s="14">
        <v>3384</v>
      </c>
      <c r="C468" s="14" t="s">
        <v>621</v>
      </c>
      <c r="D468" s="14" t="s">
        <v>93</v>
      </c>
      <c r="E468" s="15" t="str">
        <f>"170.88"</f>
        <v>170.88</v>
      </c>
      <c r="F468" s="15"/>
      <c r="G468" s="16" t="str">
        <f>"210.88"</f>
        <v>210.88</v>
      </c>
      <c r="H468" s="17" t="s">
        <v>48</v>
      </c>
      <c r="I468" s="18">
        <v>1</v>
      </c>
      <c r="J468" s="18">
        <v>2016</v>
      </c>
      <c r="K468" s="18" t="str">
        <f>"170.88"</f>
        <v>170.88</v>
      </c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</row>
    <row r="469" spans="1:35">
      <c r="A469" s="14">
        <v>467</v>
      </c>
      <c r="B469" s="14">
        <v>8352</v>
      </c>
      <c r="C469" s="14" t="s">
        <v>622</v>
      </c>
      <c r="D469" s="14" t="s">
        <v>590</v>
      </c>
      <c r="E469" s="15" t="str">
        <f>"166.01"</f>
        <v>166.01</v>
      </c>
      <c r="F469" s="15"/>
      <c r="G469" s="16" t="str">
        <f>"210.92"</f>
        <v>210.92</v>
      </c>
      <c r="H469" s="17"/>
      <c r="I469" s="18">
        <v>3</v>
      </c>
      <c r="J469" s="18">
        <v>2016</v>
      </c>
      <c r="K469" s="18" t="str">
        <f>"166.01"</f>
        <v>166.01</v>
      </c>
      <c r="L469" s="18"/>
      <c r="M469" s="18"/>
      <c r="N469" s="18"/>
      <c r="O469" s="18"/>
      <c r="P469" s="18" t="str">
        <f>"207.61"</f>
        <v>207.61</v>
      </c>
      <c r="Q469" s="18"/>
      <c r="R469" s="18"/>
      <c r="S469" s="18" t="str">
        <f>"239.10"</f>
        <v>239.10</v>
      </c>
      <c r="T469" s="18" t="str">
        <f>"214.23"</f>
        <v>214.23</v>
      </c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</row>
    <row r="470" spans="1:35">
      <c r="A470" s="14">
        <v>468</v>
      </c>
      <c r="B470" s="14">
        <v>10314</v>
      </c>
      <c r="C470" s="14" t="s">
        <v>623</v>
      </c>
      <c r="D470" s="14" t="s">
        <v>193</v>
      </c>
      <c r="E470" s="15" t="str">
        <f>"170.95"</f>
        <v>170.95</v>
      </c>
      <c r="F470" s="15"/>
      <c r="G470" s="16" t="str">
        <f>"210.95"</f>
        <v>210.95</v>
      </c>
      <c r="H470" s="17" t="s">
        <v>48</v>
      </c>
      <c r="I470" s="18">
        <v>1</v>
      </c>
      <c r="J470" s="18">
        <v>2016</v>
      </c>
      <c r="K470" s="18" t="str">
        <f>"170.95"</f>
        <v>170.95</v>
      </c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</row>
    <row r="471" spans="1:35">
      <c r="A471" s="14">
        <v>469</v>
      </c>
      <c r="B471" s="14">
        <v>10129</v>
      </c>
      <c r="C471" s="14" t="s">
        <v>624</v>
      </c>
      <c r="D471" s="14" t="s">
        <v>98</v>
      </c>
      <c r="E471" s="15" t="str">
        <f>"211.09"</f>
        <v>211.09</v>
      </c>
      <c r="F471" s="15"/>
      <c r="G471" s="16" t="str">
        <f>"211.09"</f>
        <v>211.09</v>
      </c>
      <c r="H471" s="17"/>
      <c r="I471" s="18">
        <v>3</v>
      </c>
      <c r="J471" s="18">
        <v>2016</v>
      </c>
      <c r="K471" s="18" t="str">
        <f>"292.86"</f>
        <v>292.86</v>
      </c>
      <c r="L471" s="18" t="str">
        <f>"224.82"</f>
        <v>224.82</v>
      </c>
      <c r="M471" s="18"/>
      <c r="N471" s="18"/>
      <c r="O471" s="18"/>
      <c r="P471" s="18"/>
      <c r="Q471" s="18"/>
      <c r="R471" s="18"/>
      <c r="S471" s="18"/>
      <c r="T471" s="18"/>
      <c r="U471" s="18" t="str">
        <f>"262.54"</f>
        <v>262.54</v>
      </c>
      <c r="V471" s="18"/>
      <c r="W471" s="18"/>
      <c r="X471" s="18"/>
      <c r="Y471" s="18"/>
      <c r="Z471" s="18" t="str">
        <f>"197.36"</f>
        <v>197.36</v>
      </c>
      <c r="AA471" s="18"/>
      <c r="AB471" s="18"/>
      <c r="AC471" s="18"/>
      <c r="AD471" s="18"/>
      <c r="AE471" s="18"/>
      <c r="AF471" s="18"/>
      <c r="AG471" s="18"/>
      <c r="AH471" s="18"/>
      <c r="AI471" s="18"/>
    </row>
    <row r="472" spans="1:35">
      <c r="A472" s="14">
        <v>470</v>
      </c>
      <c r="B472" s="14">
        <v>6384</v>
      </c>
      <c r="C472" s="14" t="s">
        <v>625</v>
      </c>
      <c r="D472" s="14" t="s">
        <v>282</v>
      </c>
      <c r="E472" s="15" t="str">
        <f>"114.66"</f>
        <v>114.66</v>
      </c>
      <c r="F472" s="15"/>
      <c r="G472" s="16" t="str">
        <f>"211.81"</f>
        <v>211.81</v>
      </c>
      <c r="H472" s="17"/>
      <c r="I472" s="18">
        <v>3</v>
      </c>
      <c r="J472" s="18">
        <v>2016</v>
      </c>
      <c r="K472" s="18" t="str">
        <f>"114.66"</f>
        <v>114.66</v>
      </c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 t="str">
        <f>"265.39"</f>
        <v>265.39</v>
      </c>
      <c r="AB472" s="18"/>
      <c r="AC472" s="18"/>
      <c r="AD472" s="18"/>
      <c r="AE472" s="18"/>
      <c r="AF472" s="18"/>
      <c r="AG472" s="18" t="str">
        <f>"158.22"</f>
        <v>158.22</v>
      </c>
      <c r="AH472" s="18"/>
      <c r="AI472" s="18"/>
    </row>
    <row r="473" spans="1:35">
      <c r="A473" s="14">
        <v>471</v>
      </c>
      <c r="B473" s="14">
        <v>5359</v>
      </c>
      <c r="C473" s="14" t="s">
        <v>626</v>
      </c>
      <c r="D473" s="14" t="s">
        <v>148</v>
      </c>
      <c r="E473" s="15" t="str">
        <f>"172.03"</f>
        <v>172.03</v>
      </c>
      <c r="F473" s="15"/>
      <c r="G473" s="16" t="str">
        <f>"212.03"</f>
        <v>212.03</v>
      </c>
      <c r="H473" s="17" t="s">
        <v>48</v>
      </c>
      <c r="I473" s="18">
        <v>1</v>
      </c>
      <c r="J473" s="18">
        <v>2016</v>
      </c>
      <c r="K473" s="18" t="str">
        <f>"172.03"</f>
        <v>172.03</v>
      </c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</row>
    <row r="474" spans="1:35">
      <c r="A474" s="14">
        <v>472</v>
      </c>
      <c r="B474" s="14">
        <v>6856</v>
      </c>
      <c r="C474" s="14" t="s">
        <v>627</v>
      </c>
      <c r="D474" s="14" t="s">
        <v>184</v>
      </c>
      <c r="E474" s="15" t="str">
        <f>"149.14"</f>
        <v>149.14</v>
      </c>
      <c r="F474" s="15"/>
      <c r="G474" s="16" t="str">
        <f>"212.46"</f>
        <v>212.46</v>
      </c>
      <c r="H474" s="17"/>
      <c r="I474" s="18">
        <v>3</v>
      </c>
      <c r="J474" s="18">
        <v>2016</v>
      </c>
      <c r="K474" s="18" t="str">
        <f>"149.14"</f>
        <v>149.14</v>
      </c>
      <c r="L474" s="18"/>
      <c r="M474" s="18" t="str">
        <f>"244.55"</f>
        <v>244.55</v>
      </c>
      <c r="N474" s="18"/>
      <c r="O474" s="18" t="str">
        <f>"207.20"</f>
        <v>207.20</v>
      </c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 t="str">
        <f>"292.85"</f>
        <v>292.85</v>
      </c>
      <c r="AB474" s="18"/>
      <c r="AC474" s="18"/>
      <c r="AD474" s="18"/>
      <c r="AE474" s="18" t="str">
        <f>"217.71"</f>
        <v>217.71</v>
      </c>
      <c r="AF474" s="18" t="str">
        <f>"243.59"</f>
        <v>243.59</v>
      </c>
      <c r="AG474" s="18"/>
      <c r="AH474" s="18"/>
      <c r="AI474" s="18"/>
    </row>
    <row r="475" spans="1:35">
      <c r="A475" s="14">
        <v>473</v>
      </c>
      <c r="B475" s="14">
        <v>10483</v>
      </c>
      <c r="C475" s="14" t="s">
        <v>628</v>
      </c>
      <c r="D475" s="14" t="s">
        <v>98</v>
      </c>
      <c r="E475" s="15" t="str">
        <f>"212.78"</f>
        <v>212.78</v>
      </c>
      <c r="F475" s="15"/>
      <c r="G475" s="16" t="str">
        <f>"212.78"</f>
        <v>212.78</v>
      </c>
      <c r="H475" s="17"/>
      <c r="I475" s="18">
        <v>3</v>
      </c>
      <c r="J475" s="18">
        <v>2016</v>
      </c>
      <c r="K475" s="18" t="str">
        <f>"249.99"</f>
        <v>249.99</v>
      </c>
      <c r="L475" s="18"/>
      <c r="M475" s="18"/>
      <c r="N475" s="18"/>
      <c r="O475" s="18"/>
      <c r="P475" s="18"/>
      <c r="Q475" s="18" t="str">
        <f>"220.89"</f>
        <v>220.89</v>
      </c>
      <c r="R475" s="18"/>
      <c r="S475" s="18"/>
      <c r="T475" s="18"/>
      <c r="U475" s="18" t="str">
        <f>"270.02"</f>
        <v>270.02</v>
      </c>
      <c r="V475" s="18"/>
      <c r="W475" s="18"/>
      <c r="X475" s="18"/>
      <c r="Y475" s="18"/>
      <c r="Z475" s="18" t="str">
        <f>"204.67"</f>
        <v>204.67</v>
      </c>
      <c r="AA475" s="18" t="str">
        <f>"327.74"</f>
        <v>327.74</v>
      </c>
      <c r="AB475" s="18"/>
      <c r="AC475" s="18"/>
      <c r="AD475" s="18"/>
      <c r="AE475" s="18"/>
      <c r="AF475" s="18"/>
      <c r="AG475" s="18"/>
      <c r="AH475" s="18"/>
      <c r="AI475" s="18" t="str">
        <f>"258.02"</f>
        <v>258.02</v>
      </c>
    </row>
    <row r="476" spans="1:35">
      <c r="A476" s="14">
        <v>474</v>
      </c>
      <c r="B476" s="14">
        <v>10627</v>
      </c>
      <c r="C476" s="14" t="s">
        <v>629</v>
      </c>
      <c r="D476" s="14" t="s">
        <v>76</v>
      </c>
      <c r="E476" s="15" t="str">
        <f>"212.81"</f>
        <v>212.81</v>
      </c>
      <c r="F476" s="15"/>
      <c r="G476" s="16" t="str">
        <f>"212.81"</f>
        <v>212.81</v>
      </c>
      <c r="H476" s="17"/>
      <c r="I476" s="18">
        <v>3</v>
      </c>
      <c r="J476" s="18">
        <v>2016</v>
      </c>
      <c r="K476" s="18" t="str">
        <f>"394.77"</f>
        <v>394.77</v>
      </c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 t="str">
        <f>"333.84"</f>
        <v>333.84</v>
      </c>
      <c r="Y476" s="18" t="str">
        <f>"302.57"</f>
        <v>302.57</v>
      </c>
      <c r="Z476" s="18"/>
      <c r="AA476" s="18"/>
      <c r="AB476" s="18"/>
      <c r="AC476" s="18" t="str">
        <f>"211.31"</f>
        <v>211.31</v>
      </c>
      <c r="AD476" s="18" t="str">
        <f>"214.31"</f>
        <v>214.31</v>
      </c>
      <c r="AE476" s="18"/>
      <c r="AF476" s="18"/>
      <c r="AG476" s="18"/>
      <c r="AH476" s="18"/>
      <c r="AI476" s="18"/>
    </row>
    <row r="477" spans="1:35">
      <c r="A477" s="14">
        <v>475</v>
      </c>
      <c r="B477" s="14">
        <v>6392</v>
      </c>
      <c r="C477" s="14" t="s">
        <v>630</v>
      </c>
      <c r="D477" s="14" t="s">
        <v>317</v>
      </c>
      <c r="E477" s="15" t="str">
        <f>"143.29"</f>
        <v>143.29</v>
      </c>
      <c r="F477" s="15"/>
      <c r="G477" s="16" t="str">
        <f>"212.84"</f>
        <v>212.84</v>
      </c>
      <c r="H477" s="17"/>
      <c r="I477" s="18">
        <v>3</v>
      </c>
      <c r="J477" s="18">
        <v>2016</v>
      </c>
      <c r="K477" s="18" t="str">
        <f>"143.29"</f>
        <v>143.29</v>
      </c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 t="str">
        <f>"224.98"</f>
        <v>224.98</v>
      </c>
      <c r="W477" s="18"/>
      <c r="X477" s="18"/>
      <c r="Y477" s="18"/>
      <c r="Z477" s="18"/>
      <c r="AA477" s="18"/>
      <c r="AB477" s="18" t="str">
        <f>"200.70"</f>
        <v>200.70</v>
      </c>
      <c r="AC477" s="18"/>
      <c r="AD477" s="18"/>
      <c r="AE477" s="18"/>
      <c r="AF477" s="18"/>
      <c r="AG477" s="18"/>
      <c r="AH477" s="18"/>
      <c r="AI477" s="18"/>
    </row>
    <row r="478" spans="1:35">
      <c r="A478" s="14">
        <v>476</v>
      </c>
      <c r="B478" s="14">
        <v>1103</v>
      </c>
      <c r="C478" s="14" t="s">
        <v>631</v>
      </c>
      <c r="D478" s="14" t="s">
        <v>39</v>
      </c>
      <c r="E478" s="15" t="str">
        <f>"172.92"</f>
        <v>172.92</v>
      </c>
      <c r="F478" s="15"/>
      <c r="G478" s="16" t="str">
        <f>"212.92"</f>
        <v>212.92</v>
      </c>
      <c r="H478" s="17" t="s">
        <v>48</v>
      </c>
      <c r="I478" s="18">
        <v>1</v>
      </c>
      <c r="J478" s="18">
        <v>2016</v>
      </c>
      <c r="K478" s="18" t="str">
        <f>"172.92"</f>
        <v>172.92</v>
      </c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</row>
    <row r="479" spans="1:35">
      <c r="A479" s="14">
        <v>477</v>
      </c>
      <c r="B479" s="14">
        <v>823</v>
      </c>
      <c r="C479" s="14" t="s">
        <v>632</v>
      </c>
      <c r="D479" s="14" t="s">
        <v>274</v>
      </c>
      <c r="E479" s="15" t="str">
        <f>"173.19"</f>
        <v>173.19</v>
      </c>
      <c r="F479" s="15"/>
      <c r="G479" s="16" t="str">
        <f>"213.19"</f>
        <v>213.19</v>
      </c>
      <c r="H479" s="17" t="s">
        <v>48</v>
      </c>
      <c r="I479" s="18">
        <v>1</v>
      </c>
      <c r="J479" s="18">
        <v>2016</v>
      </c>
      <c r="K479" s="18" t="str">
        <f>"173.19"</f>
        <v>173.19</v>
      </c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</row>
    <row r="480" spans="1:35">
      <c r="A480" s="14">
        <v>478</v>
      </c>
      <c r="B480" s="14">
        <v>2540</v>
      </c>
      <c r="C480" s="14" t="s">
        <v>633</v>
      </c>
      <c r="D480" s="14" t="s">
        <v>133</v>
      </c>
      <c r="E480" s="15" t="str">
        <f>"173.37"</f>
        <v>173.37</v>
      </c>
      <c r="F480" s="15"/>
      <c r="G480" s="16" t="str">
        <f>"213.37"</f>
        <v>213.37</v>
      </c>
      <c r="H480" s="17" t="s">
        <v>48</v>
      </c>
      <c r="I480" s="18">
        <v>1</v>
      </c>
      <c r="J480" s="18">
        <v>2016</v>
      </c>
      <c r="K480" s="18" t="str">
        <f>"173.37"</f>
        <v>173.37</v>
      </c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</row>
    <row r="481" spans="1:35">
      <c r="A481" s="14">
        <v>479</v>
      </c>
      <c r="B481" s="14">
        <v>10538</v>
      </c>
      <c r="C481" s="14" t="s">
        <v>634</v>
      </c>
      <c r="D481" s="14" t="s">
        <v>76</v>
      </c>
      <c r="E481" s="15" t="str">
        <f>"213.74"</f>
        <v>213.74</v>
      </c>
      <c r="F481" s="15"/>
      <c r="G481" s="16" t="str">
        <f>"213.74"</f>
        <v>213.74</v>
      </c>
      <c r="H481" s="17"/>
      <c r="I481" s="18">
        <v>3</v>
      </c>
      <c r="J481" s="18">
        <v>2016</v>
      </c>
      <c r="K481" s="18" t="str">
        <f>"238.00"</f>
        <v>238.00</v>
      </c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 t="str">
        <f>"232.37"</f>
        <v>232.37</v>
      </c>
      <c r="Y481" s="18" t="str">
        <f>"262.26"</f>
        <v>262.26</v>
      </c>
      <c r="Z481" s="18"/>
      <c r="AA481" s="18"/>
      <c r="AB481" s="18"/>
      <c r="AC481" s="18" t="str">
        <f>"195.10"</f>
        <v>195.10</v>
      </c>
      <c r="AD481" s="18"/>
      <c r="AE481" s="18"/>
      <c r="AF481" s="18"/>
      <c r="AG481" s="18"/>
      <c r="AH481" s="18"/>
      <c r="AI481" s="18"/>
    </row>
    <row r="482" spans="1:35">
      <c r="A482" s="14">
        <v>480</v>
      </c>
      <c r="B482" s="14">
        <v>3219</v>
      </c>
      <c r="C482" s="14" t="s">
        <v>635</v>
      </c>
      <c r="D482" s="14" t="s">
        <v>636</v>
      </c>
      <c r="E482" s="15" t="str">
        <f>"149.77"</f>
        <v>149.77</v>
      </c>
      <c r="F482" s="15"/>
      <c r="G482" s="16" t="str">
        <f>"214.74"</f>
        <v>214.74</v>
      </c>
      <c r="H482" s="17" t="s">
        <v>54</v>
      </c>
      <c r="I482" s="18">
        <v>2</v>
      </c>
      <c r="J482" s="18">
        <v>2016</v>
      </c>
      <c r="K482" s="18" t="str">
        <f>"149.77"</f>
        <v>149.77</v>
      </c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 t="str">
        <f>"174.74"</f>
        <v>174.74</v>
      </c>
      <c r="AH482" s="18"/>
      <c r="AI482" s="18"/>
    </row>
    <row r="483" spans="1:35">
      <c r="A483" s="14">
        <v>481</v>
      </c>
      <c r="B483" s="14">
        <v>10273</v>
      </c>
      <c r="C483" s="14" t="s">
        <v>637</v>
      </c>
      <c r="D483" s="14" t="s">
        <v>148</v>
      </c>
      <c r="E483" s="15" t="str">
        <f>"214.88"</f>
        <v>214.88</v>
      </c>
      <c r="F483" s="15"/>
      <c r="G483" s="16" t="str">
        <f>"214.88"</f>
        <v>214.88</v>
      </c>
      <c r="H483" s="17"/>
      <c r="I483" s="18">
        <v>3</v>
      </c>
      <c r="J483" s="18">
        <v>2016</v>
      </c>
      <c r="K483" s="18" t="str">
        <f>"371.32"</f>
        <v>371.32</v>
      </c>
      <c r="L483" s="18"/>
      <c r="M483" s="18"/>
      <c r="N483" s="18"/>
      <c r="O483" s="18"/>
      <c r="P483" s="18" t="str">
        <f>"235.20"</f>
        <v>235.20</v>
      </c>
      <c r="Q483" s="18"/>
      <c r="R483" s="18"/>
      <c r="S483" s="18"/>
      <c r="T483" s="18" t="str">
        <f>"194.56"</f>
        <v>194.56</v>
      </c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</row>
    <row r="484" spans="1:35">
      <c r="A484" s="14">
        <v>482</v>
      </c>
      <c r="B484" s="14">
        <v>4883</v>
      </c>
      <c r="C484" s="14" t="s">
        <v>638</v>
      </c>
      <c r="D484" s="14" t="s">
        <v>139</v>
      </c>
      <c r="E484" s="15" t="str">
        <f>"249.68"</f>
        <v>249.68</v>
      </c>
      <c r="F484" s="15"/>
      <c r="G484" s="16" t="str">
        <f>"214.94"</f>
        <v>214.94</v>
      </c>
      <c r="H484" s="17" t="s">
        <v>54</v>
      </c>
      <c r="I484" s="18">
        <v>2</v>
      </c>
      <c r="J484" s="18">
        <v>2016</v>
      </c>
      <c r="K484" s="18" t="str">
        <f>"324.41"</f>
        <v>324.41</v>
      </c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 t="str">
        <f>"174.94"</f>
        <v>174.94</v>
      </c>
      <c r="AB484" s="18"/>
      <c r="AC484" s="18"/>
      <c r="AD484" s="18"/>
      <c r="AE484" s="18"/>
      <c r="AF484" s="18"/>
      <c r="AG484" s="18"/>
      <c r="AH484" s="18"/>
      <c r="AI484" s="18"/>
    </row>
    <row r="485" spans="1:35">
      <c r="A485" s="14">
        <v>483</v>
      </c>
      <c r="B485" s="14">
        <v>6796</v>
      </c>
      <c r="C485" s="14" t="s">
        <v>639</v>
      </c>
      <c r="D485" s="14" t="s">
        <v>232</v>
      </c>
      <c r="E485" s="15" t="str">
        <f>"174.95"</f>
        <v>174.95</v>
      </c>
      <c r="F485" s="15"/>
      <c r="G485" s="16" t="str">
        <f>"214.95"</f>
        <v>214.95</v>
      </c>
      <c r="H485" s="17" t="s">
        <v>48</v>
      </c>
      <c r="I485" s="18">
        <v>1</v>
      </c>
      <c r="J485" s="18">
        <v>2016</v>
      </c>
      <c r="K485" s="18" t="str">
        <f>"174.95"</f>
        <v>174.95</v>
      </c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</row>
    <row r="486" spans="1:35">
      <c r="A486" s="14">
        <v>484</v>
      </c>
      <c r="B486" s="14">
        <v>10346</v>
      </c>
      <c r="C486" s="14" t="s">
        <v>640</v>
      </c>
      <c r="D486" s="14" t="s">
        <v>76</v>
      </c>
      <c r="E486" s="15" t="str">
        <f>"215.09"</f>
        <v>215.09</v>
      </c>
      <c r="F486" s="15"/>
      <c r="G486" s="16" t="str">
        <f>"215.09"</f>
        <v>215.09</v>
      </c>
      <c r="H486" s="17"/>
      <c r="I486" s="18">
        <v>3</v>
      </c>
      <c r="J486" s="18">
        <v>2016</v>
      </c>
      <c r="K486" s="18" t="str">
        <f>"293.10"</f>
        <v>293.10</v>
      </c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 t="str">
        <f>"286.82"</f>
        <v>286.82</v>
      </c>
      <c r="Y486" s="18" t="str">
        <f>"306.69"</f>
        <v>306.69</v>
      </c>
      <c r="Z486" s="18"/>
      <c r="AA486" s="18"/>
      <c r="AB486" s="18"/>
      <c r="AC486" s="18" t="str">
        <f>"218.14"</f>
        <v>218.14</v>
      </c>
      <c r="AD486" s="18" t="str">
        <f>"212.03"</f>
        <v>212.03</v>
      </c>
      <c r="AE486" s="18"/>
      <c r="AF486" s="18"/>
      <c r="AG486" s="18"/>
      <c r="AH486" s="18"/>
      <c r="AI486" s="18"/>
    </row>
    <row r="487" spans="1:35">
      <c r="A487" s="14">
        <v>485</v>
      </c>
      <c r="B487" s="14">
        <v>2214</v>
      </c>
      <c r="C487" s="14" t="s">
        <v>641</v>
      </c>
      <c r="D487" s="14" t="s">
        <v>299</v>
      </c>
      <c r="E487" s="15" t="str">
        <f>"175.66"</f>
        <v>175.66</v>
      </c>
      <c r="F487" s="15"/>
      <c r="G487" s="16" t="str">
        <f>"215.66"</f>
        <v>215.66</v>
      </c>
      <c r="H487" s="17" t="s">
        <v>48</v>
      </c>
      <c r="I487" s="18">
        <v>1</v>
      </c>
      <c r="J487" s="18">
        <v>2016</v>
      </c>
      <c r="K487" s="18" t="str">
        <f>"175.66"</f>
        <v>175.66</v>
      </c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</row>
    <row r="488" spans="1:35">
      <c r="A488" s="14">
        <v>486</v>
      </c>
      <c r="B488" s="14">
        <v>9773</v>
      </c>
      <c r="C488" s="14" t="s">
        <v>642</v>
      </c>
      <c r="D488" s="14" t="s">
        <v>39</v>
      </c>
      <c r="E488" s="15" t="str">
        <f>"175.90"</f>
        <v>175.90</v>
      </c>
      <c r="F488" s="15"/>
      <c r="G488" s="16" t="str">
        <f>"215.90"</f>
        <v>215.90</v>
      </c>
      <c r="H488" s="17" t="s">
        <v>48</v>
      </c>
      <c r="I488" s="18">
        <v>1</v>
      </c>
      <c r="J488" s="18">
        <v>2016</v>
      </c>
      <c r="K488" s="18" t="str">
        <f>"175.90"</f>
        <v>175.90</v>
      </c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</row>
    <row r="489" spans="1:35">
      <c r="A489" s="14">
        <v>487</v>
      </c>
      <c r="B489" s="14">
        <v>1434</v>
      </c>
      <c r="C489" s="14" t="s">
        <v>643</v>
      </c>
      <c r="D489" s="14" t="s">
        <v>86</v>
      </c>
      <c r="E489" s="15" t="str">
        <f>"216.29"</f>
        <v>216.29</v>
      </c>
      <c r="F489" s="15"/>
      <c r="G489" s="16" t="str">
        <f>"216.29"</f>
        <v>216.29</v>
      </c>
      <c r="H489" s="17"/>
      <c r="I489" s="18">
        <v>5</v>
      </c>
      <c r="J489" s="18">
        <v>2016</v>
      </c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 t="str">
        <f>"251.18"</f>
        <v>251.18</v>
      </c>
      <c r="AB489" s="18"/>
      <c r="AC489" s="18"/>
      <c r="AD489" s="18"/>
      <c r="AE489" s="18"/>
      <c r="AF489" s="18" t="str">
        <f>"181.39"</f>
        <v>181.39</v>
      </c>
      <c r="AG489" s="18"/>
      <c r="AH489" s="18"/>
      <c r="AI489" s="18"/>
    </row>
    <row r="490" spans="1:35">
      <c r="A490" s="14">
        <v>488</v>
      </c>
      <c r="B490" s="14">
        <v>7594</v>
      </c>
      <c r="C490" s="14" t="s">
        <v>644</v>
      </c>
      <c r="D490" s="14" t="s">
        <v>210</v>
      </c>
      <c r="E490" s="15" t="str">
        <f>"132.32"</f>
        <v>132.32</v>
      </c>
      <c r="F490" s="15"/>
      <c r="G490" s="16" t="str">
        <f>"216.45"</f>
        <v>216.45</v>
      </c>
      <c r="H490" s="17"/>
      <c r="I490" s="18">
        <v>3</v>
      </c>
      <c r="J490" s="18">
        <v>2016</v>
      </c>
      <c r="K490" s="18" t="str">
        <f>"132.32"</f>
        <v>132.32</v>
      </c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 t="str">
        <f>"161.86"</f>
        <v>161.86</v>
      </c>
      <c r="X490" s="18"/>
      <c r="Y490" s="18"/>
      <c r="Z490" s="18"/>
      <c r="AA490" s="18"/>
      <c r="AB490" s="18" t="str">
        <f>"271.04"</f>
        <v>271.04</v>
      </c>
      <c r="AC490" s="18"/>
      <c r="AD490" s="18"/>
      <c r="AE490" s="18"/>
      <c r="AF490" s="18"/>
      <c r="AG490" s="18"/>
      <c r="AH490" s="18"/>
      <c r="AI490" s="18"/>
    </row>
    <row r="491" spans="1:35">
      <c r="A491" s="14">
        <v>489</v>
      </c>
      <c r="B491" s="14">
        <v>9467</v>
      </c>
      <c r="C491" s="14" t="s">
        <v>645</v>
      </c>
      <c r="D491" s="14" t="s">
        <v>646</v>
      </c>
      <c r="E491" s="15" t="str">
        <f>"176.54"</f>
        <v>176.54</v>
      </c>
      <c r="F491" s="15"/>
      <c r="G491" s="16" t="str">
        <f>"216.54"</f>
        <v>216.54</v>
      </c>
      <c r="H491" s="17" t="s">
        <v>48</v>
      </c>
      <c r="I491" s="18">
        <v>1</v>
      </c>
      <c r="J491" s="18">
        <v>2016</v>
      </c>
      <c r="K491" s="18" t="str">
        <f>"176.54"</f>
        <v>176.54</v>
      </c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</row>
    <row r="492" spans="1:35">
      <c r="A492" s="14">
        <v>490</v>
      </c>
      <c r="B492" s="14">
        <v>2320</v>
      </c>
      <c r="C492" s="14" t="s">
        <v>647</v>
      </c>
      <c r="D492" s="14" t="s">
        <v>76</v>
      </c>
      <c r="E492" s="15" t="str">
        <f>"216.76"</f>
        <v>216.76</v>
      </c>
      <c r="F492" s="15"/>
      <c r="G492" s="16" t="str">
        <f>"216.76"</f>
        <v>216.76</v>
      </c>
      <c r="H492" s="17"/>
      <c r="I492" s="18">
        <v>3</v>
      </c>
      <c r="J492" s="18">
        <v>2016</v>
      </c>
      <c r="K492" s="18" t="str">
        <f>"262.22"</f>
        <v>262.22</v>
      </c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 t="str">
        <f>"297.36"</f>
        <v>297.36</v>
      </c>
      <c r="Y492" s="18" t="str">
        <f>"312.82"</f>
        <v>312.82</v>
      </c>
      <c r="Z492" s="18"/>
      <c r="AA492" s="18"/>
      <c r="AB492" s="18"/>
      <c r="AC492" s="18" t="str">
        <f>"208.99"</f>
        <v>208.99</v>
      </c>
      <c r="AD492" s="18" t="str">
        <f>"224.52"</f>
        <v>224.52</v>
      </c>
      <c r="AE492" s="18"/>
      <c r="AF492" s="18"/>
      <c r="AG492" s="18"/>
      <c r="AH492" s="18" t="str">
        <f>"273.10"</f>
        <v>273.10</v>
      </c>
      <c r="AI492" s="18"/>
    </row>
    <row r="493" spans="1:35">
      <c r="A493" s="14">
        <v>491</v>
      </c>
      <c r="B493" s="14">
        <v>2292</v>
      </c>
      <c r="C493" s="14" t="s">
        <v>648</v>
      </c>
      <c r="D493" s="14" t="s">
        <v>76</v>
      </c>
      <c r="E493" s="15" t="str">
        <f>"216.77"</f>
        <v>216.77</v>
      </c>
      <c r="F493" s="15"/>
      <c r="G493" s="16" t="str">
        <f>"216.77"</f>
        <v>216.77</v>
      </c>
      <c r="H493" s="17"/>
      <c r="I493" s="18">
        <v>3</v>
      </c>
      <c r="J493" s="18">
        <v>2016</v>
      </c>
      <c r="K493" s="18" t="str">
        <f>"254.22"</f>
        <v>254.22</v>
      </c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 t="str">
        <f>"215.61"</f>
        <v>215.61</v>
      </c>
      <c r="Y493" s="18" t="str">
        <f>"279.35"</f>
        <v>279.35</v>
      </c>
      <c r="Z493" s="18"/>
      <c r="AA493" s="18"/>
      <c r="AB493" s="18"/>
      <c r="AC493" s="18" t="str">
        <f>"217.92"</f>
        <v>217.92</v>
      </c>
      <c r="AD493" s="18" t="str">
        <f>"220.50"</f>
        <v>220.50</v>
      </c>
      <c r="AE493" s="18"/>
      <c r="AF493" s="18"/>
      <c r="AG493" s="18"/>
      <c r="AH493" s="18"/>
      <c r="AI493" s="18"/>
    </row>
    <row r="494" spans="1:35">
      <c r="A494" s="14">
        <v>492</v>
      </c>
      <c r="B494" s="14">
        <v>10841</v>
      </c>
      <c r="C494" s="14" t="s">
        <v>649</v>
      </c>
      <c r="D494" s="14" t="s">
        <v>76</v>
      </c>
      <c r="E494" s="15" t="str">
        <f>"218.09"</f>
        <v>218.09</v>
      </c>
      <c r="F494" s="15"/>
      <c r="G494" s="16" t="str">
        <f>"218.09"</f>
        <v>218.09</v>
      </c>
      <c r="H494" s="17"/>
      <c r="I494" s="18">
        <v>5</v>
      </c>
      <c r="J494" s="18">
        <v>2016</v>
      </c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 t="str">
        <f>"315.06"</f>
        <v>315.06</v>
      </c>
      <c r="V494" s="18"/>
      <c r="W494" s="18"/>
      <c r="X494" s="18" t="str">
        <f>"334.38"</f>
        <v>334.38</v>
      </c>
      <c r="Y494" s="18" t="str">
        <f>"334.23"</f>
        <v>334.23</v>
      </c>
      <c r="Z494" s="18"/>
      <c r="AA494" s="18"/>
      <c r="AB494" s="18"/>
      <c r="AC494" s="18" t="str">
        <f>"212.96"</f>
        <v>212.96</v>
      </c>
      <c r="AD494" s="18" t="str">
        <f>"223.21"</f>
        <v>223.21</v>
      </c>
      <c r="AE494" s="18"/>
      <c r="AF494" s="18"/>
      <c r="AG494" s="18"/>
      <c r="AH494" s="18"/>
      <c r="AI494" s="18"/>
    </row>
    <row r="495" spans="1:35">
      <c r="A495" s="14">
        <v>493</v>
      </c>
      <c r="B495" s="14">
        <v>2625</v>
      </c>
      <c r="C495" s="14" t="s">
        <v>650</v>
      </c>
      <c r="D495" s="14" t="s">
        <v>651</v>
      </c>
      <c r="E495" s="15" t="str">
        <f>"189.61"</f>
        <v>189.61</v>
      </c>
      <c r="F495" s="15"/>
      <c r="G495" s="16" t="str">
        <f>"218.18"</f>
        <v>218.18</v>
      </c>
      <c r="H495" s="17"/>
      <c r="I495" s="18">
        <v>3</v>
      </c>
      <c r="J495" s="18">
        <v>2016</v>
      </c>
      <c r="K495" s="18" t="str">
        <f>"208.25"</f>
        <v>208.25</v>
      </c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 t="str">
        <f>"265.39"</f>
        <v>265.39</v>
      </c>
      <c r="AB495" s="18"/>
      <c r="AC495" s="18"/>
      <c r="AD495" s="18"/>
      <c r="AE495" s="18"/>
      <c r="AF495" s="18"/>
      <c r="AG495" s="18" t="str">
        <f>"170.97"</f>
        <v>170.97</v>
      </c>
      <c r="AH495" s="18"/>
      <c r="AI495" s="18"/>
    </row>
    <row r="496" spans="1:35">
      <c r="A496" s="14">
        <v>494</v>
      </c>
      <c r="B496" s="14">
        <v>8709</v>
      </c>
      <c r="C496" s="14" t="s">
        <v>652</v>
      </c>
      <c r="D496" s="14" t="s">
        <v>210</v>
      </c>
      <c r="E496" s="15" t="str">
        <f>"164.80"</f>
        <v>164.80</v>
      </c>
      <c r="F496" s="15"/>
      <c r="G496" s="16" t="str">
        <f>"218.34"</f>
        <v>218.34</v>
      </c>
      <c r="H496" s="17" t="s">
        <v>54</v>
      </c>
      <c r="I496" s="18">
        <v>2</v>
      </c>
      <c r="J496" s="18">
        <v>2016</v>
      </c>
      <c r="K496" s="18" t="str">
        <f>"164.80"</f>
        <v>164.80</v>
      </c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 t="str">
        <f>"178.34"</f>
        <v>178.34</v>
      </c>
      <c r="AC496" s="18"/>
      <c r="AD496" s="18"/>
      <c r="AE496" s="18"/>
      <c r="AF496" s="18"/>
      <c r="AG496" s="18"/>
      <c r="AH496" s="18"/>
      <c r="AI496" s="18"/>
    </row>
    <row r="497" spans="1:35">
      <c r="A497" s="14">
        <v>495</v>
      </c>
      <c r="B497" s="14">
        <v>10062</v>
      </c>
      <c r="C497" s="14" t="s">
        <v>653</v>
      </c>
      <c r="D497" s="14" t="s">
        <v>76</v>
      </c>
      <c r="E497" s="15" t="str">
        <f>"218.42"</f>
        <v>218.42</v>
      </c>
      <c r="F497" s="15"/>
      <c r="G497" s="16" t="str">
        <f>"218.42"</f>
        <v>218.42</v>
      </c>
      <c r="H497" s="17"/>
      <c r="I497" s="18">
        <v>3</v>
      </c>
      <c r="J497" s="18">
        <v>2016</v>
      </c>
      <c r="K497" s="18" t="str">
        <f>"240.87"</f>
        <v>240.87</v>
      </c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 t="str">
        <f>"206.56"</f>
        <v>206.56</v>
      </c>
      <c r="Y497" s="18" t="str">
        <f>"292.11"</f>
        <v>292.11</v>
      </c>
      <c r="Z497" s="18"/>
      <c r="AA497" s="18"/>
      <c r="AB497" s="18"/>
      <c r="AC497" s="18" t="str">
        <f>"230.28"</f>
        <v>230.28</v>
      </c>
      <c r="AD497" s="18" t="str">
        <f>"232.98"</f>
        <v>232.98</v>
      </c>
      <c r="AE497" s="18"/>
      <c r="AF497" s="18"/>
      <c r="AG497" s="18"/>
      <c r="AH497" s="18"/>
      <c r="AI497" s="18"/>
    </row>
    <row r="498" spans="1:35">
      <c r="A498" s="14">
        <v>496</v>
      </c>
      <c r="B498" s="14">
        <v>5261</v>
      </c>
      <c r="C498" s="14" t="s">
        <v>654</v>
      </c>
      <c r="D498" s="14" t="s">
        <v>305</v>
      </c>
      <c r="E498" s="15" t="str">
        <f>"178.51"</f>
        <v>178.51</v>
      </c>
      <c r="F498" s="15"/>
      <c r="G498" s="16" t="str">
        <f>"218.51"</f>
        <v>218.51</v>
      </c>
      <c r="H498" s="17" t="s">
        <v>48</v>
      </c>
      <c r="I498" s="18">
        <v>1</v>
      </c>
      <c r="J498" s="18">
        <v>2016</v>
      </c>
      <c r="K498" s="18" t="str">
        <f>"178.51"</f>
        <v>178.51</v>
      </c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</row>
    <row r="499" spans="1:35">
      <c r="A499" s="14">
        <v>497</v>
      </c>
      <c r="B499" s="14">
        <v>1290</v>
      </c>
      <c r="C499" s="14" t="s">
        <v>655</v>
      </c>
      <c r="D499" s="14" t="s">
        <v>70</v>
      </c>
      <c r="E499" s="15" t="str">
        <f>"150.07"</f>
        <v>150.07</v>
      </c>
      <c r="F499" s="15"/>
      <c r="G499" s="16" t="str">
        <f>"219.13"</f>
        <v>219.13</v>
      </c>
      <c r="H499" s="17"/>
      <c r="I499" s="18">
        <v>3</v>
      </c>
      <c r="J499" s="18">
        <v>2016</v>
      </c>
      <c r="K499" s="18" t="str">
        <f>"150.07"</f>
        <v>150.07</v>
      </c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 t="str">
        <f>"232.99"</f>
        <v>232.99</v>
      </c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 t="str">
        <f>"205.27"</f>
        <v>205.27</v>
      </c>
      <c r="AH499" s="18"/>
      <c r="AI499" s="18"/>
    </row>
    <row r="500" spans="1:35">
      <c r="A500" s="14">
        <v>498</v>
      </c>
      <c r="B500" s="14">
        <v>6405</v>
      </c>
      <c r="C500" s="14" t="s">
        <v>656</v>
      </c>
      <c r="D500" s="14" t="s">
        <v>198</v>
      </c>
      <c r="E500" s="15" t="str">
        <f>"179.30"</f>
        <v>179.30</v>
      </c>
      <c r="F500" s="15"/>
      <c r="G500" s="16" t="str">
        <f>"219.30"</f>
        <v>219.30</v>
      </c>
      <c r="H500" s="17" t="s">
        <v>48</v>
      </c>
      <c r="I500" s="18">
        <v>1</v>
      </c>
      <c r="J500" s="18">
        <v>2016</v>
      </c>
      <c r="K500" s="18" t="str">
        <f>"179.30"</f>
        <v>179.30</v>
      </c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</row>
    <row r="501" spans="1:35">
      <c r="A501" s="14">
        <v>499</v>
      </c>
      <c r="B501" s="14">
        <v>7633</v>
      </c>
      <c r="C501" s="14" t="s">
        <v>657</v>
      </c>
      <c r="D501" s="14" t="s">
        <v>378</v>
      </c>
      <c r="E501" s="15" t="str">
        <f>"179.55"</f>
        <v>179.55</v>
      </c>
      <c r="F501" s="15"/>
      <c r="G501" s="16" t="str">
        <f>"219.55"</f>
        <v>219.55</v>
      </c>
      <c r="H501" s="17" t="s">
        <v>48</v>
      </c>
      <c r="I501" s="18">
        <v>1</v>
      </c>
      <c r="J501" s="18">
        <v>2016</v>
      </c>
      <c r="K501" s="18" t="str">
        <f>"179.55"</f>
        <v>179.55</v>
      </c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</row>
    <row r="502" spans="1:35">
      <c r="A502" s="14">
        <v>500</v>
      </c>
      <c r="B502" s="14">
        <v>5757</v>
      </c>
      <c r="C502" s="14" t="s">
        <v>658</v>
      </c>
      <c r="D502" s="14" t="s">
        <v>220</v>
      </c>
      <c r="E502" s="15" t="str">
        <f>"204.11"</f>
        <v>204.11</v>
      </c>
      <c r="F502" s="15"/>
      <c r="G502" s="16" t="str">
        <f>"219.55"</f>
        <v>219.55</v>
      </c>
      <c r="H502" s="17"/>
      <c r="I502" s="18">
        <v>3</v>
      </c>
      <c r="J502" s="18">
        <v>2016</v>
      </c>
      <c r="K502" s="18" t="str">
        <f>"209.14"</f>
        <v>209.14</v>
      </c>
      <c r="L502" s="18"/>
      <c r="M502" s="18" t="str">
        <f>"264.28"</f>
        <v>264.28</v>
      </c>
      <c r="N502" s="18"/>
      <c r="O502" s="18" t="str">
        <f>"296.15"</f>
        <v>296.15</v>
      </c>
      <c r="P502" s="18"/>
      <c r="Q502" s="18"/>
      <c r="R502" s="18"/>
      <c r="S502" s="18"/>
      <c r="T502" s="18"/>
      <c r="U502" s="18"/>
      <c r="V502" s="18" t="str">
        <f>"240.02"</f>
        <v>240.02</v>
      </c>
      <c r="W502" s="18"/>
      <c r="X502" s="18"/>
      <c r="Y502" s="18"/>
      <c r="Z502" s="18"/>
      <c r="AA502" s="18"/>
      <c r="AB502" s="18" t="str">
        <f>"199.07"</f>
        <v>199.07</v>
      </c>
      <c r="AC502" s="18"/>
      <c r="AD502" s="18"/>
      <c r="AE502" s="18"/>
      <c r="AF502" s="18"/>
      <c r="AG502" s="18"/>
      <c r="AH502" s="18"/>
      <c r="AI502" s="18"/>
    </row>
    <row r="503" spans="1:35">
      <c r="A503" s="14">
        <v>501</v>
      </c>
      <c r="B503" s="14">
        <v>1006</v>
      </c>
      <c r="C503" s="14" t="s">
        <v>659</v>
      </c>
      <c r="D503" s="14" t="s">
        <v>424</v>
      </c>
      <c r="E503" s="15" t="str">
        <f>"180.59"</f>
        <v>180.59</v>
      </c>
      <c r="F503" s="15"/>
      <c r="G503" s="16" t="str">
        <f>"220.59"</f>
        <v>220.59</v>
      </c>
      <c r="H503" s="17" t="s">
        <v>48</v>
      </c>
      <c r="I503" s="18">
        <v>1</v>
      </c>
      <c r="J503" s="18">
        <v>2016</v>
      </c>
      <c r="K503" s="18" t="str">
        <f>"180.59"</f>
        <v>180.59</v>
      </c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</row>
    <row r="504" spans="1:35">
      <c r="A504" s="14">
        <v>502</v>
      </c>
      <c r="B504" s="14">
        <v>10614</v>
      </c>
      <c r="C504" s="14" t="s">
        <v>660</v>
      </c>
      <c r="D504" s="14" t="s">
        <v>76</v>
      </c>
      <c r="E504" s="15" t="str">
        <f>"220.72"</f>
        <v>220.72</v>
      </c>
      <c r="F504" s="15"/>
      <c r="G504" s="16" t="str">
        <f>"220.72"</f>
        <v>220.72</v>
      </c>
      <c r="H504" s="17"/>
      <c r="I504" s="18">
        <v>3</v>
      </c>
      <c r="J504" s="18">
        <v>2016</v>
      </c>
      <c r="K504" s="18" t="str">
        <f>"387.21"</f>
        <v>387.21</v>
      </c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 t="str">
        <f>"307.63"</f>
        <v>307.63</v>
      </c>
      <c r="Y504" s="18" t="str">
        <f>"339.56"</f>
        <v>339.56</v>
      </c>
      <c r="Z504" s="18"/>
      <c r="AA504" s="18"/>
      <c r="AB504" s="18"/>
      <c r="AC504" s="18" t="str">
        <f>"202.70"</f>
        <v>202.70</v>
      </c>
      <c r="AD504" s="18" t="str">
        <f>"238.74"</f>
        <v>238.74</v>
      </c>
      <c r="AE504" s="18"/>
      <c r="AF504" s="18"/>
      <c r="AG504" s="18"/>
      <c r="AH504" s="18"/>
      <c r="AI504" s="18"/>
    </row>
    <row r="505" spans="1:35">
      <c r="A505" s="14">
        <v>503</v>
      </c>
      <c r="B505" s="14">
        <v>8498</v>
      </c>
      <c r="C505" s="14" t="s">
        <v>661</v>
      </c>
      <c r="D505" s="14" t="s">
        <v>76</v>
      </c>
      <c r="E505" s="15" t="str">
        <f>"220.97"</f>
        <v>220.97</v>
      </c>
      <c r="F505" s="15"/>
      <c r="G505" s="16" t="str">
        <f>"220.97"</f>
        <v>220.97</v>
      </c>
      <c r="H505" s="17"/>
      <c r="I505" s="18">
        <v>3</v>
      </c>
      <c r="J505" s="18">
        <v>2016</v>
      </c>
      <c r="K505" s="18" t="str">
        <f>"261.85"</f>
        <v>261.85</v>
      </c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 t="str">
        <f>"199.95"</f>
        <v>199.95</v>
      </c>
      <c r="AD505" s="18" t="str">
        <f>"241.99"</f>
        <v>241.99</v>
      </c>
      <c r="AE505" s="18"/>
      <c r="AF505" s="18"/>
      <c r="AG505" s="18"/>
      <c r="AH505" s="18"/>
      <c r="AI505" s="18"/>
    </row>
    <row r="506" spans="1:35">
      <c r="A506" s="14">
        <v>504</v>
      </c>
      <c r="B506" s="14">
        <v>2213</v>
      </c>
      <c r="C506" s="14" t="s">
        <v>662</v>
      </c>
      <c r="D506" s="14" t="s">
        <v>198</v>
      </c>
      <c r="E506" s="15" t="str">
        <f>"181.10"</f>
        <v>181.10</v>
      </c>
      <c r="F506" s="15"/>
      <c r="G506" s="16" t="str">
        <f>"221.10"</f>
        <v>221.10</v>
      </c>
      <c r="H506" s="17" t="s">
        <v>48</v>
      </c>
      <c r="I506" s="18">
        <v>1</v>
      </c>
      <c r="J506" s="18">
        <v>2016</v>
      </c>
      <c r="K506" s="18" t="str">
        <f>"181.10"</f>
        <v>181.10</v>
      </c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</row>
    <row r="507" spans="1:35">
      <c r="A507" s="14">
        <v>505</v>
      </c>
      <c r="B507" s="14">
        <v>11023</v>
      </c>
      <c r="C507" s="14" t="s">
        <v>663</v>
      </c>
      <c r="D507" s="14" t="s">
        <v>153</v>
      </c>
      <c r="E507" s="15" t="str">
        <f>"222.65"</f>
        <v>222.65</v>
      </c>
      <c r="F507" s="15"/>
      <c r="G507" s="16" t="str">
        <f>"222.65"</f>
        <v>222.65</v>
      </c>
      <c r="H507" s="17" t="s">
        <v>54</v>
      </c>
      <c r="I507" s="18">
        <v>4</v>
      </c>
      <c r="J507" s="18">
        <v>2016</v>
      </c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 t="str">
        <f>"182.65"</f>
        <v>182.65</v>
      </c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</row>
    <row r="508" spans="1:35">
      <c r="A508" s="14">
        <v>506</v>
      </c>
      <c r="B508" s="14">
        <v>10332</v>
      </c>
      <c r="C508" s="14" t="s">
        <v>664</v>
      </c>
      <c r="D508" s="14" t="s">
        <v>148</v>
      </c>
      <c r="E508" s="15" t="str">
        <f>"185.12"</f>
        <v>185.12</v>
      </c>
      <c r="F508" s="15"/>
      <c r="G508" s="16" t="str">
        <f>"223.43"</f>
        <v>223.43</v>
      </c>
      <c r="H508" s="17" t="s">
        <v>54</v>
      </c>
      <c r="I508" s="18">
        <v>2</v>
      </c>
      <c r="J508" s="18">
        <v>2016</v>
      </c>
      <c r="K508" s="18" t="str">
        <f>"186.81"</f>
        <v>186.81</v>
      </c>
      <c r="L508" s="18"/>
      <c r="M508" s="18"/>
      <c r="N508" s="18"/>
      <c r="O508" s="18"/>
      <c r="P508" s="18" t="str">
        <f>"183.43"</f>
        <v>183.43</v>
      </c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</row>
    <row r="509" spans="1:35">
      <c r="A509" s="14">
        <v>507</v>
      </c>
      <c r="B509" s="14">
        <v>2191</v>
      </c>
      <c r="C509" s="14" t="s">
        <v>665</v>
      </c>
      <c r="D509" s="14" t="s">
        <v>76</v>
      </c>
      <c r="E509" s="15" t="str">
        <f>"223.98"</f>
        <v>223.98</v>
      </c>
      <c r="F509" s="15"/>
      <c r="G509" s="16" t="str">
        <f>"223.98"</f>
        <v>223.98</v>
      </c>
      <c r="H509" s="17"/>
      <c r="I509" s="18">
        <v>3</v>
      </c>
      <c r="J509" s="18">
        <v>2016</v>
      </c>
      <c r="K509" s="18" t="str">
        <f>"304.36"</f>
        <v>304.36</v>
      </c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 t="str">
        <f>"273.71"</f>
        <v>273.71</v>
      </c>
      <c r="Y509" s="18" t="str">
        <f>"255.43"</f>
        <v>255.43</v>
      </c>
      <c r="Z509" s="18"/>
      <c r="AA509" s="18"/>
      <c r="AB509" s="18"/>
      <c r="AC509" s="18" t="str">
        <f>"209.21"</f>
        <v>209.21</v>
      </c>
      <c r="AD509" s="18" t="str">
        <f>"238.74"</f>
        <v>238.74</v>
      </c>
      <c r="AE509" s="18"/>
      <c r="AF509" s="18"/>
      <c r="AG509" s="18"/>
      <c r="AH509" s="18"/>
      <c r="AI509" s="18"/>
    </row>
    <row r="510" spans="1:35">
      <c r="A510" s="14">
        <v>508</v>
      </c>
      <c r="B510" s="14">
        <v>10549</v>
      </c>
      <c r="C510" s="14" t="s">
        <v>666</v>
      </c>
      <c r="D510" s="14" t="s">
        <v>76</v>
      </c>
      <c r="E510" s="15" t="str">
        <f>"224.38"</f>
        <v>224.38</v>
      </c>
      <c r="F510" s="15"/>
      <c r="G510" s="16" t="str">
        <f>"224.38"</f>
        <v>224.38</v>
      </c>
      <c r="H510" s="17"/>
      <c r="I510" s="18">
        <v>3</v>
      </c>
      <c r="J510" s="18">
        <v>2016</v>
      </c>
      <c r="K510" s="18" t="str">
        <f>"286.17"</f>
        <v>286.17</v>
      </c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 t="str">
        <f>"269.66"</f>
        <v>269.66</v>
      </c>
      <c r="Y510" s="18" t="str">
        <f>"324.48"</f>
        <v>324.48</v>
      </c>
      <c r="Z510" s="18"/>
      <c r="AA510" s="18"/>
      <c r="AB510" s="18"/>
      <c r="AC510" s="18" t="str">
        <f>"219.25"</f>
        <v>219.25</v>
      </c>
      <c r="AD510" s="18" t="str">
        <f>"229.51"</f>
        <v>229.51</v>
      </c>
      <c r="AE510" s="18"/>
      <c r="AF510" s="18"/>
      <c r="AG510" s="18"/>
      <c r="AH510" s="18"/>
      <c r="AI510" s="18"/>
    </row>
    <row r="511" spans="1:35">
      <c r="A511" s="14">
        <v>509</v>
      </c>
      <c r="B511" s="14">
        <v>3611</v>
      </c>
      <c r="C511" s="14" t="s">
        <v>667</v>
      </c>
      <c r="D511" s="14" t="s">
        <v>198</v>
      </c>
      <c r="E511" s="15" t="str">
        <f>"184.54"</f>
        <v>184.54</v>
      </c>
      <c r="F511" s="15"/>
      <c r="G511" s="16" t="str">
        <f>"224.54"</f>
        <v>224.54</v>
      </c>
      <c r="H511" s="17" t="s">
        <v>48</v>
      </c>
      <c r="I511" s="18">
        <v>1</v>
      </c>
      <c r="J511" s="18">
        <v>2016</v>
      </c>
      <c r="K511" s="18" t="str">
        <f>"184.54"</f>
        <v>184.54</v>
      </c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</row>
    <row r="512" spans="1:35">
      <c r="A512" s="14">
        <v>510</v>
      </c>
      <c r="B512" s="14">
        <v>820</v>
      </c>
      <c r="C512" s="14" t="s">
        <v>668</v>
      </c>
      <c r="D512" s="14" t="s">
        <v>669</v>
      </c>
      <c r="E512" s="15" t="str">
        <f>"184.54"</f>
        <v>184.54</v>
      </c>
      <c r="F512" s="15"/>
      <c r="G512" s="16" t="str">
        <f>"224.54"</f>
        <v>224.54</v>
      </c>
      <c r="H512" s="17" t="s">
        <v>48</v>
      </c>
      <c r="I512" s="18">
        <v>1</v>
      </c>
      <c r="J512" s="18">
        <v>2016</v>
      </c>
      <c r="K512" s="18" t="str">
        <f>"184.54"</f>
        <v>184.54</v>
      </c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</row>
    <row r="513" spans="1:35">
      <c r="A513" s="14">
        <v>511</v>
      </c>
      <c r="B513" s="14">
        <v>7055</v>
      </c>
      <c r="C513" s="14" t="s">
        <v>670</v>
      </c>
      <c r="D513" s="14" t="s">
        <v>354</v>
      </c>
      <c r="E513" s="15" t="str">
        <f>"184.67"</f>
        <v>184.67</v>
      </c>
      <c r="F513" s="15"/>
      <c r="G513" s="16" t="str">
        <f>"224.67"</f>
        <v>224.67</v>
      </c>
      <c r="H513" s="17" t="s">
        <v>48</v>
      </c>
      <c r="I513" s="18">
        <v>1</v>
      </c>
      <c r="J513" s="18">
        <v>2016</v>
      </c>
      <c r="K513" s="18" t="str">
        <f>"184.67"</f>
        <v>184.67</v>
      </c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</row>
    <row r="514" spans="1:35">
      <c r="A514" s="14">
        <v>512</v>
      </c>
      <c r="B514" s="14">
        <v>5343</v>
      </c>
      <c r="C514" s="14" t="s">
        <v>671</v>
      </c>
      <c r="D514" s="14" t="s">
        <v>86</v>
      </c>
      <c r="E514" s="15" t="str">
        <f>"185.16"</f>
        <v>185.16</v>
      </c>
      <c r="F514" s="15"/>
      <c r="G514" s="16" t="str">
        <f>"225.16"</f>
        <v>225.16</v>
      </c>
      <c r="H514" s="17" t="s">
        <v>48</v>
      </c>
      <c r="I514" s="18">
        <v>1</v>
      </c>
      <c r="J514" s="18">
        <v>2016</v>
      </c>
      <c r="K514" s="18" t="str">
        <f>"185.16"</f>
        <v>185.16</v>
      </c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</row>
    <row r="515" spans="1:35">
      <c r="A515" s="14">
        <v>513</v>
      </c>
      <c r="B515" s="14">
        <v>8568</v>
      </c>
      <c r="C515" s="14" t="s">
        <v>672</v>
      </c>
      <c r="D515" s="14" t="s">
        <v>133</v>
      </c>
      <c r="E515" s="15" t="str">
        <f>"180.73"</f>
        <v>180.73</v>
      </c>
      <c r="F515" s="15"/>
      <c r="G515" s="16" t="str">
        <f>"225.19"</f>
        <v>225.19</v>
      </c>
      <c r="H515" s="17" t="s">
        <v>54</v>
      </c>
      <c r="I515" s="18">
        <v>2</v>
      </c>
      <c r="J515" s="18">
        <v>2016</v>
      </c>
      <c r="K515" s="18" t="str">
        <f>"180.73"</f>
        <v>180.73</v>
      </c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 t="str">
        <f>"185.19"</f>
        <v>185.19</v>
      </c>
      <c r="AH515" s="18"/>
      <c r="AI515" s="18"/>
    </row>
    <row r="516" spans="1:35">
      <c r="A516" s="14">
        <v>514</v>
      </c>
      <c r="B516" s="14">
        <v>2243</v>
      </c>
      <c r="C516" s="14" t="s">
        <v>673</v>
      </c>
      <c r="D516" s="14" t="s">
        <v>76</v>
      </c>
      <c r="E516" s="15" t="str">
        <f>"170.84"</f>
        <v>170.84</v>
      </c>
      <c r="F516" s="15"/>
      <c r="G516" s="16" t="str">
        <f>"225.20"</f>
        <v>225.20</v>
      </c>
      <c r="H516" s="17"/>
      <c r="I516" s="18">
        <v>3</v>
      </c>
      <c r="J516" s="18">
        <v>2016</v>
      </c>
      <c r="K516" s="18" t="str">
        <f>"170.84"</f>
        <v>170.84</v>
      </c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 t="str">
        <f>"248.79"</f>
        <v>248.79</v>
      </c>
      <c r="Z516" s="18"/>
      <c r="AA516" s="18"/>
      <c r="AB516" s="18"/>
      <c r="AC516" s="18"/>
      <c r="AD516" s="18" t="str">
        <f>"201.61"</f>
        <v>201.61</v>
      </c>
      <c r="AE516" s="18"/>
      <c r="AF516" s="18"/>
      <c r="AG516" s="18"/>
      <c r="AH516" s="18"/>
      <c r="AI516" s="18"/>
    </row>
    <row r="517" spans="1:35">
      <c r="A517" s="14">
        <v>515</v>
      </c>
      <c r="B517" s="14">
        <v>10966</v>
      </c>
      <c r="C517" s="14" t="s">
        <v>674</v>
      </c>
      <c r="D517" s="14" t="s">
        <v>398</v>
      </c>
      <c r="E517" s="15" t="str">
        <f>"225.45"</f>
        <v>225.45</v>
      </c>
      <c r="F517" s="15"/>
      <c r="G517" s="16" t="str">
        <f>"225.45"</f>
        <v>225.45</v>
      </c>
      <c r="H517" s="17"/>
      <c r="I517" s="18">
        <v>5</v>
      </c>
      <c r="J517" s="18">
        <v>2016</v>
      </c>
      <c r="K517" s="18"/>
      <c r="L517" s="18"/>
      <c r="M517" s="18"/>
      <c r="N517" s="18"/>
      <c r="O517" s="18"/>
      <c r="P517" s="18" t="str">
        <f>"273.85"</f>
        <v>273.85</v>
      </c>
      <c r="Q517" s="18"/>
      <c r="R517" s="18"/>
      <c r="S517" s="18" t="str">
        <f>"237.07"</f>
        <v>237.07</v>
      </c>
      <c r="T517" s="18" t="str">
        <f>"213.83"</f>
        <v>213.83</v>
      </c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</row>
    <row r="518" spans="1:35">
      <c r="A518" s="14">
        <v>516</v>
      </c>
      <c r="B518" s="14">
        <v>745</v>
      </c>
      <c r="C518" s="14" t="s">
        <v>675</v>
      </c>
      <c r="D518" s="14" t="s">
        <v>86</v>
      </c>
      <c r="E518" s="15" t="str">
        <f>"213.82"</f>
        <v>213.82</v>
      </c>
      <c r="F518" s="15"/>
      <c r="G518" s="16" t="str">
        <f>"225.67"</f>
        <v>225.67</v>
      </c>
      <c r="H518" s="17"/>
      <c r="I518" s="18">
        <v>3</v>
      </c>
      <c r="J518" s="18">
        <v>2016</v>
      </c>
      <c r="K518" s="18" t="str">
        <f>"213.82"</f>
        <v>213.82</v>
      </c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 t="str">
        <f>"220.75"</f>
        <v>220.75</v>
      </c>
      <c r="AF518" s="18" t="str">
        <f>"230.59"</f>
        <v>230.59</v>
      </c>
      <c r="AG518" s="18"/>
      <c r="AH518" s="18"/>
      <c r="AI518" s="18"/>
    </row>
    <row r="519" spans="1:35">
      <c r="A519" s="14">
        <v>517</v>
      </c>
      <c r="B519" s="14">
        <v>10444</v>
      </c>
      <c r="C519" s="14" t="s">
        <v>676</v>
      </c>
      <c r="D519" s="14" t="s">
        <v>98</v>
      </c>
      <c r="E519" s="15" t="str">
        <f>"225.75"</f>
        <v>225.75</v>
      </c>
      <c r="F519" s="15"/>
      <c r="G519" s="16" t="str">
        <f>"225.75"</f>
        <v>225.75</v>
      </c>
      <c r="H519" s="17"/>
      <c r="I519" s="18">
        <v>3</v>
      </c>
      <c r="J519" s="18">
        <v>2016</v>
      </c>
      <c r="K519" s="18" t="str">
        <f>"422.98"</f>
        <v>422.98</v>
      </c>
      <c r="L519" s="18"/>
      <c r="M519" s="18"/>
      <c r="N519" s="18"/>
      <c r="O519" s="18"/>
      <c r="P519" s="18"/>
      <c r="Q519" s="18"/>
      <c r="R519" s="18"/>
      <c r="S519" s="18"/>
      <c r="T519" s="18"/>
      <c r="U519" s="18" t="str">
        <f>"290.70"</f>
        <v>290.70</v>
      </c>
      <c r="V519" s="18"/>
      <c r="W519" s="18"/>
      <c r="X519" s="18"/>
      <c r="Y519" s="18"/>
      <c r="Z519" s="18" t="str">
        <f>"160.79"</f>
        <v>160.79</v>
      </c>
      <c r="AA519" s="18"/>
      <c r="AB519" s="18"/>
      <c r="AC519" s="18"/>
      <c r="AD519" s="18"/>
      <c r="AE519" s="18"/>
      <c r="AF519" s="18"/>
      <c r="AG519" s="18"/>
      <c r="AH519" s="18"/>
      <c r="AI519" s="18"/>
    </row>
    <row r="520" spans="1:35">
      <c r="A520" s="14">
        <v>518</v>
      </c>
      <c r="B520" s="14">
        <v>5502</v>
      </c>
      <c r="C520" s="14" t="s">
        <v>677</v>
      </c>
      <c r="D520" s="14" t="s">
        <v>98</v>
      </c>
      <c r="E520" s="15" t="str">
        <f>"226.08"</f>
        <v>226.08</v>
      </c>
      <c r="F520" s="15"/>
      <c r="G520" s="16" t="str">
        <f>"226.08"</f>
        <v>226.08</v>
      </c>
      <c r="H520" s="17"/>
      <c r="I520" s="18">
        <v>3</v>
      </c>
      <c r="J520" s="18">
        <v>2016</v>
      </c>
      <c r="K520" s="18" t="str">
        <f>"259.67"</f>
        <v>259.67</v>
      </c>
      <c r="L520" s="18"/>
      <c r="M520" s="18"/>
      <c r="N520" s="18"/>
      <c r="O520" s="18"/>
      <c r="P520" s="18"/>
      <c r="Q520" s="18" t="str">
        <f>"211.38"</f>
        <v>211.38</v>
      </c>
      <c r="R520" s="18"/>
      <c r="S520" s="18"/>
      <c r="T520" s="18"/>
      <c r="U520" s="18"/>
      <c r="V520" s="18"/>
      <c r="W520" s="18"/>
      <c r="X520" s="18"/>
      <c r="Y520" s="18"/>
      <c r="Z520" s="18" t="str">
        <f>"240.78"</f>
        <v>240.78</v>
      </c>
      <c r="AA520" s="18"/>
      <c r="AB520" s="18"/>
      <c r="AC520" s="18"/>
      <c r="AD520" s="18"/>
      <c r="AE520" s="18"/>
      <c r="AF520" s="18"/>
      <c r="AG520" s="18"/>
      <c r="AH520" s="18"/>
      <c r="AI520" s="18"/>
    </row>
    <row r="521" spans="1:35">
      <c r="A521" s="14">
        <v>519</v>
      </c>
      <c r="B521" s="14">
        <v>8495</v>
      </c>
      <c r="C521" s="14" t="s">
        <v>678</v>
      </c>
      <c r="D521" s="14" t="s">
        <v>76</v>
      </c>
      <c r="E521" s="15" t="str">
        <f>"226.14"</f>
        <v>226.14</v>
      </c>
      <c r="F521" s="15"/>
      <c r="G521" s="16" t="str">
        <f>"226.14"</f>
        <v>226.14</v>
      </c>
      <c r="H521" s="17"/>
      <c r="I521" s="18">
        <v>3</v>
      </c>
      <c r="J521" s="18">
        <v>2016</v>
      </c>
      <c r="K521" s="18" t="str">
        <f>"275.46"</f>
        <v>275.46</v>
      </c>
      <c r="L521" s="18" t="str">
        <f>"281.09"</f>
        <v>281.09</v>
      </c>
      <c r="M521" s="18"/>
      <c r="N521" s="18" t="str">
        <f>"259.07"</f>
        <v>259.07</v>
      </c>
      <c r="O521" s="18"/>
      <c r="P521" s="18"/>
      <c r="Q521" s="18"/>
      <c r="R521" s="18"/>
      <c r="S521" s="18"/>
      <c r="T521" s="18"/>
      <c r="U521" s="18"/>
      <c r="V521" s="18"/>
      <c r="W521" s="18"/>
      <c r="X521" s="18" t="str">
        <f>"220.07"</f>
        <v>220.07</v>
      </c>
      <c r="Y521" s="18" t="str">
        <f>"232.21"</f>
        <v>232.21</v>
      </c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</row>
    <row r="522" spans="1:35">
      <c r="A522" s="14">
        <v>520</v>
      </c>
      <c r="B522" s="14">
        <v>6912</v>
      </c>
      <c r="C522" s="14" t="s">
        <v>679</v>
      </c>
      <c r="D522" s="14" t="s">
        <v>680</v>
      </c>
      <c r="E522" s="15" t="str">
        <f>"186.18"</f>
        <v>186.18</v>
      </c>
      <c r="F522" s="15"/>
      <c r="G522" s="16" t="str">
        <f>"226.18"</f>
        <v>226.18</v>
      </c>
      <c r="H522" s="17" t="s">
        <v>48</v>
      </c>
      <c r="I522" s="18">
        <v>1</v>
      </c>
      <c r="J522" s="18">
        <v>2016</v>
      </c>
      <c r="K522" s="18" t="str">
        <f>"186.18"</f>
        <v>186.18</v>
      </c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</row>
    <row r="523" spans="1:35">
      <c r="A523" s="14">
        <v>521</v>
      </c>
      <c r="B523" s="14">
        <v>4546</v>
      </c>
      <c r="C523" s="14" t="s">
        <v>681</v>
      </c>
      <c r="D523" s="14" t="s">
        <v>222</v>
      </c>
      <c r="E523" s="15" t="str">
        <f>"174.75"</f>
        <v>174.75</v>
      </c>
      <c r="F523" s="15"/>
      <c r="G523" s="16" t="str">
        <f>"226.27"</f>
        <v>226.27</v>
      </c>
      <c r="H523" s="17"/>
      <c r="I523" s="18">
        <v>3</v>
      </c>
      <c r="J523" s="18">
        <v>2016</v>
      </c>
      <c r="K523" s="18" t="str">
        <f>"174.75"</f>
        <v>174.75</v>
      </c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 t="str">
        <f>"191.80"</f>
        <v>191.80</v>
      </c>
      <c r="W523" s="18"/>
      <c r="X523" s="18"/>
      <c r="Y523" s="18"/>
      <c r="Z523" s="18"/>
      <c r="AA523" s="18"/>
      <c r="AB523" s="18"/>
      <c r="AC523" s="18"/>
      <c r="AD523" s="18"/>
      <c r="AE523" s="18"/>
      <c r="AF523" s="18" t="str">
        <f>"260.73"</f>
        <v>260.73</v>
      </c>
      <c r="AG523" s="18"/>
      <c r="AH523" s="18"/>
      <c r="AI523" s="18"/>
    </row>
    <row r="524" spans="1:35">
      <c r="A524" s="14">
        <v>522</v>
      </c>
      <c r="B524" s="14">
        <v>2287</v>
      </c>
      <c r="C524" s="14" t="s">
        <v>682</v>
      </c>
      <c r="D524" s="14" t="s">
        <v>76</v>
      </c>
      <c r="E524" s="15" t="str">
        <f>"176.24"</f>
        <v>176.24</v>
      </c>
      <c r="F524" s="15"/>
      <c r="G524" s="16" t="str">
        <f>"226.68"</f>
        <v>226.68</v>
      </c>
      <c r="H524" s="17"/>
      <c r="I524" s="18">
        <v>3</v>
      </c>
      <c r="J524" s="18">
        <v>2016</v>
      </c>
      <c r="K524" s="18" t="str">
        <f>"176.24"</f>
        <v>176.24</v>
      </c>
      <c r="L524" s="18" t="str">
        <f>"336.60"</f>
        <v>336.60</v>
      </c>
      <c r="M524" s="18"/>
      <c r="N524" s="18" t="str">
        <f>"254.45"</f>
        <v>254.45</v>
      </c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 t="str">
        <f>"269.70"</f>
        <v>269.70</v>
      </c>
      <c r="Z524" s="18"/>
      <c r="AA524" s="18"/>
      <c r="AB524" s="18"/>
      <c r="AC524" s="18"/>
      <c r="AD524" s="18" t="str">
        <f>"233.74"</f>
        <v>233.74</v>
      </c>
      <c r="AE524" s="18" t="str">
        <f>"238.69"</f>
        <v>238.69</v>
      </c>
      <c r="AF524" s="18" t="str">
        <f>"219.62"</f>
        <v>219.62</v>
      </c>
      <c r="AG524" s="18"/>
      <c r="AH524" s="18"/>
      <c r="AI524" s="18"/>
    </row>
    <row r="525" spans="1:35">
      <c r="A525" s="14">
        <v>523</v>
      </c>
      <c r="B525" s="14">
        <v>1322</v>
      </c>
      <c r="C525" s="14" t="s">
        <v>683</v>
      </c>
      <c r="D525" s="14" t="s">
        <v>148</v>
      </c>
      <c r="E525" s="15" t="str">
        <f>"186.91"</f>
        <v>186.91</v>
      </c>
      <c r="F525" s="15"/>
      <c r="G525" s="16" t="str">
        <f>"226.91"</f>
        <v>226.91</v>
      </c>
      <c r="H525" s="17" t="s">
        <v>48</v>
      </c>
      <c r="I525" s="18">
        <v>1</v>
      </c>
      <c r="J525" s="18">
        <v>2016</v>
      </c>
      <c r="K525" s="18" t="str">
        <f>"186.91"</f>
        <v>186.91</v>
      </c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</row>
    <row r="526" spans="1:35">
      <c r="A526" s="14">
        <v>524</v>
      </c>
      <c r="B526" s="14">
        <v>6202</v>
      </c>
      <c r="C526" s="14" t="s">
        <v>684</v>
      </c>
      <c r="D526" s="14" t="s">
        <v>532</v>
      </c>
      <c r="E526" s="15" t="str">
        <f>"187.12"</f>
        <v>187.12</v>
      </c>
      <c r="F526" s="15"/>
      <c r="G526" s="16" t="str">
        <f>"227.12"</f>
        <v>227.12</v>
      </c>
      <c r="H526" s="17" t="s">
        <v>48</v>
      </c>
      <c r="I526" s="18">
        <v>1</v>
      </c>
      <c r="J526" s="18">
        <v>2016</v>
      </c>
      <c r="K526" s="18" t="str">
        <f>"187.12"</f>
        <v>187.12</v>
      </c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</row>
    <row r="527" spans="1:35">
      <c r="A527" s="14">
        <v>525</v>
      </c>
      <c r="B527" s="14">
        <v>4124</v>
      </c>
      <c r="C527" s="14" t="s">
        <v>685</v>
      </c>
      <c r="D527" s="14" t="s">
        <v>43</v>
      </c>
      <c r="E527" s="15" t="str">
        <f>"187.24"</f>
        <v>187.24</v>
      </c>
      <c r="F527" s="15"/>
      <c r="G527" s="16" t="str">
        <f>"227.24"</f>
        <v>227.24</v>
      </c>
      <c r="H527" s="17" t="s">
        <v>48</v>
      </c>
      <c r="I527" s="18">
        <v>1</v>
      </c>
      <c r="J527" s="18">
        <v>2016</v>
      </c>
      <c r="K527" s="18" t="str">
        <f>"187.24"</f>
        <v>187.24</v>
      </c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</row>
    <row r="528" spans="1:35">
      <c r="A528" s="14">
        <v>526</v>
      </c>
      <c r="B528" s="14">
        <v>5427</v>
      </c>
      <c r="C528" s="14" t="s">
        <v>686</v>
      </c>
      <c r="D528" s="14" t="s">
        <v>39</v>
      </c>
      <c r="E528" s="15" t="str">
        <f>"197.91"</f>
        <v>197.91</v>
      </c>
      <c r="F528" s="15"/>
      <c r="G528" s="16" t="str">
        <f>"227.35"</f>
        <v>227.35</v>
      </c>
      <c r="H528" s="17" t="s">
        <v>54</v>
      </c>
      <c r="I528" s="18">
        <v>2</v>
      </c>
      <c r="J528" s="18">
        <v>2016</v>
      </c>
      <c r="K528" s="18" t="str">
        <f>"208.47"</f>
        <v>208.47</v>
      </c>
      <c r="L528" s="18"/>
      <c r="M528" s="18"/>
      <c r="N528" s="18"/>
      <c r="O528" s="18"/>
      <c r="P528" s="18" t="str">
        <f>"187.35"</f>
        <v>187.35</v>
      </c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</row>
    <row r="529" spans="1:35">
      <c r="A529" s="14">
        <v>527</v>
      </c>
      <c r="B529" s="14">
        <v>10709</v>
      </c>
      <c r="C529" s="14" t="s">
        <v>687</v>
      </c>
      <c r="D529" s="14" t="s">
        <v>76</v>
      </c>
      <c r="E529" s="15" t="str">
        <f>"227.62"</f>
        <v>227.62</v>
      </c>
      <c r="F529" s="15"/>
      <c r="G529" s="16" t="str">
        <f>"227.62"</f>
        <v>227.62</v>
      </c>
      <c r="H529" s="17"/>
      <c r="I529" s="18">
        <v>3</v>
      </c>
      <c r="J529" s="18">
        <v>2016</v>
      </c>
      <c r="K529" s="18" t="str">
        <f>"523.69"</f>
        <v>523.69</v>
      </c>
      <c r="L529" s="18"/>
      <c r="M529" s="18"/>
      <c r="N529" s="18"/>
      <c r="O529" s="18"/>
      <c r="P529" s="18"/>
      <c r="Q529" s="18"/>
      <c r="R529" s="18"/>
      <c r="S529" s="18"/>
      <c r="T529" s="18"/>
      <c r="U529" s="18" t="str">
        <f>"321.84"</f>
        <v>321.84</v>
      </c>
      <c r="V529" s="18"/>
      <c r="W529" s="18"/>
      <c r="X529" s="18" t="str">
        <f>"261.55"</f>
        <v>261.55</v>
      </c>
      <c r="Y529" s="18"/>
      <c r="Z529" s="18"/>
      <c r="AA529" s="18"/>
      <c r="AB529" s="18"/>
      <c r="AC529" s="18" t="str">
        <f>"217.59"</f>
        <v>217.59</v>
      </c>
      <c r="AD529" s="18" t="str">
        <f>"237.65"</f>
        <v>237.65</v>
      </c>
      <c r="AE529" s="18"/>
      <c r="AF529" s="18"/>
      <c r="AG529" s="18"/>
      <c r="AH529" s="18"/>
      <c r="AI529" s="18"/>
    </row>
    <row r="530" spans="1:35">
      <c r="A530" s="14">
        <v>528</v>
      </c>
      <c r="B530" s="14">
        <v>10505</v>
      </c>
      <c r="C530" s="14" t="s">
        <v>688</v>
      </c>
      <c r="D530" s="14" t="s">
        <v>98</v>
      </c>
      <c r="E530" s="15" t="str">
        <f>"227.76"</f>
        <v>227.76</v>
      </c>
      <c r="F530" s="15"/>
      <c r="G530" s="16" t="str">
        <f>"227.76"</f>
        <v>227.76</v>
      </c>
      <c r="H530" s="17" t="s">
        <v>54</v>
      </c>
      <c r="I530" s="18">
        <v>4</v>
      </c>
      <c r="J530" s="18">
        <v>2016</v>
      </c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 t="str">
        <f>"187.76"</f>
        <v>187.76</v>
      </c>
      <c r="AA530" s="18"/>
      <c r="AB530" s="18"/>
      <c r="AC530" s="18"/>
      <c r="AD530" s="18"/>
      <c r="AE530" s="18"/>
      <c r="AF530" s="18"/>
      <c r="AG530" s="18"/>
      <c r="AH530" s="18"/>
      <c r="AI530" s="18"/>
    </row>
    <row r="531" spans="1:35">
      <c r="A531" s="14">
        <v>529</v>
      </c>
      <c r="B531" s="14">
        <v>5353</v>
      </c>
      <c r="C531" s="14" t="s">
        <v>689</v>
      </c>
      <c r="D531" s="14" t="s">
        <v>39</v>
      </c>
      <c r="E531" s="15" t="str">
        <f>"227.82"</f>
        <v>227.82</v>
      </c>
      <c r="F531" s="15"/>
      <c r="G531" s="16" t="str">
        <f>"227.82"</f>
        <v>227.82</v>
      </c>
      <c r="H531" s="17"/>
      <c r="I531" s="18">
        <v>3</v>
      </c>
      <c r="J531" s="18">
        <v>2016</v>
      </c>
      <c r="K531" s="18" t="str">
        <f>"282.41"</f>
        <v>282.41</v>
      </c>
      <c r="L531" s="18"/>
      <c r="M531" s="18"/>
      <c r="N531" s="18"/>
      <c r="O531" s="18"/>
      <c r="P531" s="18" t="str">
        <f>"241.67"</f>
        <v>241.67</v>
      </c>
      <c r="Q531" s="18"/>
      <c r="R531" s="18"/>
      <c r="S531" s="18"/>
      <c r="T531" s="18" t="str">
        <f>"213.96"</f>
        <v>213.96</v>
      </c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</row>
    <row r="532" spans="1:35">
      <c r="A532" s="14">
        <v>530</v>
      </c>
      <c r="B532" s="14">
        <v>1106</v>
      </c>
      <c r="C532" s="14" t="s">
        <v>690</v>
      </c>
      <c r="D532" s="14" t="s">
        <v>442</v>
      </c>
      <c r="E532" s="15" t="str">
        <f>"187.99"</f>
        <v>187.99</v>
      </c>
      <c r="F532" s="15"/>
      <c r="G532" s="16" t="str">
        <f>"227.99"</f>
        <v>227.99</v>
      </c>
      <c r="H532" s="17" t="s">
        <v>48</v>
      </c>
      <c r="I532" s="18">
        <v>1</v>
      </c>
      <c r="J532" s="18">
        <v>2016</v>
      </c>
      <c r="K532" s="18" t="str">
        <f>"187.99"</f>
        <v>187.99</v>
      </c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</row>
    <row r="533" spans="1:35">
      <c r="A533" s="14">
        <v>531</v>
      </c>
      <c r="B533" s="14">
        <v>10187</v>
      </c>
      <c r="C533" s="14" t="s">
        <v>691</v>
      </c>
      <c r="D533" s="14" t="s">
        <v>98</v>
      </c>
      <c r="E533" s="15" t="str">
        <f>"221.19"</f>
        <v>221.19</v>
      </c>
      <c r="F533" s="15"/>
      <c r="G533" s="16" t="str">
        <f>"228.22"</f>
        <v>228.22</v>
      </c>
      <c r="H533" s="17" t="s">
        <v>54</v>
      </c>
      <c r="I533" s="18">
        <v>2</v>
      </c>
      <c r="J533" s="18">
        <v>2016</v>
      </c>
      <c r="K533" s="18" t="str">
        <f>"254.15"</f>
        <v>254.15</v>
      </c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 t="str">
        <f>"188.22"</f>
        <v>188.22</v>
      </c>
      <c r="AA533" s="18"/>
      <c r="AB533" s="18"/>
      <c r="AC533" s="18"/>
      <c r="AD533" s="18"/>
      <c r="AE533" s="18"/>
      <c r="AF533" s="18"/>
      <c r="AG533" s="18"/>
      <c r="AH533" s="18"/>
      <c r="AI533" s="18"/>
    </row>
    <row r="534" spans="1:35">
      <c r="A534" s="14">
        <v>532</v>
      </c>
      <c r="B534" s="14">
        <v>7625</v>
      </c>
      <c r="C534" s="14" t="s">
        <v>692</v>
      </c>
      <c r="D534" s="14" t="s">
        <v>125</v>
      </c>
      <c r="E534" s="15" t="str">
        <f>"188.53"</f>
        <v>188.53</v>
      </c>
      <c r="F534" s="15"/>
      <c r="G534" s="16" t="str">
        <f>"228.53"</f>
        <v>228.53</v>
      </c>
      <c r="H534" s="17" t="s">
        <v>48</v>
      </c>
      <c r="I534" s="18">
        <v>1</v>
      </c>
      <c r="J534" s="18">
        <v>2016</v>
      </c>
      <c r="K534" s="18" t="str">
        <f>"188.53"</f>
        <v>188.53</v>
      </c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</row>
    <row r="535" spans="1:35">
      <c r="A535" s="14">
        <v>533</v>
      </c>
      <c r="B535" s="14">
        <v>1719</v>
      </c>
      <c r="C535" s="14" t="s">
        <v>693</v>
      </c>
      <c r="D535" s="14" t="s">
        <v>378</v>
      </c>
      <c r="E535" s="15" t="str">
        <f>"154.87"</f>
        <v>154.87</v>
      </c>
      <c r="F535" s="15"/>
      <c r="G535" s="16" t="str">
        <f>"228.96"</f>
        <v>228.96</v>
      </c>
      <c r="H535" s="17" t="s">
        <v>54</v>
      </c>
      <c r="I535" s="18">
        <v>2</v>
      </c>
      <c r="J535" s="18">
        <v>2016</v>
      </c>
      <c r="K535" s="18" t="str">
        <f>"154.87"</f>
        <v>154.87</v>
      </c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 t="str">
        <f>"188.96"</f>
        <v>188.96</v>
      </c>
      <c r="AH535" s="18"/>
      <c r="AI535" s="18"/>
    </row>
    <row r="536" spans="1:35">
      <c r="A536" s="14">
        <v>534</v>
      </c>
      <c r="B536" s="14">
        <v>2018</v>
      </c>
      <c r="C536" s="14" t="s">
        <v>694</v>
      </c>
      <c r="D536" s="14" t="s">
        <v>96</v>
      </c>
      <c r="E536" s="15" t="str">
        <f>"192.92"</f>
        <v>192.92</v>
      </c>
      <c r="F536" s="15"/>
      <c r="G536" s="16" t="str">
        <f>"229.00"</f>
        <v>229.00</v>
      </c>
      <c r="H536" s="17"/>
      <c r="I536" s="18">
        <v>3</v>
      </c>
      <c r="J536" s="18">
        <v>2016</v>
      </c>
      <c r="K536" s="18" t="str">
        <f>"192.92"</f>
        <v>192.92</v>
      </c>
      <c r="L536" s="18" t="str">
        <f>"245.19"</f>
        <v>245.19</v>
      </c>
      <c r="M536" s="18"/>
      <c r="N536" s="18" t="str">
        <f>"212.81"</f>
        <v>212.81</v>
      </c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</row>
    <row r="537" spans="1:35">
      <c r="A537" s="14">
        <v>535</v>
      </c>
      <c r="B537" s="14">
        <v>6124</v>
      </c>
      <c r="C537" s="14" t="s">
        <v>695</v>
      </c>
      <c r="D537" s="14" t="s">
        <v>39</v>
      </c>
      <c r="E537" s="15" t="str">
        <f>"168.19"</f>
        <v>168.19</v>
      </c>
      <c r="F537" s="15"/>
      <c r="G537" s="16" t="str">
        <f>"229.28"</f>
        <v>229.28</v>
      </c>
      <c r="H537" s="17"/>
      <c r="I537" s="18">
        <v>3</v>
      </c>
      <c r="J537" s="18">
        <v>2016</v>
      </c>
      <c r="K537" s="18" t="str">
        <f>"168.19"</f>
        <v>168.19</v>
      </c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 t="str">
        <f>"209.78"</f>
        <v>209.78</v>
      </c>
      <c r="W537" s="18"/>
      <c r="X537" s="18"/>
      <c r="Y537" s="18"/>
      <c r="Z537" s="18"/>
      <c r="AA537" s="18"/>
      <c r="AB537" s="18"/>
      <c r="AC537" s="18"/>
      <c r="AD537" s="18"/>
      <c r="AE537" s="18" t="str">
        <f>"250.14"</f>
        <v>250.14</v>
      </c>
      <c r="AF537" s="18" t="str">
        <f>"256.05"</f>
        <v>256.05</v>
      </c>
      <c r="AG537" s="18" t="str">
        <f>"248.77"</f>
        <v>248.77</v>
      </c>
      <c r="AH537" s="18"/>
      <c r="AI537" s="18"/>
    </row>
    <row r="538" spans="1:35">
      <c r="A538" s="14">
        <v>536</v>
      </c>
      <c r="B538" s="14">
        <v>9134</v>
      </c>
      <c r="C538" s="14" t="s">
        <v>696</v>
      </c>
      <c r="D538" s="14" t="s">
        <v>312</v>
      </c>
      <c r="E538" s="15" t="str">
        <f>"166.49"</f>
        <v>166.49</v>
      </c>
      <c r="F538" s="15"/>
      <c r="G538" s="16" t="str">
        <f>"229.39"</f>
        <v>229.39</v>
      </c>
      <c r="H538" s="17"/>
      <c r="I538" s="18">
        <v>3</v>
      </c>
      <c r="J538" s="18">
        <v>2016</v>
      </c>
      <c r="K538" s="18" t="str">
        <f>"166.49"</f>
        <v>166.49</v>
      </c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 t="str">
        <f>"174.97"</f>
        <v>174.97</v>
      </c>
      <c r="W538" s="18"/>
      <c r="X538" s="18"/>
      <c r="Y538" s="18"/>
      <c r="Z538" s="18"/>
      <c r="AA538" s="18" t="str">
        <f>"283.81"</f>
        <v>283.81</v>
      </c>
      <c r="AB538" s="18"/>
      <c r="AC538" s="18"/>
      <c r="AD538" s="18"/>
      <c r="AE538" s="18"/>
      <c r="AF538" s="18"/>
      <c r="AG538" s="18"/>
      <c r="AH538" s="18"/>
      <c r="AI538" s="18"/>
    </row>
    <row r="539" spans="1:35">
      <c r="A539" s="14">
        <v>537</v>
      </c>
      <c r="B539" s="14">
        <v>1349</v>
      </c>
      <c r="C539" s="14" t="s">
        <v>697</v>
      </c>
      <c r="D539" s="14" t="s">
        <v>240</v>
      </c>
      <c r="E539" s="15" t="str">
        <f>"186.65"</f>
        <v>186.65</v>
      </c>
      <c r="F539" s="15"/>
      <c r="G539" s="16" t="str">
        <f>"229.41"</f>
        <v>229.41</v>
      </c>
      <c r="H539" s="17"/>
      <c r="I539" s="18">
        <v>3</v>
      </c>
      <c r="J539" s="18">
        <v>2016</v>
      </c>
      <c r="K539" s="18" t="str">
        <f>"186.65"</f>
        <v>186.65</v>
      </c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 t="str">
        <f>"207.83"</f>
        <v>207.83</v>
      </c>
      <c r="X539" s="18"/>
      <c r="Y539" s="18"/>
      <c r="Z539" s="18"/>
      <c r="AA539" s="18"/>
      <c r="AB539" s="18" t="str">
        <f>"250.98"</f>
        <v>250.98</v>
      </c>
      <c r="AC539" s="18"/>
      <c r="AD539" s="18"/>
      <c r="AE539" s="18"/>
      <c r="AF539" s="18"/>
      <c r="AG539" s="18"/>
      <c r="AH539" s="18"/>
      <c r="AI539" s="18"/>
    </row>
    <row r="540" spans="1:35">
      <c r="A540" s="14">
        <v>538</v>
      </c>
      <c r="B540" s="14">
        <v>10686</v>
      </c>
      <c r="C540" s="14" t="s">
        <v>698</v>
      </c>
      <c r="D540" s="14" t="s">
        <v>590</v>
      </c>
      <c r="E540" s="15" t="str">
        <f>"229.41"</f>
        <v>229.41</v>
      </c>
      <c r="F540" s="15"/>
      <c r="G540" s="16" t="str">
        <f>"229.41"</f>
        <v>229.41</v>
      </c>
      <c r="H540" s="17"/>
      <c r="I540" s="18">
        <v>3</v>
      </c>
      <c r="J540" s="18">
        <v>2016</v>
      </c>
      <c r="K540" s="18" t="str">
        <f>"393.75"</f>
        <v>393.75</v>
      </c>
      <c r="L540" s="18"/>
      <c r="M540" s="18"/>
      <c r="N540" s="18"/>
      <c r="O540" s="18"/>
      <c r="P540" s="18" t="str">
        <f>"271.64"</f>
        <v>271.64</v>
      </c>
      <c r="Q540" s="18"/>
      <c r="R540" s="18"/>
      <c r="S540" s="18" t="str">
        <f>"211.67"</f>
        <v>211.67</v>
      </c>
      <c r="T540" s="18" t="str">
        <f>"247.14"</f>
        <v>247.14</v>
      </c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</row>
    <row r="541" spans="1:35">
      <c r="A541" s="14">
        <v>539</v>
      </c>
      <c r="B541" s="14">
        <v>10702</v>
      </c>
      <c r="C541" s="14" t="s">
        <v>699</v>
      </c>
      <c r="D541" s="14" t="s">
        <v>98</v>
      </c>
      <c r="E541" s="15" t="str">
        <f>"229.85"</f>
        <v>229.85</v>
      </c>
      <c r="F541" s="15"/>
      <c r="G541" s="16" t="str">
        <f>"229.85"</f>
        <v>229.85</v>
      </c>
      <c r="H541" s="17"/>
      <c r="I541" s="18">
        <v>3</v>
      </c>
      <c r="J541" s="18">
        <v>2016</v>
      </c>
      <c r="K541" s="18" t="str">
        <f>"299.46"</f>
        <v>299.46</v>
      </c>
      <c r="L541" s="18" t="str">
        <f>"299.68"</f>
        <v>299.68</v>
      </c>
      <c r="M541" s="18"/>
      <c r="N541" s="18" t="str">
        <f>"300.71"</f>
        <v>300.71</v>
      </c>
      <c r="O541" s="18"/>
      <c r="P541" s="18"/>
      <c r="Q541" s="18"/>
      <c r="R541" s="18"/>
      <c r="S541" s="18"/>
      <c r="T541" s="18"/>
      <c r="U541" s="18" t="str">
        <f>"265.50"</f>
        <v>265.50</v>
      </c>
      <c r="V541" s="18"/>
      <c r="W541" s="18"/>
      <c r="X541" s="18"/>
      <c r="Y541" s="18"/>
      <c r="Z541" s="18" t="str">
        <f>"233.93"</f>
        <v>233.93</v>
      </c>
      <c r="AA541" s="18"/>
      <c r="AB541" s="18"/>
      <c r="AC541" s="18"/>
      <c r="AD541" s="18"/>
      <c r="AE541" s="18"/>
      <c r="AF541" s="18"/>
      <c r="AG541" s="18" t="str">
        <f>"225.77"</f>
        <v>225.77</v>
      </c>
      <c r="AH541" s="18"/>
      <c r="AI541" s="18"/>
    </row>
    <row r="542" spans="1:35">
      <c r="A542" s="14">
        <v>540</v>
      </c>
      <c r="B542" s="14">
        <v>1342</v>
      </c>
      <c r="C542" s="14" t="s">
        <v>700</v>
      </c>
      <c r="D542" s="14" t="s">
        <v>242</v>
      </c>
      <c r="E542" s="15" t="str">
        <f>"199.93"</f>
        <v>199.93</v>
      </c>
      <c r="F542" s="15"/>
      <c r="G542" s="16" t="str">
        <f>"230.21"</f>
        <v>230.21</v>
      </c>
      <c r="H542" s="17" t="s">
        <v>54</v>
      </c>
      <c r="I542" s="18">
        <v>2</v>
      </c>
      <c r="J542" s="18">
        <v>2016</v>
      </c>
      <c r="K542" s="18" t="str">
        <f>"209.64"</f>
        <v>209.64</v>
      </c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 t="str">
        <f>"190.21"</f>
        <v>190.21</v>
      </c>
      <c r="AH542" s="18"/>
      <c r="AI542" s="18"/>
    </row>
    <row r="543" spans="1:35">
      <c r="A543" s="14">
        <v>541</v>
      </c>
      <c r="B543" s="14">
        <v>2164</v>
      </c>
      <c r="C543" s="14" t="s">
        <v>701</v>
      </c>
      <c r="D543" s="14" t="s">
        <v>702</v>
      </c>
      <c r="E543" s="15" t="str">
        <f>"190.34"</f>
        <v>190.34</v>
      </c>
      <c r="F543" s="15"/>
      <c r="G543" s="16" t="str">
        <f>"230.34"</f>
        <v>230.34</v>
      </c>
      <c r="H543" s="17" t="s">
        <v>48</v>
      </c>
      <c r="I543" s="18">
        <v>1</v>
      </c>
      <c r="J543" s="18">
        <v>2016</v>
      </c>
      <c r="K543" s="18" t="str">
        <f>"190.34"</f>
        <v>190.34</v>
      </c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</row>
    <row r="544" spans="1:35">
      <c r="A544" s="14">
        <v>542</v>
      </c>
      <c r="B544" s="14">
        <v>6350</v>
      </c>
      <c r="C544" s="14" t="s">
        <v>703</v>
      </c>
      <c r="D544" s="14" t="s">
        <v>704</v>
      </c>
      <c r="E544" s="15" t="str">
        <f>"191.18"</f>
        <v>191.18</v>
      </c>
      <c r="F544" s="15"/>
      <c r="G544" s="16" t="str">
        <f>"231.18"</f>
        <v>231.18</v>
      </c>
      <c r="H544" s="17" t="s">
        <v>48</v>
      </c>
      <c r="I544" s="18">
        <v>1</v>
      </c>
      <c r="J544" s="18">
        <v>2016</v>
      </c>
      <c r="K544" s="18" t="str">
        <f>"191.18"</f>
        <v>191.18</v>
      </c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</row>
    <row r="545" spans="1:35">
      <c r="A545" s="14">
        <v>543</v>
      </c>
      <c r="B545" s="14">
        <v>6476</v>
      </c>
      <c r="C545" s="14" t="s">
        <v>705</v>
      </c>
      <c r="D545" s="14" t="s">
        <v>109</v>
      </c>
      <c r="E545" s="15" t="str">
        <f>"177.09"</f>
        <v>177.09</v>
      </c>
      <c r="F545" s="15"/>
      <c r="G545" s="16" t="str">
        <f>"231.19"</f>
        <v>231.19</v>
      </c>
      <c r="H545" s="17"/>
      <c r="I545" s="18">
        <v>3</v>
      </c>
      <c r="J545" s="18">
        <v>2016</v>
      </c>
      <c r="K545" s="18" t="str">
        <f>"177.09"</f>
        <v>177.09</v>
      </c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 t="str">
        <f>"185.76"</f>
        <v>185.76</v>
      </c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 t="str">
        <f>"276.62"</f>
        <v>276.62</v>
      </c>
      <c r="AI545" s="18"/>
    </row>
    <row r="546" spans="1:35">
      <c r="A546" s="14">
        <v>544</v>
      </c>
      <c r="B546" s="14">
        <v>2116</v>
      </c>
      <c r="C546" s="14" t="s">
        <v>706</v>
      </c>
      <c r="D546" s="14" t="s">
        <v>210</v>
      </c>
      <c r="E546" s="15" t="str">
        <f>"192.22"</f>
        <v>192.22</v>
      </c>
      <c r="F546" s="15"/>
      <c r="G546" s="16" t="str">
        <f>"232.22"</f>
        <v>232.22</v>
      </c>
      <c r="H546" s="17" t="s">
        <v>48</v>
      </c>
      <c r="I546" s="18">
        <v>1</v>
      </c>
      <c r="J546" s="18">
        <v>2016</v>
      </c>
      <c r="K546" s="18" t="str">
        <f>"192.22"</f>
        <v>192.22</v>
      </c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</row>
    <row r="547" spans="1:35">
      <c r="A547" s="14">
        <v>545</v>
      </c>
      <c r="B547" s="14">
        <v>10577</v>
      </c>
      <c r="C547" s="14" t="s">
        <v>707</v>
      </c>
      <c r="D547" s="14" t="s">
        <v>76</v>
      </c>
      <c r="E547" s="15" t="str">
        <f>"232.50"</f>
        <v>232.50</v>
      </c>
      <c r="F547" s="15"/>
      <c r="G547" s="16" t="str">
        <f>"232.50"</f>
        <v>232.50</v>
      </c>
      <c r="H547" s="17"/>
      <c r="I547" s="18">
        <v>3</v>
      </c>
      <c r="J547" s="18">
        <v>2016</v>
      </c>
      <c r="K547" s="18" t="str">
        <f>"374.45"</f>
        <v>374.45</v>
      </c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 t="str">
        <f>"316.14"</f>
        <v>316.14</v>
      </c>
      <c r="Y547" s="18" t="str">
        <f>"295.73"</f>
        <v>295.73</v>
      </c>
      <c r="Z547" s="18"/>
      <c r="AA547" s="18" t="str">
        <f>"321.28"</f>
        <v>321.28</v>
      </c>
      <c r="AB547" s="18"/>
      <c r="AC547" s="18" t="str">
        <f>"223.11"</f>
        <v>223.11</v>
      </c>
      <c r="AD547" s="18" t="str">
        <f>"241.88"</f>
        <v>241.88</v>
      </c>
      <c r="AE547" s="18"/>
      <c r="AF547" s="18"/>
      <c r="AG547" s="18"/>
      <c r="AH547" s="18" t="str">
        <f>"298.63"</f>
        <v>298.63</v>
      </c>
      <c r="AI547" s="18"/>
    </row>
    <row r="548" spans="1:35">
      <c r="A548" s="14">
        <v>546</v>
      </c>
      <c r="B548" s="14">
        <v>11022</v>
      </c>
      <c r="C548" s="14" t="s">
        <v>708</v>
      </c>
      <c r="D548" s="14" t="s">
        <v>70</v>
      </c>
      <c r="E548" s="15" t="str">
        <f>"232.70"</f>
        <v>232.70</v>
      </c>
      <c r="F548" s="15"/>
      <c r="G548" s="16" t="str">
        <f>"232.70"</f>
        <v>232.70</v>
      </c>
      <c r="H548" s="17"/>
      <c r="I548" s="18">
        <v>5</v>
      </c>
      <c r="J548" s="18">
        <v>2016</v>
      </c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 t="str">
        <f>"255.73"</f>
        <v>255.73</v>
      </c>
      <c r="AC548" s="18"/>
      <c r="AD548" s="18"/>
      <c r="AE548" s="18"/>
      <c r="AF548" s="18"/>
      <c r="AG548" s="18"/>
      <c r="AH548" s="18" t="str">
        <f>"209.66"</f>
        <v>209.66</v>
      </c>
      <c r="AI548" s="18"/>
    </row>
    <row r="549" spans="1:35">
      <c r="A549" s="14">
        <v>547</v>
      </c>
      <c r="B549" s="14">
        <v>1343</v>
      </c>
      <c r="C549" s="14" t="s">
        <v>709</v>
      </c>
      <c r="D549" s="14" t="s">
        <v>242</v>
      </c>
      <c r="E549" s="15" t="str">
        <f>"191.28"</f>
        <v>191.28</v>
      </c>
      <c r="F549" s="15"/>
      <c r="G549" s="16" t="str">
        <f>"232.71"</f>
        <v>232.71</v>
      </c>
      <c r="H549" s="17"/>
      <c r="I549" s="18">
        <v>3</v>
      </c>
      <c r="J549" s="18">
        <v>2016</v>
      </c>
      <c r="K549" s="18" t="str">
        <f>"191.90"</f>
        <v>191.90</v>
      </c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 t="str">
        <f>"190.66"</f>
        <v>190.66</v>
      </c>
      <c r="W549" s="18"/>
      <c r="X549" s="18"/>
      <c r="Y549" s="18"/>
      <c r="Z549" s="18"/>
      <c r="AA549" s="18" t="str">
        <f>"274.76"</f>
        <v>274.76</v>
      </c>
      <c r="AB549" s="18"/>
      <c r="AC549" s="18"/>
      <c r="AD549" s="18"/>
      <c r="AE549" s="18"/>
      <c r="AF549" s="18"/>
      <c r="AG549" s="18"/>
      <c r="AH549" s="18"/>
      <c r="AI549" s="18"/>
    </row>
    <row r="550" spans="1:35">
      <c r="A550" s="14">
        <v>548</v>
      </c>
      <c r="B550" s="14">
        <v>7866</v>
      </c>
      <c r="C550" s="14" t="s">
        <v>710</v>
      </c>
      <c r="D550" s="14" t="s">
        <v>98</v>
      </c>
      <c r="E550" s="15" t="str">
        <f>"193.49"</f>
        <v>193.49</v>
      </c>
      <c r="F550" s="15"/>
      <c r="G550" s="16" t="str">
        <f>"233.49"</f>
        <v>233.49</v>
      </c>
      <c r="H550" s="17" t="s">
        <v>48</v>
      </c>
      <c r="I550" s="18">
        <v>1</v>
      </c>
      <c r="J550" s="18">
        <v>2016</v>
      </c>
      <c r="K550" s="18" t="str">
        <f>"193.49"</f>
        <v>193.49</v>
      </c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</row>
    <row r="551" spans="1:35">
      <c r="A551" s="14">
        <v>549</v>
      </c>
      <c r="B551" s="14">
        <v>10127</v>
      </c>
      <c r="C551" s="14" t="s">
        <v>711</v>
      </c>
      <c r="D551" s="14" t="s">
        <v>98</v>
      </c>
      <c r="E551" s="15" t="str">
        <f>"297.05"</f>
        <v>297.05</v>
      </c>
      <c r="F551" s="15"/>
      <c r="G551" s="16" t="str">
        <f>"233.70"</f>
        <v>233.70</v>
      </c>
      <c r="H551" s="17" t="s">
        <v>54</v>
      </c>
      <c r="I551" s="18">
        <v>2</v>
      </c>
      <c r="J551" s="18">
        <v>2016</v>
      </c>
      <c r="K551" s="18" t="str">
        <f>"400.40"</f>
        <v>400.40</v>
      </c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 t="str">
        <f>"193.70"</f>
        <v>193.70</v>
      </c>
      <c r="AA551" s="18"/>
      <c r="AB551" s="18"/>
      <c r="AC551" s="18"/>
      <c r="AD551" s="18"/>
      <c r="AE551" s="18"/>
      <c r="AF551" s="18"/>
      <c r="AG551" s="18"/>
      <c r="AH551" s="18"/>
      <c r="AI551" s="18"/>
    </row>
    <row r="552" spans="1:35">
      <c r="A552" s="14">
        <v>550</v>
      </c>
      <c r="B552" s="14">
        <v>1862</v>
      </c>
      <c r="C552" s="14" t="s">
        <v>712</v>
      </c>
      <c r="D552" s="14" t="s">
        <v>76</v>
      </c>
      <c r="E552" s="15" t="str">
        <f>"233.42"</f>
        <v>233.42</v>
      </c>
      <c r="F552" s="15"/>
      <c r="G552" s="16" t="str">
        <f>"233.93"</f>
        <v>233.93</v>
      </c>
      <c r="H552" s="17"/>
      <c r="I552" s="18">
        <v>3</v>
      </c>
      <c r="J552" s="18">
        <v>2016</v>
      </c>
      <c r="K552" s="18" t="str">
        <f>"241.75"</f>
        <v>241.75</v>
      </c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 t="str">
        <f>"242.77"</f>
        <v>242.77</v>
      </c>
      <c r="Y552" s="18" t="str">
        <f>"267.59"</f>
        <v>267.59</v>
      </c>
      <c r="Z552" s="18"/>
      <c r="AA552" s="18"/>
      <c r="AB552" s="18"/>
      <c r="AC552" s="18" t="str">
        <f>"225.09"</f>
        <v>225.09</v>
      </c>
      <c r="AD552" s="18" t="str">
        <f>"262.40"</f>
        <v>262.40</v>
      </c>
      <c r="AE552" s="18"/>
      <c r="AF552" s="18"/>
      <c r="AG552" s="18"/>
      <c r="AH552" s="18"/>
      <c r="AI552" s="18"/>
    </row>
    <row r="553" spans="1:35">
      <c r="A553" s="14">
        <v>551</v>
      </c>
      <c r="B553" s="14">
        <v>5513</v>
      </c>
      <c r="C553" s="14" t="s">
        <v>713</v>
      </c>
      <c r="D553" s="14" t="s">
        <v>714</v>
      </c>
      <c r="E553" s="15" t="str">
        <f>"188.56"</f>
        <v>188.56</v>
      </c>
      <c r="F553" s="15"/>
      <c r="G553" s="16" t="str">
        <f>"234.06"</f>
        <v>234.06</v>
      </c>
      <c r="H553" s="17" t="s">
        <v>54</v>
      </c>
      <c r="I553" s="18">
        <v>2</v>
      </c>
      <c r="J553" s="18">
        <v>2016</v>
      </c>
      <c r="K553" s="18" t="str">
        <f>"188.56"</f>
        <v>188.56</v>
      </c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 t="str">
        <f>"194.06"</f>
        <v>194.06</v>
      </c>
      <c r="AC553" s="18"/>
      <c r="AD553" s="18"/>
      <c r="AE553" s="18"/>
      <c r="AF553" s="18"/>
      <c r="AG553" s="18"/>
      <c r="AH553" s="18"/>
      <c r="AI553" s="18"/>
    </row>
    <row r="554" spans="1:35">
      <c r="A554" s="14">
        <v>552</v>
      </c>
      <c r="B554" s="14">
        <v>8488</v>
      </c>
      <c r="C554" s="14" t="s">
        <v>715</v>
      </c>
      <c r="D554" s="14" t="s">
        <v>76</v>
      </c>
      <c r="E554" s="15" t="str">
        <f>"220.63"</f>
        <v>220.63</v>
      </c>
      <c r="F554" s="15"/>
      <c r="G554" s="16" t="str">
        <f>"235.58"</f>
        <v>235.58</v>
      </c>
      <c r="H554" s="17"/>
      <c r="I554" s="18">
        <v>3</v>
      </c>
      <c r="J554" s="18">
        <v>2016</v>
      </c>
      <c r="K554" s="18" t="str">
        <f>"245.64"</f>
        <v>245.64</v>
      </c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 t="str">
        <f>"195.62"</f>
        <v>195.62</v>
      </c>
      <c r="Y554" s="18" t="str">
        <f>"275.53"</f>
        <v>275.53</v>
      </c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</row>
    <row r="555" spans="1:35">
      <c r="A555" s="14">
        <v>553</v>
      </c>
      <c r="B555" s="14">
        <v>1781</v>
      </c>
      <c r="C555" s="14" t="s">
        <v>716</v>
      </c>
      <c r="D555" s="14" t="s">
        <v>717</v>
      </c>
      <c r="E555" s="15" t="str">
        <f>"224.83"</f>
        <v>224.83</v>
      </c>
      <c r="F555" s="15"/>
      <c r="G555" s="16" t="str">
        <f>"236.05"</f>
        <v>236.05</v>
      </c>
      <c r="H555" s="17" t="s">
        <v>54</v>
      </c>
      <c r="I555" s="18">
        <v>2</v>
      </c>
      <c r="J555" s="18">
        <v>2016</v>
      </c>
      <c r="K555" s="18" t="str">
        <f>"253.61"</f>
        <v>253.61</v>
      </c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 t="str">
        <f>"196.05"</f>
        <v>196.05</v>
      </c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</row>
    <row r="556" spans="1:35">
      <c r="A556" s="14">
        <v>554</v>
      </c>
      <c r="B556" s="14">
        <v>10136</v>
      </c>
      <c r="C556" s="14" t="s">
        <v>718</v>
      </c>
      <c r="D556" s="14" t="s">
        <v>98</v>
      </c>
      <c r="E556" s="15" t="str">
        <f>"298.68"</f>
        <v>298.68</v>
      </c>
      <c r="F556" s="15"/>
      <c r="G556" s="16" t="str">
        <f>"236.45"</f>
        <v>236.45</v>
      </c>
      <c r="H556" s="17" t="s">
        <v>54</v>
      </c>
      <c r="I556" s="18">
        <v>2</v>
      </c>
      <c r="J556" s="18">
        <v>2016</v>
      </c>
      <c r="K556" s="18" t="str">
        <f>"400.90"</f>
        <v>400.90</v>
      </c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 t="str">
        <f>"196.45"</f>
        <v>196.45</v>
      </c>
      <c r="AA556" s="18"/>
      <c r="AB556" s="18"/>
      <c r="AC556" s="18"/>
      <c r="AD556" s="18"/>
      <c r="AE556" s="18"/>
      <c r="AF556" s="18"/>
      <c r="AG556" s="18"/>
      <c r="AH556" s="18"/>
      <c r="AI556" s="18"/>
    </row>
    <row r="557" spans="1:35">
      <c r="A557" s="14">
        <v>555</v>
      </c>
      <c r="B557" s="14">
        <v>9514</v>
      </c>
      <c r="C557" s="14" t="s">
        <v>719</v>
      </c>
      <c r="D557" s="14" t="s">
        <v>720</v>
      </c>
      <c r="E557" s="15" t="str">
        <f>"197.22"</f>
        <v>197.22</v>
      </c>
      <c r="F557" s="15"/>
      <c r="G557" s="16" t="str">
        <f>"237.22"</f>
        <v>237.22</v>
      </c>
      <c r="H557" s="17" t="s">
        <v>48</v>
      </c>
      <c r="I557" s="18">
        <v>1</v>
      </c>
      <c r="J557" s="18">
        <v>2016</v>
      </c>
      <c r="K557" s="18" t="str">
        <f>"197.22"</f>
        <v>197.22</v>
      </c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</row>
    <row r="558" spans="1:35">
      <c r="A558" s="14">
        <v>556</v>
      </c>
      <c r="B558" s="14">
        <v>10282</v>
      </c>
      <c r="C558" s="14" t="s">
        <v>721</v>
      </c>
      <c r="D558" s="14" t="s">
        <v>39</v>
      </c>
      <c r="E558" s="15" t="str">
        <f>"237.25"</f>
        <v>237.25</v>
      </c>
      <c r="F558" s="15"/>
      <c r="G558" s="16" t="str">
        <f>"237.25"</f>
        <v>237.25</v>
      </c>
      <c r="H558" s="17"/>
      <c r="I558" s="18">
        <v>3</v>
      </c>
      <c r="J558" s="18">
        <v>2016</v>
      </c>
      <c r="K558" s="18" t="str">
        <f>"311.89"</f>
        <v>311.89</v>
      </c>
      <c r="L558" s="18"/>
      <c r="M558" s="18"/>
      <c r="N558" s="18"/>
      <c r="O558" s="18"/>
      <c r="P558" s="18" t="str">
        <f>"269.25"</f>
        <v>269.25</v>
      </c>
      <c r="Q558" s="18"/>
      <c r="R558" s="18" t="str">
        <f>"205.24"</f>
        <v>205.24</v>
      </c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</row>
    <row r="559" spans="1:35">
      <c r="A559" s="14">
        <v>557</v>
      </c>
      <c r="B559" s="14">
        <v>6842</v>
      </c>
      <c r="C559" s="14" t="s">
        <v>722</v>
      </c>
      <c r="D559" s="14" t="s">
        <v>299</v>
      </c>
      <c r="E559" s="15" t="str">
        <f>"187.83"</f>
        <v>187.83</v>
      </c>
      <c r="F559" s="15"/>
      <c r="G559" s="16" t="str">
        <f>"237.86"</f>
        <v>237.86</v>
      </c>
      <c r="H559" s="17" t="s">
        <v>54</v>
      </c>
      <c r="I559" s="18">
        <v>2</v>
      </c>
      <c r="J559" s="18">
        <v>2016</v>
      </c>
      <c r="K559" s="18" t="str">
        <f>"187.83"</f>
        <v>187.83</v>
      </c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 t="str">
        <f>"197.86"</f>
        <v>197.86</v>
      </c>
      <c r="AC559" s="18"/>
      <c r="AD559" s="18"/>
      <c r="AE559" s="18"/>
      <c r="AF559" s="18"/>
      <c r="AG559" s="18"/>
      <c r="AH559" s="18"/>
      <c r="AI559" s="18"/>
    </row>
    <row r="560" spans="1:35">
      <c r="A560" s="14">
        <v>558</v>
      </c>
      <c r="B560" s="14">
        <v>4037</v>
      </c>
      <c r="C560" s="14" t="s">
        <v>723</v>
      </c>
      <c r="D560" s="14" t="s">
        <v>724</v>
      </c>
      <c r="E560" s="15" t="str">
        <f>"238.37"</f>
        <v>238.37</v>
      </c>
      <c r="F560" s="15"/>
      <c r="G560" s="16" t="str">
        <f>"238.37"</f>
        <v>238.37</v>
      </c>
      <c r="H560" s="17" t="s">
        <v>54</v>
      </c>
      <c r="I560" s="18">
        <v>4</v>
      </c>
      <c r="J560" s="18">
        <v>2016</v>
      </c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 t="str">
        <f>"198.37"</f>
        <v>198.37</v>
      </c>
      <c r="AH560" s="18"/>
      <c r="AI560" s="18"/>
    </row>
    <row r="561" spans="1:35">
      <c r="A561" s="14">
        <v>559</v>
      </c>
      <c r="B561" s="14">
        <v>8006</v>
      </c>
      <c r="C561" s="14" t="s">
        <v>725</v>
      </c>
      <c r="D561" s="14" t="s">
        <v>162</v>
      </c>
      <c r="E561" s="15" t="str">
        <f>"181.51"</f>
        <v>181.51</v>
      </c>
      <c r="F561" s="15"/>
      <c r="G561" s="16" t="str">
        <f>"238.58"</f>
        <v>238.58</v>
      </c>
      <c r="H561" s="17" t="s">
        <v>54</v>
      </c>
      <c r="I561" s="18">
        <v>2</v>
      </c>
      <c r="J561" s="18">
        <v>2016</v>
      </c>
      <c r="K561" s="18" t="str">
        <f>"181.51"</f>
        <v>181.51</v>
      </c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 t="str">
        <f>"198.58"</f>
        <v>198.58</v>
      </c>
      <c r="AH561" s="18"/>
      <c r="AI561" s="18"/>
    </row>
    <row r="562" spans="1:35">
      <c r="A562" s="14">
        <v>560</v>
      </c>
      <c r="B562" s="14">
        <v>8332</v>
      </c>
      <c r="C562" s="14" t="s">
        <v>726</v>
      </c>
      <c r="D562" s="14" t="s">
        <v>148</v>
      </c>
      <c r="E562" s="15" t="str">
        <f>"214.15"</f>
        <v>214.15</v>
      </c>
      <c r="F562" s="15"/>
      <c r="G562" s="16" t="str">
        <f>"239.85"</f>
        <v>239.85</v>
      </c>
      <c r="H562" s="17" t="s">
        <v>54</v>
      </c>
      <c r="I562" s="18">
        <v>2</v>
      </c>
      <c r="J562" s="18">
        <v>2016</v>
      </c>
      <c r="K562" s="18" t="str">
        <f>"228.44"</f>
        <v>228.44</v>
      </c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 t="str">
        <f>"199.85"</f>
        <v>199.85</v>
      </c>
      <c r="AI562" s="18"/>
    </row>
    <row r="563" spans="1:35">
      <c r="A563" s="14">
        <v>561</v>
      </c>
      <c r="B563" s="14">
        <v>10086</v>
      </c>
      <c r="C563" s="14" t="s">
        <v>727</v>
      </c>
      <c r="D563" s="14" t="s">
        <v>76</v>
      </c>
      <c r="E563" s="15" t="str">
        <f>"199.90"</f>
        <v>199.90</v>
      </c>
      <c r="F563" s="15"/>
      <c r="G563" s="16" t="str">
        <f>"239.90"</f>
        <v>239.90</v>
      </c>
      <c r="H563" s="17" t="s">
        <v>48</v>
      </c>
      <c r="I563" s="18">
        <v>1</v>
      </c>
      <c r="J563" s="18">
        <v>2016</v>
      </c>
      <c r="K563" s="18" t="str">
        <f>"199.90"</f>
        <v>199.90</v>
      </c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</row>
    <row r="564" spans="1:35">
      <c r="A564" s="14">
        <v>562</v>
      </c>
      <c r="B564" s="14">
        <v>8626</v>
      </c>
      <c r="C564" s="14" t="s">
        <v>728</v>
      </c>
      <c r="D564" s="14" t="s">
        <v>76</v>
      </c>
      <c r="E564" s="15" t="str">
        <f>"199.60"</f>
        <v>199.60</v>
      </c>
      <c r="F564" s="15"/>
      <c r="G564" s="16" t="str">
        <f>"239.94"</f>
        <v>239.94</v>
      </c>
      <c r="H564" s="17" t="s">
        <v>54</v>
      </c>
      <c r="I564" s="18">
        <v>2</v>
      </c>
      <c r="J564" s="18">
        <v>2016</v>
      </c>
      <c r="K564" s="18" t="str">
        <f>"199.60"</f>
        <v>199.60</v>
      </c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 t="str">
        <f>"199.94"</f>
        <v>199.94</v>
      </c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</row>
    <row r="565" spans="1:35">
      <c r="A565" s="14">
        <v>563</v>
      </c>
      <c r="B565" s="14">
        <v>2420</v>
      </c>
      <c r="C565" s="14" t="s">
        <v>729</v>
      </c>
      <c r="D565" s="14" t="s">
        <v>148</v>
      </c>
      <c r="E565" s="15" t="str">
        <f>"200.29"</f>
        <v>200.29</v>
      </c>
      <c r="F565" s="15"/>
      <c r="G565" s="16" t="str">
        <f>"240.29"</f>
        <v>240.29</v>
      </c>
      <c r="H565" s="17" t="s">
        <v>48</v>
      </c>
      <c r="I565" s="18">
        <v>1</v>
      </c>
      <c r="J565" s="18">
        <v>2016</v>
      </c>
      <c r="K565" s="18" t="str">
        <f>"200.29"</f>
        <v>200.29</v>
      </c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</row>
    <row r="566" spans="1:35">
      <c r="A566" s="14">
        <v>564</v>
      </c>
      <c r="B566" s="14">
        <v>6864</v>
      </c>
      <c r="C566" s="14" t="s">
        <v>730</v>
      </c>
      <c r="D566" s="14" t="s">
        <v>148</v>
      </c>
      <c r="E566" s="15" t="str">
        <f>"207.55"</f>
        <v>207.55</v>
      </c>
      <c r="F566" s="15"/>
      <c r="G566" s="16" t="str">
        <f>"240.63"</f>
        <v>240.63</v>
      </c>
      <c r="H566" s="17" t="s">
        <v>54</v>
      </c>
      <c r="I566" s="18">
        <v>2</v>
      </c>
      <c r="J566" s="18">
        <v>2016</v>
      </c>
      <c r="K566" s="18" t="str">
        <f>"214.46"</f>
        <v>214.46</v>
      </c>
      <c r="L566" s="18"/>
      <c r="M566" s="18"/>
      <c r="N566" s="18"/>
      <c r="O566" s="18"/>
      <c r="P566" s="18" t="str">
        <f>"200.63"</f>
        <v>200.63</v>
      </c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</row>
    <row r="567" spans="1:35">
      <c r="A567" s="14">
        <v>565</v>
      </c>
      <c r="B567" s="14">
        <v>8647</v>
      </c>
      <c r="C567" s="14" t="s">
        <v>731</v>
      </c>
      <c r="D567" s="14" t="s">
        <v>76</v>
      </c>
      <c r="E567" s="15" t="str">
        <f>"240.69"</f>
        <v>240.69</v>
      </c>
      <c r="F567" s="15"/>
      <c r="G567" s="16" t="str">
        <f>"240.69"</f>
        <v>240.69</v>
      </c>
      <c r="H567" s="17"/>
      <c r="I567" s="18">
        <v>3</v>
      </c>
      <c r="J567" s="18">
        <v>2016</v>
      </c>
      <c r="K567" s="18" t="str">
        <f>"259.54"</f>
        <v>259.54</v>
      </c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 t="str">
        <f>"242.10"</f>
        <v>242.10</v>
      </c>
      <c r="Y567" s="18" t="str">
        <f>"277.64"</f>
        <v>277.64</v>
      </c>
      <c r="Z567" s="18"/>
      <c r="AA567" s="18"/>
      <c r="AB567" s="18"/>
      <c r="AC567" s="18" t="str">
        <f>"242.19"</f>
        <v>242.19</v>
      </c>
      <c r="AD567" s="18" t="str">
        <f>"239.28"</f>
        <v>239.28</v>
      </c>
      <c r="AE567" s="18"/>
      <c r="AF567" s="18"/>
      <c r="AG567" s="18"/>
      <c r="AH567" s="18"/>
      <c r="AI567" s="18"/>
    </row>
    <row r="568" spans="1:35">
      <c r="A568" s="14">
        <v>566</v>
      </c>
      <c r="B568" s="14">
        <v>10096</v>
      </c>
      <c r="C568" s="14" t="s">
        <v>732</v>
      </c>
      <c r="D568" s="14" t="s">
        <v>76</v>
      </c>
      <c r="E568" s="15" t="str">
        <f>"240.74"</f>
        <v>240.74</v>
      </c>
      <c r="F568" s="15"/>
      <c r="G568" s="16" t="str">
        <f>"240.74"</f>
        <v>240.74</v>
      </c>
      <c r="H568" s="17"/>
      <c r="I568" s="18">
        <v>3</v>
      </c>
      <c r="J568" s="18">
        <v>2016</v>
      </c>
      <c r="K568" s="18" t="str">
        <f>"267.51"</f>
        <v>267.51</v>
      </c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 t="str">
        <f>"246.15"</f>
        <v>246.15</v>
      </c>
      <c r="Y568" s="18" t="str">
        <f>"235.32"</f>
        <v>235.32</v>
      </c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</row>
    <row r="569" spans="1:35">
      <c r="A569" s="14">
        <v>567</v>
      </c>
      <c r="B569" s="14">
        <v>3350</v>
      </c>
      <c r="C569" s="14" t="s">
        <v>733</v>
      </c>
      <c r="D569" s="14" t="s">
        <v>109</v>
      </c>
      <c r="E569" s="15" t="str">
        <f>"231.59"</f>
        <v>231.59</v>
      </c>
      <c r="F569" s="15"/>
      <c r="G569" s="16" t="str">
        <f>"240.96"</f>
        <v>240.96</v>
      </c>
      <c r="H569" s="17"/>
      <c r="I569" s="18">
        <v>3</v>
      </c>
      <c r="J569" s="18">
        <v>2016</v>
      </c>
      <c r="K569" s="18" t="str">
        <f>"243.02"</f>
        <v>243.02</v>
      </c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 t="str">
        <f>"261.76"</f>
        <v>261.76</v>
      </c>
      <c r="W569" s="18"/>
      <c r="X569" s="18"/>
      <c r="Y569" s="18"/>
      <c r="Z569" s="18"/>
      <c r="AA569" s="18"/>
      <c r="AB569" s="18"/>
      <c r="AC569" s="18"/>
      <c r="AD569" s="18"/>
      <c r="AE569" s="18" t="str">
        <f>"220.15"</f>
        <v>220.15</v>
      </c>
      <c r="AF569" s="18" t="str">
        <f>"298.01"</f>
        <v>298.01</v>
      </c>
      <c r="AG569" s="18"/>
      <c r="AH569" s="18"/>
      <c r="AI569" s="18"/>
    </row>
    <row r="570" spans="1:35">
      <c r="A570" s="14">
        <v>568</v>
      </c>
      <c r="B570" s="14">
        <v>10205</v>
      </c>
      <c r="C570" s="14" t="s">
        <v>734</v>
      </c>
      <c r="D570" s="14" t="s">
        <v>98</v>
      </c>
      <c r="E570" s="15" t="str">
        <f>"262.40"</f>
        <v>262.40</v>
      </c>
      <c r="F570" s="15"/>
      <c r="G570" s="16" t="str">
        <f>"241.47"</f>
        <v>241.47</v>
      </c>
      <c r="H570" s="17" t="s">
        <v>54</v>
      </c>
      <c r="I570" s="18">
        <v>2</v>
      </c>
      <c r="J570" s="18">
        <v>2016</v>
      </c>
      <c r="K570" s="18" t="str">
        <f>"323.33"</f>
        <v>323.33</v>
      </c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 t="str">
        <f>"201.47"</f>
        <v>201.47</v>
      </c>
      <c r="AA570" s="18"/>
      <c r="AB570" s="18"/>
      <c r="AC570" s="18"/>
      <c r="AD570" s="18"/>
      <c r="AE570" s="18"/>
      <c r="AF570" s="18"/>
      <c r="AG570" s="18"/>
      <c r="AH570" s="18"/>
      <c r="AI570" s="18"/>
    </row>
    <row r="571" spans="1:35">
      <c r="A571" s="14">
        <v>569</v>
      </c>
      <c r="B571" s="14">
        <v>10342</v>
      </c>
      <c r="C571" s="14" t="s">
        <v>735</v>
      </c>
      <c r="D571" s="14" t="s">
        <v>76</v>
      </c>
      <c r="E571" s="15" t="str">
        <f>"211.24"</f>
        <v>211.24</v>
      </c>
      <c r="F571" s="15"/>
      <c r="G571" s="16" t="str">
        <f>"241.61"</f>
        <v>241.61</v>
      </c>
      <c r="H571" s="17"/>
      <c r="I571" s="18">
        <v>3</v>
      </c>
      <c r="J571" s="18">
        <v>2016</v>
      </c>
      <c r="K571" s="18" t="str">
        <f>"211.24"</f>
        <v>211.24</v>
      </c>
      <c r="L571" s="18" t="str">
        <f>"249.01"</f>
        <v>249.01</v>
      </c>
      <c r="M571" s="18"/>
      <c r="N571" s="18" t="str">
        <f>"248.28"</f>
        <v>248.28</v>
      </c>
      <c r="O571" s="18"/>
      <c r="P571" s="18"/>
      <c r="Q571" s="18"/>
      <c r="R571" s="18"/>
      <c r="S571" s="18"/>
      <c r="T571" s="18"/>
      <c r="U571" s="18"/>
      <c r="V571" s="18"/>
      <c r="W571" s="18"/>
      <c r="X571" s="18" t="str">
        <f>"234.94"</f>
        <v>234.94</v>
      </c>
      <c r="Y571" s="18" t="str">
        <f>"252.71"</f>
        <v>252.71</v>
      </c>
      <c r="Z571" s="18"/>
      <c r="AA571" s="18"/>
      <c r="AB571" s="18"/>
      <c r="AC571" s="18"/>
      <c r="AD571" s="18"/>
      <c r="AE571" s="18"/>
      <c r="AF571" s="18"/>
      <c r="AG571" s="18"/>
      <c r="AH571" s="18" t="str">
        <f>"255.71"</f>
        <v>255.71</v>
      </c>
      <c r="AI571" s="18"/>
    </row>
    <row r="572" spans="1:35">
      <c r="A572" s="14">
        <v>570</v>
      </c>
      <c r="B572" s="14">
        <v>4152</v>
      </c>
      <c r="C572" s="14" t="s">
        <v>736</v>
      </c>
      <c r="D572" s="14" t="s">
        <v>84</v>
      </c>
      <c r="E572" s="15" t="str">
        <f>"201.61"</f>
        <v>201.61</v>
      </c>
      <c r="F572" s="15"/>
      <c r="G572" s="16" t="str">
        <f>"241.61"</f>
        <v>241.61</v>
      </c>
      <c r="H572" s="17" t="s">
        <v>48</v>
      </c>
      <c r="I572" s="18">
        <v>1</v>
      </c>
      <c r="J572" s="18">
        <v>2016</v>
      </c>
      <c r="K572" s="18" t="str">
        <f>"201.61"</f>
        <v>201.61</v>
      </c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</row>
    <row r="573" spans="1:35">
      <c r="A573" s="14">
        <v>571</v>
      </c>
      <c r="B573" s="14">
        <v>8628</v>
      </c>
      <c r="C573" s="14" t="s">
        <v>737</v>
      </c>
      <c r="D573" s="14" t="s">
        <v>76</v>
      </c>
      <c r="E573" s="15" t="str">
        <f>"158.95"</f>
        <v>158.95</v>
      </c>
      <c r="F573" s="15"/>
      <c r="G573" s="16" t="str">
        <f>"241.75"</f>
        <v>241.75</v>
      </c>
      <c r="H573" s="17" t="s">
        <v>54</v>
      </c>
      <c r="I573" s="18">
        <v>2</v>
      </c>
      <c r="J573" s="18">
        <v>2016</v>
      </c>
      <c r="K573" s="18" t="str">
        <f>"158.95"</f>
        <v>158.95</v>
      </c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 t="str">
        <f>"201.75"</f>
        <v>201.75</v>
      </c>
      <c r="AB573" s="18"/>
      <c r="AC573" s="18"/>
      <c r="AD573" s="18"/>
      <c r="AE573" s="18"/>
      <c r="AF573" s="18"/>
      <c r="AG573" s="18"/>
      <c r="AH573" s="18"/>
      <c r="AI573" s="18"/>
    </row>
    <row r="574" spans="1:35">
      <c r="A574" s="14">
        <v>572</v>
      </c>
      <c r="B574" s="14">
        <v>2827</v>
      </c>
      <c r="C574" s="14" t="s">
        <v>738</v>
      </c>
      <c r="D574" s="14" t="s">
        <v>133</v>
      </c>
      <c r="E574" s="15" t="str">
        <f>"243.70"</f>
        <v>243.70</v>
      </c>
      <c r="F574" s="15"/>
      <c r="G574" s="16" t="str">
        <f>"242.19"</f>
        <v>242.19</v>
      </c>
      <c r="H574" s="17" t="s">
        <v>54</v>
      </c>
      <c r="I574" s="18">
        <v>2</v>
      </c>
      <c r="J574" s="18">
        <v>2016</v>
      </c>
      <c r="K574" s="18" t="str">
        <f>"285.21"</f>
        <v>285.21</v>
      </c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 t="str">
        <f>"202.19"</f>
        <v>202.19</v>
      </c>
      <c r="AC574" s="18"/>
      <c r="AD574" s="18"/>
      <c r="AE574" s="18"/>
      <c r="AF574" s="18"/>
      <c r="AG574" s="18"/>
      <c r="AH574" s="18"/>
      <c r="AI574" s="18"/>
    </row>
    <row r="575" spans="1:35">
      <c r="A575" s="14">
        <v>573</v>
      </c>
      <c r="B575" s="14">
        <v>10704</v>
      </c>
      <c r="C575" s="14" t="s">
        <v>739</v>
      </c>
      <c r="D575" s="14" t="s">
        <v>571</v>
      </c>
      <c r="E575" s="15" t="str">
        <f>"242.31"</f>
        <v>242.31</v>
      </c>
      <c r="F575" s="15"/>
      <c r="G575" s="16" t="str">
        <f>"242.31"</f>
        <v>242.31</v>
      </c>
      <c r="H575" s="17"/>
      <c r="I575" s="18">
        <v>3</v>
      </c>
      <c r="J575" s="18">
        <v>2016</v>
      </c>
      <c r="K575" s="18" t="str">
        <f>"298.58"</f>
        <v>298.58</v>
      </c>
      <c r="L575" s="18" t="str">
        <f>"256.65"</f>
        <v>256.65</v>
      </c>
      <c r="M575" s="18"/>
      <c r="N575" s="18" t="str">
        <f>"227.97"</f>
        <v>227.97</v>
      </c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</row>
    <row r="576" spans="1:35">
      <c r="A576" s="14">
        <v>574</v>
      </c>
      <c r="B576" s="14">
        <v>3662</v>
      </c>
      <c r="C576" s="14" t="s">
        <v>740</v>
      </c>
      <c r="D576" s="14" t="s">
        <v>395</v>
      </c>
      <c r="E576" s="15" t="str">
        <f>"175.38"</f>
        <v>175.38</v>
      </c>
      <c r="F576" s="15"/>
      <c r="G576" s="16" t="str">
        <f>"242.49"</f>
        <v>242.49</v>
      </c>
      <c r="H576" s="17" t="s">
        <v>54</v>
      </c>
      <c r="I576" s="18">
        <v>2</v>
      </c>
      <c r="J576" s="18">
        <v>2016</v>
      </c>
      <c r="K576" s="18" t="str">
        <f>"175.38"</f>
        <v>175.38</v>
      </c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 t="str">
        <f>"202.49"</f>
        <v>202.49</v>
      </c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</row>
    <row r="577" spans="1:35">
      <c r="A577" s="14">
        <v>575</v>
      </c>
      <c r="B577" s="14">
        <v>9905</v>
      </c>
      <c r="C577" s="14" t="s">
        <v>741</v>
      </c>
      <c r="D577" s="14" t="s">
        <v>289</v>
      </c>
      <c r="E577" s="15" t="str">
        <f>"202.52"</f>
        <v>202.52</v>
      </c>
      <c r="F577" s="15"/>
      <c r="G577" s="16" t="str">
        <f>"242.52"</f>
        <v>242.52</v>
      </c>
      <c r="H577" s="17" t="s">
        <v>48</v>
      </c>
      <c r="I577" s="18">
        <v>1</v>
      </c>
      <c r="J577" s="18">
        <v>2016</v>
      </c>
      <c r="K577" s="18" t="str">
        <f>"202.52"</f>
        <v>202.52</v>
      </c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</row>
    <row r="578" spans="1:35">
      <c r="A578" s="14">
        <v>576</v>
      </c>
      <c r="B578" s="14">
        <v>8470</v>
      </c>
      <c r="C578" s="14" t="s">
        <v>742</v>
      </c>
      <c r="D578" s="14" t="s">
        <v>76</v>
      </c>
      <c r="E578" s="15" t="str">
        <f>"200.79"</f>
        <v>200.79</v>
      </c>
      <c r="F578" s="15"/>
      <c r="G578" s="16" t="str">
        <f>"242.66"</f>
        <v>242.66</v>
      </c>
      <c r="H578" s="17" t="s">
        <v>54</v>
      </c>
      <c r="I578" s="18">
        <v>2</v>
      </c>
      <c r="J578" s="18">
        <v>2016</v>
      </c>
      <c r="K578" s="18" t="str">
        <f>"200.79"</f>
        <v>200.79</v>
      </c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 t="str">
        <f>"202.66"</f>
        <v>202.66</v>
      </c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</row>
    <row r="579" spans="1:35">
      <c r="A579" s="14">
        <v>577</v>
      </c>
      <c r="B579" s="14">
        <v>3337</v>
      </c>
      <c r="C579" s="14" t="s">
        <v>743</v>
      </c>
      <c r="D579" s="14" t="s">
        <v>305</v>
      </c>
      <c r="E579" s="15" t="str">
        <f>"195.15"</f>
        <v>195.15</v>
      </c>
      <c r="F579" s="15"/>
      <c r="G579" s="16" t="str">
        <f>"242.82"</f>
        <v>242.82</v>
      </c>
      <c r="H579" s="17" t="s">
        <v>54</v>
      </c>
      <c r="I579" s="18">
        <v>2</v>
      </c>
      <c r="J579" s="18">
        <v>2016</v>
      </c>
      <c r="K579" s="18" t="str">
        <f>"195.15"</f>
        <v>195.15</v>
      </c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 t="str">
        <f>"202.82"</f>
        <v>202.82</v>
      </c>
      <c r="AF579" s="18"/>
      <c r="AG579" s="18"/>
      <c r="AH579" s="18"/>
      <c r="AI579" s="18"/>
    </row>
    <row r="580" spans="1:35">
      <c r="A580" s="14">
        <v>578</v>
      </c>
      <c r="B580" s="14">
        <v>10578</v>
      </c>
      <c r="C580" s="14" t="s">
        <v>744</v>
      </c>
      <c r="D580" s="14" t="s">
        <v>76</v>
      </c>
      <c r="E580" s="15" t="str">
        <f>"243.19"</f>
        <v>243.19</v>
      </c>
      <c r="F580" s="15"/>
      <c r="G580" s="16" t="str">
        <f>"243.19"</f>
        <v>243.19</v>
      </c>
      <c r="H580" s="17"/>
      <c r="I580" s="18">
        <v>3</v>
      </c>
      <c r="J580" s="18">
        <v>2016</v>
      </c>
      <c r="K580" s="18" t="str">
        <f>"312.74"</f>
        <v>312.74</v>
      </c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 t="str">
        <f>"280.06"</f>
        <v>280.06</v>
      </c>
      <c r="Y580" s="18" t="str">
        <f>"306.19"</f>
        <v>306.19</v>
      </c>
      <c r="Z580" s="18"/>
      <c r="AA580" s="18"/>
      <c r="AB580" s="18"/>
      <c r="AC580" s="18" t="str">
        <f>"223.77"</f>
        <v>223.77</v>
      </c>
      <c r="AD580" s="18" t="str">
        <f>"262.61"</f>
        <v>262.61</v>
      </c>
      <c r="AE580" s="18"/>
      <c r="AF580" s="18"/>
      <c r="AG580" s="18"/>
      <c r="AH580" s="18"/>
      <c r="AI580" s="18"/>
    </row>
    <row r="581" spans="1:35">
      <c r="A581" s="14">
        <v>579</v>
      </c>
      <c r="B581" s="14">
        <v>2239</v>
      </c>
      <c r="C581" s="14" t="s">
        <v>745</v>
      </c>
      <c r="D581" s="14" t="s">
        <v>76</v>
      </c>
      <c r="E581" s="15" t="str">
        <f>"207.20"</f>
        <v>207.20</v>
      </c>
      <c r="F581" s="15"/>
      <c r="G581" s="16" t="str">
        <f>"243.31"</f>
        <v>243.31</v>
      </c>
      <c r="H581" s="17"/>
      <c r="I581" s="18">
        <v>3</v>
      </c>
      <c r="J581" s="18">
        <v>2016</v>
      </c>
      <c r="K581" s="18" t="str">
        <f>"209.64"</f>
        <v>209.64</v>
      </c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 t="str">
        <f>"281.86"</f>
        <v>281.86</v>
      </c>
      <c r="Z581" s="18"/>
      <c r="AA581" s="18"/>
      <c r="AB581" s="18"/>
      <c r="AC581" s="18"/>
      <c r="AD581" s="18" t="str">
        <f>"204.76"</f>
        <v>204.76</v>
      </c>
      <c r="AE581" s="18"/>
      <c r="AF581" s="18"/>
      <c r="AG581" s="18"/>
      <c r="AH581" s="18"/>
      <c r="AI581" s="18"/>
    </row>
    <row r="582" spans="1:35">
      <c r="A582" s="14">
        <v>580</v>
      </c>
      <c r="B582" s="14">
        <v>2195</v>
      </c>
      <c r="C582" s="14" t="s">
        <v>746</v>
      </c>
      <c r="D582" s="14" t="s">
        <v>76</v>
      </c>
      <c r="E582" s="15" t="str">
        <f>"182.86"</f>
        <v>182.86</v>
      </c>
      <c r="F582" s="15"/>
      <c r="G582" s="16" t="str">
        <f>"243.46"</f>
        <v>243.46</v>
      </c>
      <c r="H582" s="17" t="s">
        <v>54</v>
      </c>
      <c r="I582" s="18">
        <v>2</v>
      </c>
      <c r="J582" s="18">
        <v>2016</v>
      </c>
      <c r="K582" s="18" t="str">
        <f>"182.86"</f>
        <v>182.86</v>
      </c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 t="str">
        <f>"203.46"</f>
        <v>203.46</v>
      </c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</row>
    <row r="583" spans="1:35">
      <c r="A583" s="14">
        <v>581</v>
      </c>
      <c r="B583" s="14">
        <v>1308</v>
      </c>
      <c r="C583" s="14" t="s">
        <v>747</v>
      </c>
      <c r="D583" s="14" t="s">
        <v>139</v>
      </c>
      <c r="E583" s="15" t="str">
        <f>"82.79"</f>
        <v>82.79</v>
      </c>
      <c r="F583" s="15"/>
      <c r="G583" s="16" t="str">
        <f>"243.53"</f>
        <v>243.53</v>
      </c>
      <c r="H583" s="17" t="s">
        <v>54</v>
      </c>
      <c r="I583" s="18">
        <v>2</v>
      </c>
      <c r="J583" s="18">
        <v>2016</v>
      </c>
      <c r="K583" s="18" t="str">
        <f>"82.79"</f>
        <v>82.79</v>
      </c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 t="str">
        <f>"203.53"</f>
        <v>203.53</v>
      </c>
      <c r="AB583" s="18"/>
      <c r="AC583" s="18"/>
      <c r="AD583" s="18"/>
      <c r="AE583" s="18"/>
      <c r="AF583" s="18"/>
      <c r="AG583" s="18"/>
      <c r="AH583" s="18"/>
      <c r="AI583" s="18"/>
    </row>
    <row r="584" spans="1:35">
      <c r="A584" s="14">
        <v>582</v>
      </c>
      <c r="B584" s="14">
        <v>8615</v>
      </c>
      <c r="C584" s="14" t="s">
        <v>748</v>
      </c>
      <c r="D584" s="14" t="s">
        <v>76</v>
      </c>
      <c r="E584" s="15" t="str">
        <f>"230.55"</f>
        <v>230.55</v>
      </c>
      <c r="F584" s="15"/>
      <c r="G584" s="16" t="str">
        <f>"244.04"</f>
        <v>244.04</v>
      </c>
      <c r="H584" s="17"/>
      <c r="I584" s="18">
        <v>3</v>
      </c>
      <c r="J584" s="18">
        <v>2016</v>
      </c>
      <c r="K584" s="18" t="str">
        <f>"230.55"</f>
        <v>230.55</v>
      </c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 t="str">
        <f>"245.88"</f>
        <v>245.88</v>
      </c>
      <c r="Y584" s="18" t="str">
        <f>"275.93"</f>
        <v>275.93</v>
      </c>
      <c r="Z584" s="18"/>
      <c r="AA584" s="18"/>
      <c r="AB584" s="18"/>
      <c r="AC584" s="18" t="str">
        <f>"242.19"</f>
        <v>242.19</v>
      </c>
      <c r="AD584" s="18" t="str">
        <f>"266.96"</f>
        <v>266.96</v>
      </c>
      <c r="AE584" s="18"/>
      <c r="AF584" s="18"/>
      <c r="AG584" s="18"/>
      <c r="AH584" s="18"/>
      <c r="AI584" s="18"/>
    </row>
    <row r="585" spans="1:35">
      <c r="A585" s="14">
        <v>583</v>
      </c>
      <c r="B585" s="14">
        <v>10169</v>
      </c>
      <c r="C585" s="14" t="s">
        <v>749</v>
      </c>
      <c r="D585" s="14" t="s">
        <v>98</v>
      </c>
      <c r="E585" s="15" t="str">
        <f>"300.11"</f>
        <v>300.11</v>
      </c>
      <c r="F585" s="15"/>
      <c r="G585" s="16" t="str">
        <f>"244.22"</f>
        <v>244.22</v>
      </c>
      <c r="H585" s="17" t="s">
        <v>54</v>
      </c>
      <c r="I585" s="18">
        <v>2</v>
      </c>
      <c r="J585" s="18">
        <v>2016</v>
      </c>
      <c r="K585" s="18" t="str">
        <f>"396.00"</f>
        <v>396.00</v>
      </c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 t="str">
        <f>"204.22"</f>
        <v>204.22</v>
      </c>
      <c r="AA585" s="18"/>
      <c r="AB585" s="18"/>
      <c r="AC585" s="18"/>
      <c r="AD585" s="18"/>
      <c r="AE585" s="18"/>
      <c r="AF585" s="18"/>
      <c r="AG585" s="18"/>
      <c r="AH585" s="18"/>
      <c r="AI585" s="18"/>
    </row>
    <row r="586" spans="1:35">
      <c r="A586" s="14">
        <v>584</v>
      </c>
      <c r="B586" s="14">
        <v>3087</v>
      </c>
      <c r="C586" s="14" t="s">
        <v>750</v>
      </c>
      <c r="D586" s="14" t="s">
        <v>145</v>
      </c>
      <c r="E586" s="15" t="str">
        <f>"224.78"</f>
        <v>224.78</v>
      </c>
      <c r="F586" s="15"/>
      <c r="G586" s="16" t="str">
        <f>"244.45"</f>
        <v>244.45</v>
      </c>
      <c r="H586" s="17"/>
      <c r="I586" s="18">
        <v>3</v>
      </c>
      <c r="J586" s="18">
        <v>2016</v>
      </c>
      <c r="K586" s="18" t="str">
        <f>"234.18"</f>
        <v>234.18</v>
      </c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 t="str">
        <f>"215.38"</f>
        <v>215.38</v>
      </c>
      <c r="AF586" s="18" t="str">
        <f>"273.51"</f>
        <v>273.51</v>
      </c>
      <c r="AG586" s="18"/>
      <c r="AH586" s="18"/>
      <c r="AI586" s="18"/>
    </row>
    <row r="587" spans="1:35">
      <c r="A587" s="14">
        <v>585</v>
      </c>
      <c r="B587" s="14">
        <v>10292</v>
      </c>
      <c r="C587" s="14" t="s">
        <v>751</v>
      </c>
      <c r="D587" s="14" t="s">
        <v>148</v>
      </c>
      <c r="E587" s="15" t="str">
        <f>"259.76"</f>
        <v>259.76</v>
      </c>
      <c r="F587" s="15"/>
      <c r="G587" s="16" t="str">
        <f>"244.50"</f>
        <v>244.50</v>
      </c>
      <c r="H587" s="17" t="s">
        <v>54</v>
      </c>
      <c r="I587" s="18">
        <v>2</v>
      </c>
      <c r="J587" s="18">
        <v>2016</v>
      </c>
      <c r="K587" s="18" t="str">
        <f>"315.02"</f>
        <v>315.02</v>
      </c>
      <c r="L587" s="18"/>
      <c r="M587" s="18"/>
      <c r="N587" s="18"/>
      <c r="O587" s="18"/>
      <c r="P587" s="18"/>
      <c r="Q587" s="18"/>
      <c r="R587" s="18" t="str">
        <f>"204.50"</f>
        <v>204.50</v>
      </c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</row>
    <row r="588" spans="1:35">
      <c r="A588" s="14">
        <v>586</v>
      </c>
      <c r="B588" s="14">
        <v>8215</v>
      </c>
      <c r="C588" s="14" t="s">
        <v>752</v>
      </c>
      <c r="D588" s="14" t="s">
        <v>395</v>
      </c>
      <c r="E588" s="15" t="str">
        <f>"204.69"</f>
        <v>204.69</v>
      </c>
      <c r="F588" s="15"/>
      <c r="G588" s="16" t="str">
        <f>"244.69"</f>
        <v>244.69</v>
      </c>
      <c r="H588" s="17" t="s">
        <v>48</v>
      </c>
      <c r="I588" s="18">
        <v>1</v>
      </c>
      <c r="J588" s="18">
        <v>2016</v>
      </c>
      <c r="K588" s="18" t="str">
        <f>"204.69"</f>
        <v>204.69</v>
      </c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</row>
    <row r="589" spans="1:35">
      <c r="A589" s="14">
        <v>587</v>
      </c>
      <c r="B589" s="14">
        <v>11085</v>
      </c>
      <c r="C589" s="14" t="s">
        <v>753</v>
      </c>
      <c r="D589" s="14" t="s">
        <v>754</v>
      </c>
      <c r="E589" s="15" t="str">
        <f>"245.37"</f>
        <v>245.37</v>
      </c>
      <c r="F589" s="15"/>
      <c r="G589" s="16" t="str">
        <f>"245.37"</f>
        <v>245.37</v>
      </c>
      <c r="H589" s="17" t="s">
        <v>54</v>
      </c>
      <c r="I589" s="18">
        <v>4</v>
      </c>
      <c r="J589" s="18">
        <v>2016</v>
      </c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 t="str">
        <f>"205.37"</f>
        <v>205.37</v>
      </c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</row>
    <row r="590" spans="1:35">
      <c r="A590" s="14">
        <v>588</v>
      </c>
      <c r="B590" s="14">
        <v>2200</v>
      </c>
      <c r="C590" s="14" t="s">
        <v>755</v>
      </c>
      <c r="D590" s="14" t="s">
        <v>76</v>
      </c>
      <c r="E590" s="15" t="str">
        <f>"192.65"</f>
        <v>192.65</v>
      </c>
      <c r="F590" s="15"/>
      <c r="G590" s="16" t="str">
        <f>"245.71"</f>
        <v>245.71</v>
      </c>
      <c r="H590" s="17"/>
      <c r="I590" s="18">
        <v>3</v>
      </c>
      <c r="J590" s="18">
        <v>2016</v>
      </c>
      <c r="K590" s="18" t="str">
        <f>"192.65"</f>
        <v>192.65</v>
      </c>
      <c r="L590" s="18" t="str">
        <f>"304.52"</f>
        <v>304.52</v>
      </c>
      <c r="M590" s="18"/>
      <c r="N590" s="18" t="str">
        <f>"290.68"</f>
        <v>290.68</v>
      </c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 t="str">
        <f>"279.45"</f>
        <v>279.45</v>
      </c>
      <c r="Z590" s="18"/>
      <c r="AA590" s="18"/>
      <c r="AB590" s="18"/>
      <c r="AC590" s="18"/>
      <c r="AD590" s="18" t="str">
        <f>"287.90"</f>
        <v>287.90</v>
      </c>
      <c r="AE590" s="18"/>
      <c r="AF590" s="18"/>
      <c r="AG590" s="18" t="str">
        <f>"211.96"</f>
        <v>211.96</v>
      </c>
      <c r="AH590" s="18"/>
      <c r="AI590" s="18"/>
    </row>
    <row r="591" spans="1:35">
      <c r="A591" s="14">
        <v>589</v>
      </c>
      <c r="B591" s="14">
        <v>7357</v>
      </c>
      <c r="C591" s="14" t="s">
        <v>756</v>
      </c>
      <c r="D591" s="14" t="s">
        <v>378</v>
      </c>
      <c r="E591" s="15" t="str">
        <f>"246.55"</f>
        <v>246.55</v>
      </c>
      <c r="F591" s="15"/>
      <c r="G591" s="16" t="str">
        <f>"246.55"</f>
        <v>246.55</v>
      </c>
      <c r="H591" s="17"/>
      <c r="I591" s="18">
        <v>3</v>
      </c>
      <c r="J591" s="18">
        <v>2016</v>
      </c>
      <c r="K591" s="18" t="str">
        <f>"344.54"</f>
        <v>344.54</v>
      </c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 t="str">
        <f>"268.79"</f>
        <v>268.79</v>
      </c>
      <c r="W591" s="18"/>
      <c r="X591" s="18"/>
      <c r="Y591" s="18"/>
      <c r="Z591" s="18"/>
      <c r="AA591" s="18" t="str">
        <f>"286.23"</f>
        <v>286.23</v>
      </c>
      <c r="AB591" s="18"/>
      <c r="AC591" s="18"/>
      <c r="AD591" s="18"/>
      <c r="AE591" s="18"/>
      <c r="AF591" s="18"/>
      <c r="AG591" s="18" t="str">
        <f>"224.30"</f>
        <v>224.30</v>
      </c>
      <c r="AH591" s="18"/>
      <c r="AI591" s="18"/>
    </row>
    <row r="592" spans="1:35">
      <c r="A592" s="14">
        <v>590</v>
      </c>
      <c r="B592" s="14">
        <v>4267</v>
      </c>
      <c r="C592" s="14" t="s">
        <v>757</v>
      </c>
      <c r="D592" s="14" t="s">
        <v>127</v>
      </c>
      <c r="E592" s="15" t="str">
        <f>"206.59"</f>
        <v>206.59</v>
      </c>
      <c r="F592" s="15"/>
      <c r="G592" s="16" t="str">
        <f>"246.59"</f>
        <v>246.59</v>
      </c>
      <c r="H592" s="17" t="s">
        <v>48</v>
      </c>
      <c r="I592" s="18">
        <v>1</v>
      </c>
      <c r="J592" s="18">
        <v>2016</v>
      </c>
      <c r="K592" s="18" t="str">
        <f>"206.59"</f>
        <v>206.59</v>
      </c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</row>
    <row r="593" spans="1:35">
      <c r="A593" s="14">
        <v>591</v>
      </c>
      <c r="B593" s="14">
        <v>10954</v>
      </c>
      <c r="C593" s="14" t="s">
        <v>758</v>
      </c>
      <c r="D593" s="14" t="s">
        <v>41</v>
      </c>
      <c r="E593" s="15" t="str">
        <f>"247.04"</f>
        <v>247.04</v>
      </c>
      <c r="F593" s="15"/>
      <c r="G593" s="16" t="str">
        <f>"247.04"</f>
        <v>247.04</v>
      </c>
      <c r="H593" s="17" t="s">
        <v>54</v>
      </c>
      <c r="I593" s="18">
        <v>4</v>
      </c>
      <c r="J593" s="18">
        <v>2016</v>
      </c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 t="str">
        <f>"207.04"</f>
        <v>207.04</v>
      </c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</row>
    <row r="594" spans="1:35">
      <c r="A594" s="14">
        <v>592</v>
      </c>
      <c r="B594" s="14">
        <v>2276</v>
      </c>
      <c r="C594" s="14" t="s">
        <v>759</v>
      </c>
      <c r="D594" s="14" t="s">
        <v>395</v>
      </c>
      <c r="E594" s="15" t="str">
        <f>"171.38"</f>
        <v>171.38</v>
      </c>
      <c r="F594" s="15"/>
      <c r="G594" s="16" t="str">
        <f>"247.07"</f>
        <v>247.07</v>
      </c>
      <c r="H594" s="17" t="s">
        <v>54</v>
      </c>
      <c r="I594" s="18">
        <v>2</v>
      </c>
      <c r="J594" s="18">
        <v>2016</v>
      </c>
      <c r="K594" s="18" t="str">
        <f>"171.38"</f>
        <v>171.38</v>
      </c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 t="str">
        <f>"207.07"</f>
        <v>207.07</v>
      </c>
      <c r="AC594" s="18"/>
      <c r="AD594" s="18"/>
      <c r="AE594" s="18"/>
      <c r="AF594" s="18"/>
      <c r="AG594" s="18"/>
      <c r="AH594" s="18"/>
      <c r="AI594" s="18"/>
    </row>
    <row r="595" spans="1:35">
      <c r="A595" s="14">
        <v>593</v>
      </c>
      <c r="B595" s="14">
        <v>10045</v>
      </c>
      <c r="C595" s="14" t="s">
        <v>760</v>
      </c>
      <c r="D595" s="14" t="s">
        <v>76</v>
      </c>
      <c r="E595" s="15" t="str">
        <f>"205.77"</f>
        <v>205.77</v>
      </c>
      <c r="F595" s="15"/>
      <c r="G595" s="16" t="str">
        <f>"247.08"</f>
        <v>247.08</v>
      </c>
      <c r="H595" s="17"/>
      <c r="I595" s="18">
        <v>3</v>
      </c>
      <c r="J595" s="18">
        <v>2016</v>
      </c>
      <c r="K595" s="18" t="str">
        <f>"205.77"</f>
        <v>205.77</v>
      </c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 t="str">
        <f>"260.96"</f>
        <v>260.96</v>
      </c>
      <c r="Z595" s="18"/>
      <c r="AA595" s="18"/>
      <c r="AB595" s="18"/>
      <c r="AC595" s="18"/>
      <c r="AD595" s="18" t="str">
        <f>"233.20"</f>
        <v>233.20</v>
      </c>
      <c r="AE595" s="18"/>
      <c r="AF595" s="18"/>
      <c r="AG595" s="18"/>
      <c r="AH595" s="18"/>
      <c r="AI595" s="18"/>
    </row>
    <row r="596" spans="1:35">
      <c r="A596" s="14">
        <v>594</v>
      </c>
      <c r="B596" s="14">
        <v>1188</v>
      </c>
      <c r="C596" s="14" t="s">
        <v>761</v>
      </c>
      <c r="D596" s="14" t="s">
        <v>292</v>
      </c>
      <c r="E596" s="15" t="str">
        <f>"161.88"</f>
        <v>161.88</v>
      </c>
      <c r="F596" s="15"/>
      <c r="G596" s="16" t="str">
        <f>"247.23"</f>
        <v>247.23</v>
      </c>
      <c r="H596" s="17"/>
      <c r="I596" s="18">
        <v>3</v>
      </c>
      <c r="J596" s="18">
        <v>2016</v>
      </c>
      <c r="K596" s="18" t="str">
        <f>"161.88"</f>
        <v>161.88</v>
      </c>
      <c r="L596" s="18"/>
      <c r="M596" s="18" t="str">
        <f>"207.57"</f>
        <v>207.57</v>
      </c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 t="str">
        <f>"286.88"</f>
        <v>286.88</v>
      </c>
      <c r="AB596" s="18"/>
      <c r="AC596" s="18"/>
      <c r="AD596" s="18"/>
      <c r="AE596" s="18"/>
      <c r="AF596" s="18"/>
      <c r="AG596" s="18"/>
      <c r="AH596" s="18"/>
      <c r="AI596" s="18"/>
    </row>
    <row r="597" spans="1:35">
      <c r="A597" s="14">
        <v>595</v>
      </c>
      <c r="B597" s="14">
        <v>8460</v>
      </c>
      <c r="C597" s="14" t="s">
        <v>762</v>
      </c>
      <c r="D597" s="14" t="s">
        <v>76</v>
      </c>
      <c r="E597" s="15" t="str">
        <f>"247.42"</f>
        <v>247.42</v>
      </c>
      <c r="F597" s="15"/>
      <c r="G597" s="16" t="str">
        <f>"247.42"</f>
        <v>247.42</v>
      </c>
      <c r="H597" s="17"/>
      <c r="I597" s="18">
        <v>3</v>
      </c>
      <c r="J597" s="18">
        <v>2016</v>
      </c>
      <c r="K597" s="18" t="str">
        <f>"272.36"</f>
        <v>272.36</v>
      </c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 t="str">
        <f>"306.28"</f>
        <v>306.28</v>
      </c>
      <c r="Y597" s="18" t="str">
        <f>"317.95"</f>
        <v>317.95</v>
      </c>
      <c r="Z597" s="18"/>
      <c r="AA597" s="18"/>
      <c r="AB597" s="18"/>
      <c r="AC597" s="18" t="str">
        <f>"236.01"</f>
        <v>236.01</v>
      </c>
      <c r="AD597" s="18" t="str">
        <f>"258.82"</f>
        <v>258.82</v>
      </c>
      <c r="AE597" s="18"/>
      <c r="AF597" s="18"/>
      <c r="AG597" s="18"/>
      <c r="AH597" s="18"/>
      <c r="AI597" s="18"/>
    </row>
    <row r="598" spans="1:35">
      <c r="A598" s="14">
        <v>596</v>
      </c>
      <c r="B598" s="14">
        <v>3314</v>
      </c>
      <c r="C598" s="14" t="s">
        <v>763</v>
      </c>
      <c r="D598" s="14" t="s">
        <v>129</v>
      </c>
      <c r="E598" s="15" t="str">
        <f>"169.86"</f>
        <v>169.86</v>
      </c>
      <c r="F598" s="15"/>
      <c r="G598" s="16" t="str">
        <f>"247.50"</f>
        <v>247.50</v>
      </c>
      <c r="H598" s="17"/>
      <c r="I598" s="18">
        <v>3</v>
      </c>
      <c r="J598" s="18">
        <v>2016</v>
      </c>
      <c r="K598" s="18" t="str">
        <f>"169.86"</f>
        <v>169.86</v>
      </c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 t="str">
        <f>"190.99"</f>
        <v>190.99</v>
      </c>
      <c r="W598" s="18"/>
      <c r="X598" s="18"/>
      <c r="Y598" s="18"/>
      <c r="Z598" s="18"/>
      <c r="AA598" s="18" t="str">
        <f>"304.00"</f>
        <v>304.00</v>
      </c>
      <c r="AB598" s="18"/>
      <c r="AC598" s="18"/>
      <c r="AD598" s="18"/>
      <c r="AE598" s="18"/>
      <c r="AF598" s="18"/>
      <c r="AG598" s="18"/>
      <c r="AH598" s="18"/>
      <c r="AI598" s="18"/>
    </row>
    <row r="599" spans="1:35">
      <c r="A599" s="14">
        <v>597</v>
      </c>
      <c r="B599" s="14">
        <v>6080</v>
      </c>
      <c r="C599" s="14" t="s">
        <v>764</v>
      </c>
      <c r="D599" s="14" t="s">
        <v>184</v>
      </c>
      <c r="E599" s="15" t="str">
        <f>"168.07"</f>
        <v>168.07</v>
      </c>
      <c r="F599" s="15"/>
      <c r="G599" s="16" t="str">
        <f>"247.53"</f>
        <v>247.53</v>
      </c>
      <c r="H599" s="17"/>
      <c r="I599" s="18">
        <v>3</v>
      </c>
      <c r="J599" s="18">
        <v>2016</v>
      </c>
      <c r="K599" s="18" t="str">
        <f>"168.07"</f>
        <v>168.07</v>
      </c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 t="str">
        <f>"237.08"</f>
        <v>237.08</v>
      </c>
      <c r="W599" s="18"/>
      <c r="X599" s="18"/>
      <c r="Y599" s="18"/>
      <c r="Z599" s="18"/>
      <c r="AA599" s="18" t="str">
        <f>"391.22"</f>
        <v>391.22</v>
      </c>
      <c r="AB599" s="18"/>
      <c r="AC599" s="18"/>
      <c r="AD599" s="18"/>
      <c r="AE599" s="18"/>
      <c r="AF599" s="18"/>
      <c r="AG599" s="18" t="str">
        <f>"257.97"</f>
        <v>257.97</v>
      </c>
      <c r="AH599" s="18"/>
      <c r="AI599" s="18"/>
    </row>
    <row r="600" spans="1:35">
      <c r="A600" s="14">
        <v>598</v>
      </c>
      <c r="B600" s="14">
        <v>7481</v>
      </c>
      <c r="C600" s="14" t="s">
        <v>765</v>
      </c>
      <c r="D600" s="14" t="s">
        <v>317</v>
      </c>
      <c r="E600" s="15" t="str">
        <f>"208.05"</f>
        <v>208.05</v>
      </c>
      <c r="F600" s="15"/>
      <c r="G600" s="16" t="str">
        <f>"248.05"</f>
        <v>248.05</v>
      </c>
      <c r="H600" s="17" t="s">
        <v>48</v>
      </c>
      <c r="I600" s="18">
        <v>1</v>
      </c>
      <c r="J600" s="18">
        <v>2016</v>
      </c>
      <c r="K600" s="18" t="str">
        <f>"208.05"</f>
        <v>208.05</v>
      </c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</row>
    <row r="601" spans="1:35">
      <c r="A601" s="14">
        <v>599</v>
      </c>
      <c r="B601" s="14">
        <v>7468</v>
      </c>
      <c r="C601" s="14" t="s">
        <v>766</v>
      </c>
      <c r="D601" s="14" t="s">
        <v>93</v>
      </c>
      <c r="E601" s="15" t="str">
        <f>"208.47"</f>
        <v>208.47</v>
      </c>
      <c r="F601" s="15"/>
      <c r="G601" s="16" t="str">
        <f>"248.47"</f>
        <v>248.47</v>
      </c>
      <c r="H601" s="17" t="s">
        <v>48</v>
      </c>
      <c r="I601" s="18">
        <v>1</v>
      </c>
      <c r="J601" s="18">
        <v>2016</v>
      </c>
      <c r="K601" s="18" t="str">
        <f>"208.47"</f>
        <v>208.47</v>
      </c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</row>
    <row r="602" spans="1:35">
      <c r="A602" s="14">
        <v>600</v>
      </c>
      <c r="B602" s="14">
        <v>1989</v>
      </c>
      <c r="C602" s="14" t="s">
        <v>767</v>
      </c>
      <c r="D602" s="14" t="s">
        <v>39</v>
      </c>
      <c r="E602" s="15" t="str">
        <f>"110.69"</f>
        <v>110.69</v>
      </c>
      <c r="F602" s="15"/>
      <c r="G602" s="16" t="str">
        <f>"248.53"</f>
        <v>248.53</v>
      </c>
      <c r="H602" s="17" t="s">
        <v>54</v>
      </c>
      <c r="I602" s="18">
        <v>2</v>
      </c>
      <c r="J602" s="18">
        <v>2016</v>
      </c>
      <c r="K602" s="18" t="str">
        <f>"110.69"</f>
        <v>110.69</v>
      </c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 t="str">
        <f>"208.53"</f>
        <v>208.53</v>
      </c>
      <c r="AB602" s="18"/>
      <c r="AC602" s="18"/>
      <c r="AD602" s="18"/>
      <c r="AE602" s="18"/>
      <c r="AF602" s="18"/>
      <c r="AG602" s="18"/>
      <c r="AH602" s="18"/>
      <c r="AI602" s="18"/>
    </row>
    <row r="603" spans="1:35">
      <c r="A603" s="14">
        <v>601</v>
      </c>
      <c r="B603" s="14">
        <v>10209</v>
      </c>
      <c r="C603" s="14" t="s">
        <v>768</v>
      </c>
      <c r="D603" s="14" t="s">
        <v>98</v>
      </c>
      <c r="E603" s="15" t="str">
        <f>"309.03"</f>
        <v>309.03</v>
      </c>
      <c r="F603" s="15"/>
      <c r="G603" s="16" t="str">
        <f>"248.81"</f>
        <v>248.81</v>
      </c>
      <c r="H603" s="17" t="s">
        <v>54</v>
      </c>
      <c r="I603" s="18">
        <v>2</v>
      </c>
      <c r="J603" s="18">
        <v>2016</v>
      </c>
      <c r="K603" s="18" t="str">
        <f>"409.25"</f>
        <v>409.25</v>
      </c>
      <c r="L603" s="18"/>
      <c r="M603" s="18"/>
      <c r="N603" s="18"/>
      <c r="O603" s="18"/>
      <c r="P603" s="18"/>
      <c r="Q603" s="18"/>
      <c r="R603" s="18"/>
      <c r="S603" s="18"/>
      <c r="T603" s="18"/>
      <c r="U603" s="18" t="str">
        <f>"208.81"</f>
        <v>208.81</v>
      </c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</row>
    <row r="604" spans="1:35">
      <c r="A604" s="14">
        <v>602</v>
      </c>
      <c r="B604" s="14">
        <v>10383</v>
      </c>
      <c r="C604" s="14" t="s">
        <v>769</v>
      </c>
      <c r="D604" s="14" t="s">
        <v>98</v>
      </c>
      <c r="E604" s="15" t="str">
        <f>"271.57"</f>
        <v>271.57</v>
      </c>
      <c r="F604" s="15"/>
      <c r="G604" s="16" t="str">
        <f>"249.25"</f>
        <v>249.25</v>
      </c>
      <c r="H604" s="17" t="s">
        <v>54</v>
      </c>
      <c r="I604" s="18">
        <v>2</v>
      </c>
      <c r="J604" s="18">
        <v>2016</v>
      </c>
      <c r="K604" s="18" t="str">
        <f>"333.88"</f>
        <v>333.88</v>
      </c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 t="str">
        <f>"209.25"</f>
        <v>209.25</v>
      </c>
      <c r="AA604" s="18"/>
      <c r="AB604" s="18"/>
      <c r="AC604" s="18"/>
      <c r="AD604" s="18"/>
      <c r="AE604" s="18"/>
      <c r="AF604" s="18"/>
      <c r="AG604" s="18"/>
      <c r="AH604" s="18"/>
      <c r="AI604" s="18"/>
    </row>
    <row r="605" spans="1:35">
      <c r="A605" s="14">
        <v>603</v>
      </c>
      <c r="B605" s="14">
        <v>9961</v>
      </c>
      <c r="C605" s="14" t="s">
        <v>770</v>
      </c>
      <c r="D605" s="14" t="s">
        <v>39</v>
      </c>
      <c r="E605" s="15" t="str">
        <f>"211.26"</f>
        <v>211.26</v>
      </c>
      <c r="F605" s="15"/>
      <c r="G605" s="16" t="str">
        <f>"249.48"</f>
        <v>249.48</v>
      </c>
      <c r="H605" s="17" t="s">
        <v>54</v>
      </c>
      <c r="I605" s="18">
        <v>2</v>
      </c>
      <c r="J605" s="18">
        <v>2016</v>
      </c>
      <c r="K605" s="18" t="str">
        <f>"213.03"</f>
        <v>213.03</v>
      </c>
      <c r="L605" s="18"/>
      <c r="M605" s="18"/>
      <c r="N605" s="18"/>
      <c r="O605" s="18"/>
      <c r="P605" s="18" t="str">
        <f>"209.48"</f>
        <v>209.48</v>
      </c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</row>
    <row r="606" spans="1:35">
      <c r="A606" s="14">
        <v>604</v>
      </c>
      <c r="B606" s="14">
        <v>6471</v>
      </c>
      <c r="C606" s="14" t="s">
        <v>771</v>
      </c>
      <c r="D606" s="14" t="s">
        <v>84</v>
      </c>
      <c r="E606" s="15" t="str">
        <f>"210.10"</f>
        <v>210.10</v>
      </c>
      <c r="F606" s="15"/>
      <c r="G606" s="16" t="str">
        <f>"250.10"</f>
        <v>250.10</v>
      </c>
      <c r="H606" s="17" t="s">
        <v>48</v>
      </c>
      <c r="I606" s="18">
        <v>1</v>
      </c>
      <c r="J606" s="18">
        <v>2016</v>
      </c>
      <c r="K606" s="18" t="str">
        <f>"210.10"</f>
        <v>210.10</v>
      </c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</row>
    <row r="607" spans="1:35">
      <c r="A607" s="14">
        <v>605</v>
      </c>
      <c r="B607" s="14">
        <v>10298</v>
      </c>
      <c r="C607" s="14" t="s">
        <v>772</v>
      </c>
      <c r="D607" s="14" t="s">
        <v>193</v>
      </c>
      <c r="E607" s="15" t="str">
        <f>"210.16"</f>
        <v>210.16</v>
      </c>
      <c r="F607" s="15"/>
      <c r="G607" s="16" t="str">
        <f>"250.16"</f>
        <v>250.16</v>
      </c>
      <c r="H607" s="17" t="s">
        <v>48</v>
      </c>
      <c r="I607" s="18">
        <v>1</v>
      </c>
      <c r="J607" s="18">
        <v>2016</v>
      </c>
      <c r="K607" s="18" t="str">
        <f>"210.16"</f>
        <v>210.16</v>
      </c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</row>
    <row r="608" spans="1:35">
      <c r="A608" s="14">
        <v>606</v>
      </c>
      <c r="B608" s="14">
        <v>3418</v>
      </c>
      <c r="C608" s="14" t="s">
        <v>773</v>
      </c>
      <c r="D608" s="14" t="s">
        <v>112</v>
      </c>
      <c r="E608" s="15" t="str">
        <f>"211.04"</f>
        <v>211.04</v>
      </c>
      <c r="F608" s="15"/>
      <c r="G608" s="16" t="str">
        <f>"251.04"</f>
        <v>251.04</v>
      </c>
      <c r="H608" s="17" t="s">
        <v>48</v>
      </c>
      <c r="I608" s="18">
        <v>1</v>
      </c>
      <c r="J608" s="18">
        <v>2016</v>
      </c>
      <c r="K608" s="18" t="str">
        <f>"211.04"</f>
        <v>211.04</v>
      </c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</row>
    <row r="609" spans="1:35">
      <c r="A609" s="14">
        <v>607</v>
      </c>
      <c r="B609" s="14">
        <v>1275</v>
      </c>
      <c r="C609" s="14" t="s">
        <v>774</v>
      </c>
      <c r="D609" s="14" t="s">
        <v>122</v>
      </c>
      <c r="E609" s="15" t="str">
        <f>"211.18"</f>
        <v>211.18</v>
      </c>
      <c r="F609" s="15"/>
      <c r="G609" s="16" t="str">
        <f>"251.18"</f>
        <v>251.18</v>
      </c>
      <c r="H609" s="17" t="s">
        <v>48</v>
      </c>
      <c r="I609" s="18">
        <v>1</v>
      </c>
      <c r="J609" s="18">
        <v>2016</v>
      </c>
      <c r="K609" s="18" t="str">
        <f>"211.18"</f>
        <v>211.18</v>
      </c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</row>
    <row r="610" spans="1:35">
      <c r="A610" s="14">
        <v>608</v>
      </c>
      <c r="B610" s="14">
        <v>6657</v>
      </c>
      <c r="C610" s="14" t="s">
        <v>775</v>
      </c>
      <c r="D610" s="14" t="s">
        <v>133</v>
      </c>
      <c r="E610" s="15" t="str">
        <f>"251.55"</f>
        <v>251.55</v>
      </c>
      <c r="F610" s="15"/>
      <c r="G610" s="16" t="str">
        <f>"251.55"</f>
        <v>251.55</v>
      </c>
      <c r="H610" s="17" t="s">
        <v>54</v>
      </c>
      <c r="I610" s="18">
        <v>4</v>
      </c>
      <c r="J610" s="18">
        <v>2016</v>
      </c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 t="str">
        <f>"211.55"</f>
        <v>211.55</v>
      </c>
      <c r="AH610" s="18"/>
      <c r="AI610" s="18"/>
    </row>
    <row r="611" spans="1:35">
      <c r="A611" s="14">
        <v>609</v>
      </c>
      <c r="B611" s="14">
        <v>10066</v>
      </c>
      <c r="C611" s="14" t="s">
        <v>776</v>
      </c>
      <c r="D611" s="14" t="s">
        <v>76</v>
      </c>
      <c r="E611" s="15" t="str">
        <f>"252.66"</f>
        <v>252.66</v>
      </c>
      <c r="F611" s="15"/>
      <c r="G611" s="16" t="str">
        <f>"252.66"</f>
        <v>252.66</v>
      </c>
      <c r="H611" s="17"/>
      <c r="I611" s="18">
        <v>3</v>
      </c>
      <c r="J611" s="18">
        <v>2016</v>
      </c>
      <c r="K611" s="18" t="str">
        <f>"403.33"</f>
        <v>403.33</v>
      </c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 t="str">
        <f>"424.10"</f>
        <v>424.10</v>
      </c>
      <c r="Y611" s="18"/>
      <c r="Z611" s="18"/>
      <c r="AA611" s="18"/>
      <c r="AB611" s="18"/>
      <c r="AC611" s="18" t="str">
        <f>"246.71"</f>
        <v>246.71</v>
      </c>
      <c r="AD611" s="18" t="str">
        <f>"258.60"</f>
        <v>258.60</v>
      </c>
      <c r="AE611" s="18"/>
      <c r="AF611" s="18"/>
      <c r="AG611" s="18"/>
      <c r="AH611" s="18"/>
      <c r="AI611" s="18"/>
    </row>
    <row r="612" spans="1:35">
      <c r="A612" s="14">
        <v>610</v>
      </c>
      <c r="B612" s="14">
        <v>8438</v>
      </c>
      <c r="C612" s="14" t="s">
        <v>777</v>
      </c>
      <c r="D612" s="14" t="s">
        <v>242</v>
      </c>
      <c r="E612" s="15" t="str">
        <f>"125.27"</f>
        <v>125.27</v>
      </c>
      <c r="F612" s="15"/>
      <c r="G612" s="16" t="str">
        <f>"252.90"</f>
        <v>252.90</v>
      </c>
      <c r="H612" s="17" t="s">
        <v>54</v>
      </c>
      <c r="I612" s="18">
        <v>2</v>
      </c>
      <c r="J612" s="18">
        <v>2016</v>
      </c>
      <c r="K612" s="18" t="str">
        <f>"125.27"</f>
        <v>125.27</v>
      </c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 t="str">
        <f>"212.90"</f>
        <v>212.90</v>
      </c>
      <c r="AB612" s="18"/>
      <c r="AC612" s="18"/>
      <c r="AD612" s="18"/>
      <c r="AE612" s="18"/>
      <c r="AF612" s="18"/>
      <c r="AG612" s="18"/>
      <c r="AH612" s="18"/>
      <c r="AI612" s="18"/>
    </row>
    <row r="613" spans="1:35">
      <c r="A613" s="14">
        <v>611</v>
      </c>
      <c r="B613" s="14">
        <v>4253</v>
      </c>
      <c r="C613" s="14" t="s">
        <v>778</v>
      </c>
      <c r="D613" s="14" t="s">
        <v>84</v>
      </c>
      <c r="E613" s="15" t="str">
        <f>"213.04"</f>
        <v>213.04</v>
      </c>
      <c r="F613" s="15"/>
      <c r="G613" s="16" t="str">
        <f>"253.04"</f>
        <v>253.04</v>
      </c>
      <c r="H613" s="17" t="s">
        <v>48</v>
      </c>
      <c r="I613" s="18">
        <v>1</v>
      </c>
      <c r="J613" s="18">
        <v>2016</v>
      </c>
      <c r="K613" s="18" t="str">
        <f>"213.04"</f>
        <v>213.04</v>
      </c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</row>
    <row r="614" spans="1:35">
      <c r="A614" s="14">
        <v>612</v>
      </c>
      <c r="B614" s="14">
        <v>7124</v>
      </c>
      <c r="C614" s="14" t="s">
        <v>779</v>
      </c>
      <c r="D614" s="14" t="s">
        <v>53</v>
      </c>
      <c r="E614" s="15" t="str">
        <f>"253.58"</f>
        <v>253.58</v>
      </c>
      <c r="F614" s="15"/>
      <c r="G614" s="16" t="str">
        <f>"253.58"</f>
        <v>253.58</v>
      </c>
      <c r="H614" s="17" t="s">
        <v>54</v>
      </c>
      <c r="I614" s="18">
        <v>4</v>
      </c>
      <c r="J614" s="18">
        <v>2016</v>
      </c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 t="str">
        <f>"213.58"</f>
        <v>213.58</v>
      </c>
      <c r="AC614" s="18"/>
      <c r="AD614" s="18"/>
      <c r="AE614" s="18"/>
      <c r="AF614" s="18"/>
      <c r="AG614" s="18"/>
      <c r="AH614" s="18"/>
      <c r="AI614" s="18"/>
    </row>
    <row r="615" spans="1:35">
      <c r="A615" s="14">
        <v>613</v>
      </c>
      <c r="B615" s="14">
        <v>5429</v>
      </c>
      <c r="C615" s="14" t="s">
        <v>780</v>
      </c>
      <c r="D615" s="14" t="s">
        <v>98</v>
      </c>
      <c r="E615" s="15" t="str">
        <f>"241.67"</f>
        <v>241.67</v>
      </c>
      <c r="F615" s="15"/>
      <c r="G615" s="16" t="str">
        <f>"253.72"</f>
        <v>253.72</v>
      </c>
      <c r="H615" s="17"/>
      <c r="I615" s="18">
        <v>3</v>
      </c>
      <c r="J615" s="18">
        <v>2016</v>
      </c>
      <c r="K615" s="18" t="str">
        <f>"242.09"</f>
        <v>242.09</v>
      </c>
      <c r="L615" s="18"/>
      <c r="M615" s="18"/>
      <c r="N615" s="18"/>
      <c r="O615" s="18"/>
      <c r="P615" s="18"/>
      <c r="Q615" s="18" t="str">
        <f>"266.19"</f>
        <v>266.19</v>
      </c>
      <c r="R615" s="18"/>
      <c r="S615" s="18"/>
      <c r="T615" s="18"/>
      <c r="U615" s="18" t="str">
        <f>"381.14"</f>
        <v>381.14</v>
      </c>
      <c r="V615" s="18"/>
      <c r="W615" s="18"/>
      <c r="X615" s="18"/>
      <c r="Y615" s="18"/>
      <c r="Z615" s="18" t="str">
        <f>"241.24"</f>
        <v>241.24</v>
      </c>
      <c r="AA615" s="18"/>
      <c r="AB615" s="18"/>
      <c r="AC615" s="18"/>
      <c r="AD615" s="18"/>
      <c r="AE615" s="18"/>
      <c r="AF615" s="18"/>
      <c r="AG615" s="18"/>
      <c r="AH615" s="18"/>
      <c r="AI615" s="18"/>
    </row>
    <row r="616" spans="1:35">
      <c r="A616" s="14">
        <v>614</v>
      </c>
      <c r="B616" s="14">
        <v>2192</v>
      </c>
      <c r="C616" s="14" t="s">
        <v>781</v>
      </c>
      <c r="D616" s="14" t="s">
        <v>76</v>
      </c>
      <c r="E616" s="15" t="str">
        <f>"254.02"</f>
        <v>254.02</v>
      </c>
      <c r="F616" s="15"/>
      <c r="G616" s="16" t="str">
        <f>"254.02"</f>
        <v>254.02</v>
      </c>
      <c r="H616" s="17"/>
      <c r="I616" s="18">
        <v>3</v>
      </c>
      <c r="J616" s="18">
        <v>2016</v>
      </c>
      <c r="K616" s="18" t="str">
        <f>"284.73"</f>
        <v>284.73</v>
      </c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 t="str">
        <f>"296.68"</f>
        <v>296.68</v>
      </c>
      <c r="Y616" s="18" t="str">
        <f>"316.64"</f>
        <v>316.64</v>
      </c>
      <c r="Z616" s="18"/>
      <c r="AA616" s="18"/>
      <c r="AB616" s="18"/>
      <c r="AC616" s="18" t="str">
        <f>"240.97"</f>
        <v>240.97</v>
      </c>
      <c r="AD616" s="18" t="str">
        <f>"267.06"</f>
        <v>267.06</v>
      </c>
      <c r="AE616" s="18"/>
      <c r="AF616" s="18"/>
      <c r="AG616" s="18"/>
      <c r="AH616" s="18"/>
      <c r="AI616" s="18"/>
    </row>
    <row r="617" spans="1:35">
      <c r="A617" s="14">
        <v>615</v>
      </c>
      <c r="B617" s="14">
        <v>7783</v>
      </c>
      <c r="C617" s="14" t="s">
        <v>782</v>
      </c>
      <c r="D617" s="14" t="s">
        <v>248</v>
      </c>
      <c r="E617" s="15" t="str">
        <f>"214.41"</f>
        <v>214.41</v>
      </c>
      <c r="F617" s="15"/>
      <c r="G617" s="16" t="str">
        <f>"254.41"</f>
        <v>254.41</v>
      </c>
      <c r="H617" s="17" t="s">
        <v>48</v>
      </c>
      <c r="I617" s="18">
        <v>1</v>
      </c>
      <c r="J617" s="18">
        <v>2016</v>
      </c>
      <c r="K617" s="18" t="str">
        <f>"214.41"</f>
        <v>214.41</v>
      </c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</row>
    <row r="618" spans="1:35">
      <c r="A618" s="14">
        <v>616</v>
      </c>
      <c r="B618" s="14">
        <v>8311</v>
      </c>
      <c r="C618" s="14" t="s">
        <v>783</v>
      </c>
      <c r="D618" s="14" t="s">
        <v>66</v>
      </c>
      <c r="E618" s="15" t="str">
        <f>"254.49"</f>
        <v>254.49</v>
      </c>
      <c r="F618" s="15"/>
      <c r="G618" s="16" t="str">
        <f>"254.49"</f>
        <v>254.49</v>
      </c>
      <c r="H618" s="17"/>
      <c r="I618" s="18">
        <v>3</v>
      </c>
      <c r="J618" s="18">
        <v>2016</v>
      </c>
      <c r="K618" s="18" t="str">
        <f>"289.01"</f>
        <v>289.01</v>
      </c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 t="str">
        <f>"252.44"</f>
        <v>252.44</v>
      </c>
      <c r="W618" s="18"/>
      <c r="X618" s="18"/>
      <c r="Y618" s="18"/>
      <c r="Z618" s="18"/>
      <c r="AA618" s="18"/>
      <c r="AB618" s="18" t="str">
        <f>"256.54"</f>
        <v>256.54</v>
      </c>
      <c r="AC618" s="18"/>
      <c r="AD618" s="18"/>
      <c r="AE618" s="18"/>
      <c r="AF618" s="18"/>
      <c r="AG618" s="18"/>
      <c r="AH618" s="18"/>
      <c r="AI618" s="18"/>
    </row>
    <row r="619" spans="1:35">
      <c r="A619" s="14">
        <v>617</v>
      </c>
      <c r="B619" s="14">
        <v>5503</v>
      </c>
      <c r="C619" s="14" t="s">
        <v>784</v>
      </c>
      <c r="D619" s="14" t="s">
        <v>248</v>
      </c>
      <c r="E619" s="15" t="str">
        <f>"152.95"</f>
        <v>152.95</v>
      </c>
      <c r="F619" s="15"/>
      <c r="G619" s="16" t="str">
        <f>"255.04"</f>
        <v>255.04</v>
      </c>
      <c r="H619" s="17" t="s">
        <v>54</v>
      </c>
      <c r="I619" s="18">
        <v>2</v>
      </c>
      <c r="J619" s="18">
        <v>2016</v>
      </c>
      <c r="K619" s="18" t="str">
        <f>"152.95"</f>
        <v>152.95</v>
      </c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 t="str">
        <f>"215.04"</f>
        <v>215.04</v>
      </c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</row>
    <row r="620" spans="1:35">
      <c r="A620" s="14">
        <v>618</v>
      </c>
      <c r="B620" s="14">
        <v>7604</v>
      </c>
      <c r="C620" s="14" t="s">
        <v>785</v>
      </c>
      <c r="D620" s="14" t="s">
        <v>786</v>
      </c>
      <c r="E620" s="15" t="str">
        <f>"216.24"</f>
        <v>216.24</v>
      </c>
      <c r="F620" s="15"/>
      <c r="G620" s="16" t="str">
        <f>"255.10"</f>
        <v>255.10</v>
      </c>
      <c r="H620" s="17" t="s">
        <v>54</v>
      </c>
      <c r="I620" s="18">
        <v>2</v>
      </c>
      <c r="J620" s="18">
        <v>2016</v>
      </c>
      <c r="K620" s="18" t="str">
        <f>"217.37"</f>
        <v>217.37</v>
      </c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 t="str">
        <f>"215.10"</f>
        <v>215.10</v>
      </c>
      <c r="AH620" s="18"/>
      <c r="AI620" s="18"/>
    </row>
    <row r="621" spans="1:35">
      <c r="A621" s="14">
        <v>619</v>
      </c>
      <c r="B621" s="14">
        <v>3093</v>
      </c>
      <c r="C621" s="14" t="s">
        <v>787</v>
      </c>
      <c r="D621" s="14" t="s">
        <v>788</v>
      </c>
      <c r="E621" s="15" t="str">
        <f>"215.43"</f>
        <v>215.43</v>
      </c>
      <c r="F621" s="15"/>
      <c r="G621" s="16" t="str">
        <f>"255.43"</f>
        <v>255.43</v>
      </c>
      <c r="H621" s="17" t="s">
        <v>48</v>
      </c>
      <c r="I621" s="18">
        <v>1</v>
      </c>
      <c r="J621" s="18">
        <v>2016</v>
      </c>
      <c r="K621" s="18" t="str">
        <f>"215.43"</f>
        <v>215.43</v>
      </c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</row>
    <row r="622" spans="1:35">
      <c r="A622" s="14">
        <v>620</v>
      </c>
      <c r="B622" s="14">
        <v>3756</v>
      </c>
      <c r="C622" s="14" t="s">
        <v>789</v>
      </c>
      <c r="D622" s="14" t="s">
        <v>786</v>
      </c>
      <c r="E622" s="15" t="str">
        <f>"218.73"</f>
        <v>218.73</v>
      </c>
      <c r="F622" s="15"/>
      <c r="G622" s="16" t="str">
        <f>"255.52"</f>
        <v>255.52</v>
      </c>
      <c r="H622" s="17" t="s">
        <v>54</v>
      </c>
      <c r="I622" s="18">
        <v>2</v>
      </c>
      <c r="J622" s="18">
        <v>2016</v>
      </c>
      <c r="K622" s="18" t="str">
        <f>"221.93"</f>
        <v>221.93</v>
      </c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 t="str">
        <f>"215.52"</f>
        <v>215.52</v>
      </c>
      <c r="AH622" s="18"/>
      <c r="AI622" s="18"/>
    </row>
    <row r="623" spans="1:35">
      <c r="A623" s="14">
        <v>621</v>
      </c>
      <c r="B623" s="14">
        <v>1278</v>
      </c>
      <c r="C623" s="14" t="s">
        <v>790</v>
      </c>
      <c r="D623" s="14" t="s">
        <v>442</v>
      </c>
      <c r="E623" s="15" t="str">
        <f>"245.72"</f>
        <v>245.72</v>
      </c>
      <c r="F623" s="15"/>
      <c r="G623" s="16" t="str">
        <f>"255.78"</f>
        <v>255.78</v>
      </c>
      <c r="H623" s="17"/>
      <c r="I623" s="18">
        <v>3</v>
      </c>
      <c r="J623" s="18">
        <v>2016</v>
      </c>
      <c r="K623" s="18" t="str">
        <f>"246.58"</f>
        <v>246.58</v>
      </c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 t="str">
        <f>"244.86"</f>
        <v>244.86</v>
      </c>
      <c r="X623" s="18"/>
      <c r="Y623" s="18"/>
      <c r="Z623" s="18"/>
      <c r="AA623" s="18"/>
      <c r="AB623" s="18" t="str">
        <f>"266.70"</f>
        <v>266.70</v>
      </c>
      <c r="AC623" s="18"/>
      <c r="AD623" s="18"/>
      <c r="AE623" s="18"/>
      <c r="AF623" s="18"/>
      <c r="AG623" s="18"/>
      <c r="AH623" s="18"/>
      <c r="AI623" s="18"/>
    </row>
    <row r="624" spans="1:35">
      <c r="A624" s="14">
        <v>622</v>
      </c>
      <c r="B624" s="14">
        <v>5356</v>
      </c>
      <c r="C624" s="14" t="s">
        <v>791</v>
      </c>
      <c r="D624" s="14" t="s">
        <v>302</v>
      </c>
      <c r="E624" s="15" t="str">
        <f>"255.84"</f>
        <v>255.84</v>
      </c>
      <c r="F624" s="15"/>
      <c r="G624" s="16" t="str">
        <f>"255.84"</f>
        <v>255.84</v>
      </c>
      <c r="H624" s="17"/>
      <c r="I624" s="18">
        <v>5</v>
      </c>
      <c r="J624" s="18">
        <v>2016</v>
      </c>
      <c r="K624" s="18"/>
      <c r="L624" s="18"/>
      <c r="M624" s="18"/>
      <c r="N624" s="18"/>
      <c r="O624" s="18"/>
      <c r="P624" s="18"/>
      <c r="Q624" s="18" t="str">
        <f>"228.67"</f>
        <v>228.67</v>
      </c>
      <c r="R624" s="18"/>
      <c r="S624" s="18"/>
      <c r="T624" s="18"/>
      <c r="U624" s="18" t="str">
        <f>"283.01"</f>
        <v>283.01</v>
      </c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</row>
    <row r="625" spans="1:35">
      <c r="A625" s="14">
        <v>623</v>
      </c>
      <c r="B625" s="14">
        <v>8616</v>
      </c>
      <c r="C625" s="14" t="s">
        <v>792</v>
      </c>
      <c r="D625" s="14" t="s">
        <v>76</v>
      </c>
      <c r="E625" s="15" t="str">
        <f>"256.09"</f>
        <v>256.09</v>
      </c>
      <c r="F625" s="15"/>
      <c r="G625" s="16" t="str">
        <f>"256.09"</f>
        <v>256.09</v>
      </c>
      <c r="H625" s="17"/>
      <c r="I625" s="18">
        <v>3</v>
      </c>
      <c r="J625" s="18">
        <v>2016</v>
      </c>
      <c r="K625" s="18" t="str">
        <f>"319.84"</f>
        <v>319.84</v>
      </c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 t="str">
        <f>"288.71"</f>
        <v>288.71</v>
      </c>
      <c r="Y625" s="18" t="str">
        <f>"306.39"</f>
        <v>306.39</v>
      </c>
      <c r="Z625" s="18"/>
      <c r="AA625" s="18"/>
      <c r="AB625" s="18"/>
      <c r="AC625" s="18" t="str">
        <f>"255.31"</f>
        <v>255.31</v>
      </c>
      <c r="AD625" s="18" t="str">
        <f>"256.86"</f>
        <v>256.86</v>
      </c>
      <c r="AE625" s="18"/>
      <c r="AF625" s="18"/>
      <c r="AG625" s="18"/>
      <c r="AH625" s="18"/>
      <c r="AI625" s="18"/>
    </row>
    <row r="626" spans="1:35">
      <c r="A626" s="14">
        <v>624</v>
      </c>
      <c r="B626" s="14">
        <v>3972</v>
      </c>
      <c r="C626" s="14" t="s">
        <v>793</v>
      </c>
      <c r="D626" s="14" t="s">
        <v>442</v>
      </c>
      <c r="E626" s="15" t="str">
        <f>"141.56"</f>
        <v>141.56</v>
      </c>
      <c r="F626" s="15"/>
      <c r="G626" s="16" t="str">
        <f>"256.09"</f>
        <v>256.09</v>
      </c>
      <c r="H626" s="17" t="s">
        <v>54</v>
      </c>
      <c r="I626" s="18">
        <v>2</v>
      </c>
      <c r="J626" s="18">
        <v>2016</v>
      </c>
      <c r="K626" s="18" t="str">
        <f>"141.56"</f>
        <v>141.56</v>
      </c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 t="str">
        <f>"216.09"</f>
        <v>216.09</v>
      </c>
      <c r="AF626" s="18"/>
      <c r="AG626" s="18"/>
      <c r="AH626" s="18"/>
      <c r="AI626" s="18"/>
    </row>
    <row r="627" spans="1:35">
      <c r="A627" s="14">
        <v>625</v>
      </c>
      <c r="B627" s="14">
        <v>8313</v>
      </c>
      <c r="C627" s="14" t="s">
        <v>794</v>
      </c>
      <c r="D627" s="14" t="s">
        <v>62</v>
      </c>
      <c r="E627" s="15" t="str">
        <f>"146.79"</f>
        <v>146.79</v>
      </c>
      <c r="F627" s="15"/>
      <c r="G627" s="16" t="str">
        <f>"256.14"</f>
        <v>256.14</v>
      </c>
      <c r="H627" s="17" t="s">
        <v>54</v>
      </c>
      <c r="I627" s="18">
        <v>2</v>
      </c>
      <c r="J627" s="18">
        <v>2016</v>
      </c>
      <c r="K627" s="18" t="str">
        <f>"146.79"</f>
        <v>146.79</v>
      </c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 t="str">
        <f>"216.14"</f>
        <v>216.14</v>
      </c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</row>
    <row r="628" spans="1:35">
      <c r="A628" s="14">
        <v>626</v>
      </c>
      <c r="B628" s="14">
        <v>4000</v>
      </c>
      <c r="C628" s="14" t="s">
        <v>795</v>
      </c>
      <c r="D628" s="14" t="s">
        <v>651</v>
      </c>
      <c r="E628" s="15" t="str">
        <f>"216.21"</f>
        <v>216.21</v>
      </c>
      <c r="F628" s="15"/>
      <c r="G628" s="16" t="str">
        <f>"256.21"</f>
        <v>256.21</v>
      </c>
      <c r="H628" s="17" t="s">
        <v>48</v>
      </c>
      <c r="I628" s="18">
        <v>1</v>
      </c>
      <c r="J628" s="18">
        <v>2016</v>
      </c>
      <c r="K628" s="18" t="str">
        <f>"216.21"</f>
        <v>216.21</v>
      </c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</row>
    <row r="629" spans="1:35">
      <c r="A629" s="14">
        <v>627</v>
      </c>
      <c r="B629" s="14">
        <v>8543</v>
      </c>
      <c r="C629" s="14" t="s">
        <v>796</v>
      </c>
      <c r="D629" s="14" t="s">
        <v>122</v>
      </c>
      <c r="E629" s="15" t="str">
        <f>"216.71"</f>
        <v>216.71</v>
      </c>
      <c r="F629" s="15"/>
      <c r="G629" s="16" t="str">
        <f>"256.71"</f>
        <v>256.71</v>
      </c>
      <c r="H629" s="17" t="s">
        <v>48</v>
      </c>
      <c r="I629" s="18">
        <v>1</v>
      </c>
      <c r="J629" s="18">
        <v>2016</v>
      </c>
      <c r="K629" s="18" t="str">
        <f>"216.71"</f>
        <v>216.71</v>
      </c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</row>
    <row r="630" spans="1:35">
      <c r="A630" s="14">
        <v>628</v>
      </c>
      <c r="B630" s="14">
        <v>7161</v>
      </c>
      <c r="C630" s="14" t="s">
        <v>797</v>
      </c>
      <c r="D630" s="14" t="s">
        <v>133</v>
      </c>
      <c r="E630" s="15" t="str">
        <f>"217.25"</f>
        <v>217.25</v>
      </c>
      <c r="F630" s="15"/>
      <c r="G630" s="16" t="str">
        <f>"257.28"</f>
        <v>257.28</v>
      </c>
      <c r="H630" s="17"/>
      <c r="I630" s="18">
        <v>3</v>
      </c>
      <c r="J630" s="18">
        <v>2016</v>
      </c>
      <c r="K630" s="18" t="str">
        <f>"217.25"</f>
        <v>217.25</v>
      </c>
      <c r="L630" s="18"/>
      <c r="M630" s="18" t="str">
        <f>"256.80"</f>
        <v>256.80</v>
      </c>
      <c r="N630" s="18"/>
      <c r="O630" s="18"/>
      <c r="P630" s="18"/>
      <c r="Q630" s="18"/>
      <c r="R630" s="18"/>
      <c r="S630" s="18"/>
      <c r="T630" s="18"/>
      <c r="U630" s="18"/>
      <c r="V630" s="18" t="str">
        <f>"257.83"</f>
        <v>257.83</v>
      </c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 t="str">
        <f>"257.76"</f>
        <v>257.76</v>
      </c>
      <c r="AH630" s="18"/>
      <c r="AI630" s="18"/>
    </row>
    <row r="631" spans="1:35">
      <c r="A631" s="14">
        <v>629</v>
      </c>
      <c r="B631" s="14">
        <v>10135</v>
      </c>
      <c r="C631" s="14" t="s">
        <v>798</v>
      </c>
      <c r="D631" s="14" t="s">
        <v>98</v>
      </c>
      <c r="E631" s="15" t="str">
        <f>"327.76"</f>
        <v>327.76</v>
      </c>
      <c r="F631" s="15"/>
      <c r="G631" s="16" t="str">
        <f>"257.47"</f>
        <v>257.47</v>
      </c>
      <c r="H631" s="17" t="s">
        <v>54</v>
      </c>
      <c r="I631" s="18">
        <v>2</v>
      </c>
      <c r="J631" s="18">
        <v>2016</v>
      </c>
      <c r="K631" s="18" t="str">
        <f>"438.04"</f>
        <v>438.04</v>
      </c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 t="str">
        <f>"217.47"</f>
        <v>217.47</v>
      </c>
      <c r="AA631" s="18"/>
      <c r="AB631" s="18"/>
      <c r="AC631" s="18"/>
      <c r="AD631" s="18"/>
      <c r="AE631" s="18"/>
      <c r="AF631" s="18"/>
      <c r="AG631" s="18"/>
      <c r="AH631" s="18"/>
      <c r="AI631" s="18"/>
    </row>
    <row r="632" spans="1:35">
      <c r="A632" s="14">
        <v>630</v>
      </c>
      <c r="B632" s="14">
        <v>2319</v>
      </c>
      <c r="C632" s="14" t="s">
        <v>799</v>
      </c>
      <c r="D632" s="14" t="s">
        <v>76</v>
      </c>
      <c r="E632" s="15" t="str">
        <f>"257.49"</f>
        <v>257.49</v>
      </c>
      <c r="F632" s="15"/>
      <c r="G632" s="16" t="str">
        <f>"257.49"</f>
        <v>257.49</v>
      </c>
      <c r="H632" s="17"/>
      <c r="I632" s="18">
        <v>3</v>
      </c>
      <c r="J632" s="18">
        <v>2016</v>
      </c>
      <c r="K632" s="18" t="str">
        <f>"285.10"</f>
        <v>285.10</v>
      </c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 t="str">
        <f>"339.92"</f>
        <v>339.92</v>
      </c>
      <c r="Y632" s="18"/>
      <c r="Z632" s="18"/>
      <c r="AA632" s="18"/>
      <c r="AB632" s="18"/>
      <c r="AC632" s="18" t="str">
        <f>"246.71"</f>
        <v>246.71</v>
      </c>
      <c r="AD632" s="18" t="str">
        <f>"268.26"</f>
        <v>268.26</v>
      </c>
      <c r="AE632" s="18"/>
      <c r="AF632" s="18"/>
      <c r="AG632" s="18"/>
      <c r="AH632" s="18"/>
      <c r="AI632" s="18"/>
    </row>
    <row r="633" spans="1:35">
      <c r="A633" s="14">
        <v>631</v>
      </c>
      <c r="B633" s="14">
        <v>2174</v>
      </c>
      <c r="C633" s="14" t="s">
        <v>800</v>
      </c>
      <c r="D633" s="14" t="s">
        <v>76</v>
      </c>
      <c r="E633" s="15" t="str">
        <f>"257.87"</f>
        <v>257.87</v>
      </c>
      <c r="F633" s="15"/>
      <c r="G633" s="16" t="str">
        <f>"257.87"</f>
        <v>257.87</v>
      </c>
      <c r="H633" s="17"/>
      <c r="I633" s="18">
        <v>3</v>
      </c>
      <c r="J633" s="18">
        <v>2016</v>
      </c>
      <c r="K633" s="18" t="str">
        <f>"381.42"</f>
        <v>381.42</v>
      </c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 t="str">
        <f>"372.89"</f>
        <v>372.89</v>
      </c>
      <c r="Y633" s="18"/>
      <c r="Z633" s="18"/>
      <c r="AA633" s="18"/>
      <c r="AB633" s="18"/>
      <c r="AC633" s="18" t="str">
        <f>"267.55"</f>
        <v>267.55</v>
      </c>
      <c r="AD633" s="18" t="str">
        <f>"248.18"</f>
        <v>248.18</v>
      </c>
      <c r="AE633" s="18"/>
      <c r="AF633" s="18"/>
      <c r="AG633" s="18"/>
      <c r="AH633" s="18" t="str">
        <f>"335.07"</f>
        <v>335.07</v>
      </c>
      <c r="AI633" s="18"/>
    </row>
    <row r="634" spans="1:35">
      <c r="A634" s="14">
        <v>632</v>
      </c>
      <c r="B634" s="14">
        <v>6662</v>
      </c>
      <c r="C634" s="14" t="s">
        <v>801</v>
      </c>
      <c r="D634" s="14" t="s">
        <v>330</v>
      </c>
      <c r="E634" s="15" t="str">
        <f>"257.94"</f>
        <v>257.94</v>
      </c>
      <c r="F634" s="15"/>
      <c r="G634" s="16" t="str">
        <f>"257.94"</f>
        <v>257.94</v>
      </c>
      <c r="H634" s="17"/>
      <c r="I634" s="18">
        <v>3</v>
      </c>
      <c r="J634" s="18">
        <v>2016</v>
      </c>
      <c r="K634" s="18" t="str">
        <f>"316.83"</f>
        <v>316.83</v>
      </c>
      <c r="L634" s="18"/>
      <c r="M634" s="18"/>
      <c r="N634" s="18"/>
      <c r="O634" s="18"/>
      <c r="P634" s="18" t="str">
        <f>"267.38"</f>
        <v>267.38</v>
      </c>
      <c r="Q634" s="18"/>
      <c r="R634" s="18"/>
      <c r="S634" s="18" t="str">
        <f>"248.50"</f>
        <v>248.50</v>
      </c>
      <c r="T634" s="18" t="str">
        <f>"272.43"</f>
        <v>272.43</v>
      </c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</row>
    <row r="635" spans="1:35">
      <c r="A635" s="14">
        <v>633</v>
      </c>
      <c r="B635" s="14">
        <v>10071</v>
      </c>
      <c r="C635" s="14" t="s">
        <v>802</v>
      </c>
      <c r="D635" s="14" t="s">
        <v>76</v>
      </c>
      <c r="E635" s="15" t="str">
        <f>"258.39"</f>
        <v>258.39</v>
      </c>
      <c r="F635" s="15"/>
      <c r="G635" s="16" t="str">
        <f>"258.39"</f>
        <v>258.39</v>
      </c>
      <c r="H635" s="17"/>
      <c r="I635" s="18">
        <v>3</v>
      </c>
      <c r="J635" s="18">
        <v>2016</v>
      </c>
      <c r="K635" s="18" t="str">
        <f>"343.19"</f>
        <v>343.19</v>
      </c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 t="str">
        <f>"268.99"</f>
        <v>268.99</v>
      </c>
      <c r="Y635" s="18"/>
      <c r="Z635" s="18"/>
      <c r="AA635" s="18"/>
      <c r="AB635" s="18"/>
      <c r="AC635" s="18" t="str">
        <f>"257.85"</f>
        <v>257.85</v>
      </c>
      <c r="AD635" s="18" t="str">
        <f>"258.92"</f>
        <v>258.92</v>
      </c>
      <c r="AE635" s="18"/>
      <c r="AF635" s="18"/>
      <c r="AG635" s="18"/>
      <c r="AH635" s="18"/>
      <c r="AI635" s="18"/>
    </row>
    <row r="636" spans="1:35">
      <c r="A636" s="14">
        <v>634</v>
      </c>
      <c r="B636" s="14">
        <v>6556</v>
      </c>
      <c r="C636" s="14" t="s">
        <v>803</v>
      </c>
      <c r="D636" s="14" t="s">
        <v>74</v>
      </c>
      <c r="E636" s="15" t="str">
        <f>"218.49"</f>
        <v>218.49</v>
      </c>
      <c r="F636" s="15"/>
      <c r="G636" s="16" t="str">
        <f>"258.49"</f>
        <v>258.49</v>
      </c>
      <c r="H636" s="17" t="s">
        <v>48</v>
      </c>
      <c r="I636" s="18">
        <v>1</v>
      </c>
      <c r="J636" s="18">
        <v>2016</v>
      </c>
      <c r="K636" s="18" t="str">
        <f>"218.49"</f>
        <v>218.49</v>
      </c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</row>
    <row r="637" spans="1:35">
      <c r="A637" s="14">
        <v>635</v>
      </c>
      <c r="B637" s="14">
        <v>6697</v>
      </c>
      <c r="C637" s="14" t="s">
        <v>804</v>
      </c>
      <c r="D637" s="14" t="s">
        <v>580</v>
      </c>
      <c r="E637" s="15" t="str">
        <f>"180.74"</f>
        <v>180.74</v>
      </c>
      <c r="F637" s="15"/>
      <c r="G637" s="16" t="str">
        <f>"258.50"</f>
        <v>258.50</v>
      </c>
      <c r="H637" s="17"/>
      <c r="I637" s="18">
        <v>3</v>
      </c>
      <c r="J637" s="18">
        <v>2016</v>
      </c>
      <c r="K637" s="18" t="str">
        <f>"180.74"</f>
        <v>180.74</v>
      </c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 t="str">
        <f>"252.95"</f>
        <v>252.95</v>
      </c>
      <c r="AH637" s="18" t="str">
        <f>"264.04"</f>
        <v>264.04</v>
      </c>
      <c r="AI637" s="18"/>
    </row>
    <row r="638" spans="1:35">
      <c r="A638" s="14">
        <v>636</v>
      </c>
      <c r="B638" s="14">
        <v>8500</v>
      </c>
      <c r="C638" s="14" t="s">
        <v>805</v>
      </c>
      <c r="D638" s="14" t="s">
        <v>76</v>
      </c>
      <c r="E638" s="15" t="str">
        <f>"254.06"</f>
        <v>254.06</v>
      </c>
      <c r="F638" s="15"/>
      <c r="G638" s="16" t="str">
        <f>"258.56"</f>
        <v>258.56</v>
      </c>
      <c r="H638" s="17"/>
      <c r="I638" s="18">
        <v>3</v>
      </c>
      <c r="J638" s="18">
        <v>2016</v>
      </c>
      <c r="K638" s="18" t="str">
        <f>"254.06"</f>
        <v>254.06</v>
      </c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 t="str">
        <f>"256.28"</f>
        <v>256.28</v>
      </c>
      <c r="Y638" s="18"/>
      <c r="Z638" s="18"/>
      <c r="AA638" s="18"/>
      <c r="AB638" s="18"/>
      <c r="AC638" s="18" t="str">
        <f>"260.83"</f>
        <v>260.83</v>
      </c>
      <c r="AD638" s="18" t="str">
        <f>"266.63"</f>
        <v>266.63</v>
      </c>
      <c r="AE638" s="18"/>
      <c r="AF638" s="18"/>
      <c r="AG638" s="18"/>
      <c r="AH638" s="18"/>
      <c r="AI638" s="18"/>
    </row>
    <row r="639" spans="1:35">
      <c r="A639" s="14">
        <v>637</v>
      </c>
      <c r="B639" s="14">
        <v>4128</v>
      </c>
      <c r="C639" s="14" t="s">
        <v>806</v>
      </c>
      <c r="D639" s="14" t="s">
        <v>184</v>
      </c>
      <c r="E639" s="15" t="str">
        <f>"180.42"</f>
        <v>180.42</v>
      </c>
      <c r="F639" s="15"/>
      <c r="G639" s="16" t="str">
        <f>"259.17"</f>
        <v>259.17</v>
      </c>
      <c r="H639" s="17"/>
      <c r="I639" s="18">
        <v>3</v>
      </c>
      <c r="J639" s="18">
        <v>2016</v>
      </c>
      <c r="K639" s="18" t="str">
        <f>"180.42"</f>
        <v>180.42</v>
      </c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 t="str">
        <f>"273.53"</f>
        <v>273.53</v>
      </c>
      <c r="W639" s="18"/>
      <c r="X639" s="18"/>
      <c r="Y639" s="18"/>
      <c r="Z639" s="18"/>
      <c r="AA639" s="18" t="str">
        <f>"368.61"</f>
        <v>368.61</v>
      </c>
      <c r="AB639" s="18"/>
      <c r="AC639" s="18"/>
      <c r="AD639" s="18"/>
      <c r="AE639" s="18"/>
      <c r="AF639" s="18"/>
      <c r="AG639" s="18"/>
      <c r="AH639" s="18" t="str">
        <f>"244.80"</f>
        <v>244.80</v>
      </c>
      <c r="AI639" s="18"/>
    </row>
    <row r="640" spans="1:35">
      <c r="A640" s="14">
        <v>638</v>
      </c>
      <c r="B640" s="14">
        <v>4496</v>
      </c>
      <c r="C640" s="14" t="s">
        <v>807</v>
      </c>
      <c r="D640" s="14" t="s">
        <v>176</v>
      </c>
      <c r="E640" s="15" t="str">
        <f>"198.56"</f>
        <v>198.56</v>
      </c>
      <c r="F640" s="15"/>
      <c r="G640" s="16" t="str">
        <f>"259.49"</f>
        <v>259.49</v>
      </c>
      <c r="H640" s="17" t="s">
        <v>54</v>
      </c>
      <c r="I640" s="18">
        <v>2</v>
      </c>
      <c r="J640" s="18">
        <v>2016</v>
      </c>
      <c r="K640" s="18" t="str">
        <f>"198.56"</f>
        <v>198.56</v>
      </c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 t="str">
        <f>"219.49"</f>
        <v>219.49</v>
      </c>
      <c r="AH640" s="18"/>
      <c r="AI640" s="18"/>
    </row>
    <row r="641" spans="1:35">
      <c r="A641" s="14">
        <v>639</v>
      </c>
      <c r="B641" s="14">
        <v>3370</v>
      </c>
      <c r="C641" s="14" t="s">
        <v>808</v>
      </c>
      <c r="D641" s="14" t="s">
        <v>242</v>
      </c>
      <c r="E641" s="15" t="str">
        <f>"190.62"</f>
        <v>190.62</v>
      </c>
      <c r="F641" s="15"/>
      <c r="G641" s="16" t="str">
        <f>"260.22"</f>
        <v>260.22</v>
      </c>
      <c r="H641" s="17" t="s">
        <v>54</v>
      </c>
      <c r="I641" s="18">
        <v>2</v>
      </c>
      <c r="J641" s="18">
        <v>2016</v>
      </c>
      <c r="K641" s="18" t="str">
        <f>"190.62"</f>
        <v>190.62</v>
      </c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 t="str">
        <f>"220.22"</f>
        <v>220.22</v>
      </c>
      <c r="AC641" s="18"/>
      <c r="AD641" s="18"/>
      <c r="AE641" s="18"/>
      <c r="AF641" s="18"/>
      <c r="AG641" s="18"/>
      <c r="AH641" s="18"/>
      <c r="AI641" s="18"/>
    </row>
    <row r="642" spans="1:35">
      <c r="A642" s="14">
        <v>640</v>
      </c>
      <c r="B642" s="14">
        <v>6979</v>
      </c>
      <c r="C642" s="14" t="s">
        <v>809</v>
      </c>
      <c r="D642" s="14" t="s">
        <v>424</v>
      </c>
      <c r="E642" s="15" t="str">
        <f>"220.23"</f>
        <v>220.23</v>
      </c>
      <c r="F642" s="15"/>
      <c r="G642" s="16" t="str">
        <f>"260.23"</f>
        <v>260.23</v>
      </c>
      <c r="H642" s="17" t="s">
        <v>48</v>
      </c>
      <c r="I642" s="18">
        <v>1</v>
      </c>
      <c r="J642" s="18">
        <v>2016</v>
      </c>
      <c r="K642" s="18" t="str">
        <f>"220.23"</f>
        <v>220.23</v>
      </c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</row>
    <row r="643" spans="1:35">
      <c r="A643" s="14">
        <v>641</v>
      </c>
      <c r="B643" s="14">
        <v>1519</v>
      </c>
      <c r="C643" s="14" t="s">
        <v>810</v>
      </c>
      <c r="D643" s="14" t="s">
        <v>786</v>
      </c>
      <c r="E643" s="15" t="str">
        <f>"233.80"</f>
        <v>233.80</v>
      </c>
      <c r="F643" s="15"/>
      <c r="G643" s="16" t="str">
        <f>"260.33"</f>
        <v>260.33</v>
      </c>
      <c r="H643" s="17" t="s">
        <v>54</v>
      </c>
      <c r="I643" s="18">
        <v>2</v>
      </c>
      <c r="J643" s="18">
        <v>2016</v>
      </c>
      <c r="K643" s="18" t="str">
        <f>"247.26"</f>
        <v>247.26</v>
      </c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 t="str">
        <f>"220.33"</f>
        <v>220.33</v>
      </c>
      <c r="AH643" s="18"/>
      <c r="AI643" s="18"/>
    </row>
    <row r="644" spans="1:35">
      <c r="A644" s="14">
        <v>642</v>
      </c>
      <c r="B644" s="14">
        <v>4595</v>
      </c>
      <c r="C644" s="14" t="s">
        <v>811</v>
      </c>
      <c r="D644" s="14" t="s">
        <v>282</v>
      </c>
      <c r="E644" s="15" t="str">
        <f>"261.75"</f>
        <v>261.75</v>
      </c>
      <c r="F644" s="15"/>
      <c r="G644" s="16" t="str">
        <f>"261.75"</f>
        <v>261.75</v>
      </c>
      <c r="H644" s="17" t="s">
        <v>54</v>
      </c>
      <c r="I644" s="18">
        <v>4</v>
      </c>
      <c r="J644" s="18">
        <v>2016</v>
      </c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 t="str">
        <f>"221.75"</f>
        <v>221.75</v>
      </c>
      <c r="AG644" s="18"/>
      <c r="AH644" s="18"/>
      <c r="AI644" s="18"/>
    </row>
    <row r="645" spans="1:35">
      <c r="A645" s="14">
        <v>643</v>
      </c>
      <c r="B645" s="14">
        <v>2382</v>
      </c>
      <c r="C645" s="14" t="s">
        <v>812</v>
      </c>
      <c r="D645" s="14" t="s">
        <v>179</v>
      </c>
      <c r="E645" s="15" t="str">
        <f>"262.25"</f>
        <v>262.25</v>
      </c>
      <c r="F645" s="15"/>
      <c r="G645" s="16" t="str">
        <f>"262.25"</f>
        <v>262.25</v>
      </c>
      <c r="H645" s="17" t="s">
        <v>54</v>
      </c>
      <c r="I645" s="18">
        <v>4</v>
      </c>
      <c r="J645" s="18">
        <v>2016</v>
      </c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 t="str">
        <f>"222.25"</f>
        <v>222.25</v>
      </c>
      <c r="AC645" s="18"/>
      <c r="AD645" s="18"/>
      <c r="AE645" s="18"/>
      <c r="AF645" s="18"/>
      <c r="AG645" s="18"/>
      <c r="AH645" s="18"/>
      <c r="AI645" s="18"/>
    </row>
    <row r="646" spans="1:35">
      <c r="A646" s="14">
        <v>644</v>
      </c>
      <c r="B646" s="14">
        <v>10327</v>
      </c>
      <c r="C646" s="14" t="s">
        <v>813</v>
      </c>
      <c r="D646" s="14" t="s">
        <v>66</v>
      </c>
      <c r="E646" s="15" t="str">
        <f>"262.56"</f>
        <v>262.56</v>
      </c>
      <c r="F646" s="15"/>
      <c r="G646" s="16" t="str">
        <f>"262.56"</f>
        <v>262.56</v>
      </c>
      <c r="H646" s="17"/>
      <c r="I646" s="18">
        <v>3</v>
      </c>
      <c r="J646" s="18">
        <v>2016</v>
      </c>
      <c r="K646" s="18" t="str">
        <f>"347.51"</f>
        <v>347.51</v>
      </c>
      <c r="L646" s="18"/>
      <c r="M646" s="18"/>
      <c r="N646" s="18"/>
      <c r="O646" s="18"/>
      <c r="P646" s="18" t="str">
        <f>"293.26"</f>
        <v>293.26</v>
      </c>
      <c r="Q646" s="18"/>
      <c r="R646" s="18" t="str">
        <f>"231.85"</f>
        <v>231.85</v>
      </c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</row>
    <row r="647" spans="1:35">
      <c r="A647" s="14">
        <v>645</v>
      </c>
      <c r="B647" s="14">
        <v>2832</v>
      </c>
      <c r="C647" s="14" t="s">
        <v>814</v>
      </c>
      <c r="D647" s="14" t="s">
        <v>289</v>
      </c>
      <c r="E647" s="15" t="str">
        <f>"222.72"</f>
        <v>222.72</v>
      </c>
      <c r="F647" s="15"/>
      <c r="G647" s="16" t="str">
        <f>"262.72"</f>
        <v>262.72</v>
      </c>
      <c r="H647" s="17" t="s">
        <v>48</v>
      </c>
      <c r="I647" s="18">
        <v>1</v>
      </c>
      <c r="J647" s="18">
        <v>2016</v>
      </c>
      <c r="K647" s="18" t="str">
        <f>"222.72"</f>
        <v>222.72</v>
      </c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</row>
    <row r="648" spans="1:35">
      <c r="A648" s="14">
        <v>646</v>
      </c>
      <c r="B648" s="14">
        <v>2834</v>
      </c>
      <c r="C648" s="14" t="s">
        <v>815</v>
      </c>
      <c r="D648" s="14" t="s">
        <v>816</v>
      </c>
      <c r="E648" s="15" t="str">
        <f>"223.79"</f>
        <v>223.79</v>
      </c>
      <c r="F648" s="15"/>
      <c r="G648" s="16" t="str">
        <f>"263.79"</f>
        <v>263.79</v>
      </c>
      <c r="H648" s="17" t="s">
        <v>48</v>
      </c>
      <c r="I648" s="18">
        <v>1</v>
      </c>
      <c r="J648" s="18">
        <v>2016</v>
      </c>
      <c r="K648" s="18" t="str">
        <f>"223.79"</f>
        <v>223.79</v>
      </c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</row>
    <row r="649" spans="1:35">
      <c r="A649" s="14">
        <v>647</v>
      </c>
      <c r="B649" s="14">
        <v>10764</v>
      </c>
      <c r="C649" s="14" t="s">
        <v>817</v>
      </c>
      <c r="D649" s="14" t="s">
        <v>98</v>
      </c>
      <c r="E649" s="15" t="str">
        <f>"263.87"</f>
        <v>263.87</v>
      </c>
      <c r="F649" s="15"/>
      <c r="G649" s="16" t="str">
        <f>"263.87"</f>
        <v>263.87</v>
      </c>
      <c r="H649" s="17" t="s">
        <v>54</v>
      </c>
      <c r="I649" s="18">
        <v>4</v>
      </c>
      <c r="J649" s="18">
        <v>2016</v>
      </c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 t="str">
        <f>"223.87"</f>
        <v>223.87</v>
      </c>
      <c r="AA649" s="18"/>
      <c r="AB649" s="18"/>
      <c r="AC649" s="18"/>
      <c r="AD649" s="18"/>
      <c r="AE649" s="18"/>
      <c r="AF649" s="18"/>
      <c r="AG649" s="18"/>
      <c r="AH649" s="18"/>
      <c r="AI649" s="18"/>
    </row>
    <row r="650" spans="1:35">
      <c r="A650" s="14">
        <v>648</v>
      </c>
      <c r="B650" s="14">
        <v>1296</v>
      </c>
      <c r="C650" s="14" t="s">
        <v>818</v>
      </c>
      <c r="D650" s="14" t="s">
        <v>93</v>
      </c>
      <c r="E650" s="15" t="str">
        <f>"224.08"</f>
        <v>224.08</v>
      </c>
      <c r="F650" s="15"/>
      <c r="G650" s="16" t="str">
        <f>"264.08"</f>
        <v>264.08</v>
      </c>
      <c r="H650" s="17" t="s">
        <v>48</v>
      </c>
      <c r="I650" s="18">
        <v>1</v>
      </c>
      <c r="J650" s="18">
        <v>2016</v>
      </c>
      <c r="K650" s="18" t="str">
        <f>"224.08"</f>
        <v>224.08</v>
      </c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</row>
    <row r="651" spans="1:35">
      <c r="A651" s="14">
        <v>649</v>
      </c>
      <c r="B651" s="14">
        <v>5357</v>
      </c>
      <c r="C651" s="14" t="s">
        <v>819</v>
      </c>
      <c r="D651" s="14" t="s">
        <v>148</v>
      </c>
      <c r="E651" s="15" t="str">
        <f>"264.72"</f>
        <v>264.72</v>
      </c>
      <c r="F651" s="15"/>
      <c r="G651" s="16" t="str">
        <f>"264.72"</f>
        <v>264.72</v>
      </c>
      <c r="H651" s="17"/>
      <c r="I651" s="18">
        <v>3</v>
      </c>
      <c r="J651" s="18">
        <v>2016</v>
      </c>
      <c r="K651" s="18" t="str">
        <f>"297.43"</f>
        <v>297.43</v>
      </c>
      <c r="L651" s="18"/>
      <c r="M651" s="18"/>
      <c r="N651" s="18"/>
      <c r="O651" s="18"/>
      <c r="P651" s="18"/>
      <c r="Q651" s="18" t="str">
        <f>"243.37"</f>
        <v>243.37</v>
      </c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 t="str">
        <f>"286.07"</f>
        <v>286.07</v>
      </c>
    </row>
    <row r="652" spans="1:35">
      <c r="A652" s="14">
        <v>650</v>
      </c>
      <c r="B652" s="14">
        <v>3005</v>
      </c>
      <c r="C652" s="14" t="s">
        <v>820</v>
      </c>
      <c r="D652" s="14" t="s">
        <v>184</v>
      </c>
      <c r="E652" s="15" t="str">
        <f>"224.82"</f>
        <v>224.82</v>
      </c>
      <c r="F652" s="15"/>
      <c r="G652" s="16" t="str">
        <f>"264.82"</f>
        <v>264.82</v>
      </c>
      <c r="H652" s="17" t="s">
        <v>48</v>
      </c>
      <c r="I652" s="18">
        <v>1</v>
      </c>
      <c r="J652" s="18">
        <v>2016</v>
      </c>
      <c r="K652" s="18" t="str">
        <f>"224.82"</f>
        <v>224.82</v>
      </c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</row>
    <row r="653" spans="1:35">
      <c r="A653" s="14">
        <v>651</v>
      </c>
      <c r="B653" s="14">
        <v>10714</v>
      </c>
      <c r="C653" s="14" t="s">
        <v>821</v>
      </c>
      <c r="D653" s="14" t="s">
        <v>276</v>
      </c>
      <c r="E653" s="15" t="str">
        <f>"259.38"</f>
        <v>259.38</v>
      </c>
      <c r="F653" s="15"/>
      <c r="G653" s="16" t="str">
        <f>"265.46"</f>
        <v>265.46</v>
      </c>
      <c r="H653" s="17"/>
      <c r="I653" s="18">
        <v>3</v>
      </c>
      <c r="J653" s="18">
        <v>2016</v>
      </c>
      <c r="K653" s="18" t="str">
        <f>"267.91"</f>
        <v>267.91</v>
      </c>
      <c r="L653" s="18" t="str">
        <f>"280.07"</f>
        <v>280.07</v>
      </c>
      <c r="M653" s="18"/>
      <c r="N653" s="18" t="str">
        <f>"250.85"</f>
        <v>250.85</v>
      </c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 t="str">
        <f>"289.14"</f>
        <v>289.14</v>
      </c>
      <c r="AB653" s="18"/>
      <c r="AC653" s="18"/>
      <c r="AD653" s="18"/>
      <c r="AE653" s="18"/>
      <c r="AF653" s="18"/>
      <c r="AG653" s="18"/>
      <c r="AH653" s="18"/>
      <c r="AI653" s="18"/>
    </row>
    <row r="654" spans="1:35">
      <c r="A654" s="14">
        <v>652</v>
      </c>
      <c r="B654" s="14">
        <v>2291</v>
      </c>
      <c r="C654" s="14" t="s">
        <v>822</v>
      </c>
      <c r="D654" s="14" t="s">
        <v>76</v>
      </c>
      <c r="E654" s="15" t="str">
        <f>"265.73"</f>
        <v>265.73</v>
      </c>
      <c r="F654" s="15"/>
      <c r="G654" s="16" t="str">
        <f>"265.73"</f>
        <v>265.73</v>
      </c>
      <c r="H654" s="17"/>
      <c r="I654" s="18">
        <v>3</v>
      </c>
      <c r="J654" s="18">
        <v>2016</v>
      </c>
      <c r="K654" s="18" t="str">
        <f>"344.85"</f>
        <v>344.85</v>
      </c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 t="str">
        <f>"313.57"</f>
        <v>313.57</v>
      </c>
      <c r="Y654" s="18" t="str">
        <f>"357.55"</f>
        <v>357.55</v>
      </c>
      <c r="Z654" s="18"/>
      <c r="AA654" s="18"/>
      <c r="AB654" s="18"/>
      <c r="AC654" s="18" t="str">
        <f>"260.16"</f>
        <v>260.16</v>
      </c>
      <c r="AD654" s="18" t="str">
        <f>"271.30"</f>
        <v>271.30</v>
      </c>
      <c r="AE654" s="18"/>
      <c r="AF654" s="18"/>
      <c r="AG654" s="18"/>
      <c r="AH654" s="18"/>
      <c r="AI654" s="18"/>
    </row>
    <row r="655" spans="1:35">
      <c r="A655" s="14">
        <v>653</v>
      </c>
      <c r="B655" s="14">
        <v>10671</v>
      </c>
      <c r="C655" s="14" t="s">
        <v>823</v>
      </c>
      <c r="D655" s="14" t="s">
        <v>103</v>
      </c>
      <c r="E655" s="15" t="str">
        <f>"185.92"</f>
        <v>185.92</v>
      </c>
      <c r="F655" s="15"/>
      <c r="G655" s="16" t="str">
        <f>"265.77"</f>
        <v>265.77</v>
      </c>
      <c r="H655" s="17" t="s">
        <v>54</v>
      </c>
      <c r="I655" s="18">
        <v>2</v>
      </c>
      <c r="J655" s="18">
        <v>2016</v>
      </c>
      <c r="K655" s="18" t="str">
        <f>"185.92"</f>
        <v>185.92</v>
      </c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 t="str">
        <f>"225.77"</f>
        <v>225.77</v>
      </c>
      <c r="AC655" s="18"/>
      <c r="AD655" s="18"/>
      <c r="AE655" s="18"/>
      <c r="AF655" s="18"/>
      <c r="AG655" s="18"/>
      <c r="AH655" s="18"/>
      <c r="AI655" s="18"/>
    </row>
    <row r="656" spans="1:35">
      <c r="A656" s="14">
        <v>654</v>
      </c>
      <c r="B656" s="14">
        <v>5430</v>
      </c>
      <c r="C656" s="14" t="s">
        <v>824</v>
      </c>
      <c r="D656" s="14" t="s">
        <v>786</v>
      </c>
      <c r="E656" s="15" t="str">
        <f>"225.83"</f>
        <v>225.83</v>
      </c>
      <c r="F656" s="15"/>
      <c r="G656" s="16" t="str">
        <f>"265.83"</f>
        <v>265.83</v>
      </c>
      <c r="H656" s="17" t="s">
        <v>48</v>
      </c>
      <c r="I656" s="18">
        <v>1</v>
      </c>
      <c r="J656" s="18">
        <v>2016</v>
      </c>
      <c r="K656" s="18" t="str">
        <f>"225.83"</f>
        <v>225.83</v>
      </c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</row>
    <row r="657" spans="1:35">
      <c r="A657" s="14">
        <v>655</v>
      </c>
      <c r="B657" s="14">
        <v>10285</v>
      </c>
      <c r="C657" s="14" t="s">
        <v>825</v>
      </c>
      <c r="D657" s="14" t="s">
        <v>98</v>
      </c>
      <c r="E657" s="15" t="str">
        <f>"265.87"</f>
        <v>265.87</v>
      </c>
      <c r="F657" s="15"/>
      <c r="G657" s="16" t="str">
        <f>"265.87"</f>
        <v>265.87</v>
      </c>
      <c r="H657" s="17"/>
      <c r="I657" s="18">
        <v>3</v>
      </c>
      <c r="J657" s="18">
        <v>2016</v>
      </c>
      <c r="K657" s="18" t="str">
        <f>"319.23"</f>
        <v>319.23</v>
      </c>
      <c r="L657" s="18"/>
      <c r="M657" s="18"/>
      <c r="N657" s="18"/>
      <c r="O657" s="18"/>
      <c r="P657" s="18"/>
      <c r="Q657" s="18"/>
      <c r="R657" s="18"/>
      <c r="S657" s="18"/>
      <c r="T657" s="18"/>
      <c r="U657" s="18" t="str">
        <f>"295.43"</f>
        <v>295.43</v>
      </c>
      <c r="V657" s="18"/>
      <c r="W657" s="18"/>
      <c r="X657" s="18"/>
      <c r="Y657" s="18"/>
      <c r="Z657" s="18" t="str">
        <f>"237.58"</f>
        <v>237.58</v>
      </c>
      <c r="AA657" s="18"/>
      <c r="AB657" s="18"/>
      <c r="AC657" s="18"/>
      <c r="AD657" s="18"/>
      <c r="AE657" s="18"/>
      <c r="AF657" s="18"/>
      <c r="AG657" s="18"/>
      <c r="AH657" s="18"/>
      <c r="AI657" s="18" t="str">
        <f>"294.16"</f>
        <v>294.16</v>
      </c>
    </row>
    <row r="658" spans="1:35">
      <c r="A658" s="14">
        <v>656</v>
      </c>
      <c r="B658" s="14">
        <v>5407</v>
      </c>
      <c r="C658" s="14" t="s">
        <v>826</v>
      </c>
      <c r="D658" s="14" t="s">
        <v>84</v>
      </c>
      <c r="E658" s="15" t="str">
        <f>"225.92"</f>
        <v>225.92</v>
      </c>
      <c r="F658" s="15"/>
      <c r="G658" s="16" t="str">
        <f>"265.92"</f>
        <v>265.92</v>
      </c>
      <c r="H658" s="17" t="s">
        <v>48</v>
      </c>
      <c r="I658" s="18">
        <v>1</v>
      </c>
      <c r="J658" s="18">
        <v>2016</v>
      </c>
      <c r="K658" s="18" t="str">
        <f>"225.92"</f>
        <v>225.92</v>
      </c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</row>
    <row r="659" spans="1:35">
      <c r="A659" s="14">
        <v>657</v>
      </c>
      <c r="B659" s="14">
        <v>10246</v>
      </c>
      <c r="C659" s="14" t="s">
        <v>827</v>
      </c>
      <c r="D659" s="14" t="s">
        <v>53</v>
      </c>
      <c r="E659" s="15" t="str">
        <f>"225.93"</f>
        <v>225.93</v>
      </c>
      <c r="F659" s="15"/>
      <c r="G659" s="16" t="str">
        <f>"265.93"</f>
        <v>265.93</v>
      </c>
      <c r="H659" s="17" t="s">
        <v>48</v>
      </c>
      <c r="I659" s="18">
        <v>1</v>
      </c>
      <c r="J659" s="18">
        <v>2016</v>
      </c>
      <c r="K659" s="18" t="str">
        <f>"225.93"</f>
        <v>225.93</v>
      </c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</row>
    <row r="660" spans="1:35">
      <c r="A660" s="14">
        <v>658</v>
      </c>
      <c r="B660" s="14">
        <v>2982</v>
      </c>
      <c r="C660" s="14" t="s">
        <v>828</v>
      </c>
      <c r="D660" s="14" t="s">
        <v>505</v>
      </c>
      <c r="E660" s="15" t="str">
        <f>"208.28"</f>
        <v>208.28</v>
      </c>
      <c r="F660" s="15"/>
      <c r="G660" s="16" t="str">
        <f>"266.45"</f>
        <v>266.45</v>
      </c>
      <c r="H660" s="17" t="s">
        <v>54</v>
      </c>
      <c r="I660" s="18">
        <v>2</v>
      </c>
      <c r="J660" s="18">
        <v>2016</v>
      </c>
      <c r="K660" s="18" t="str">
        <f>"208.28"</f>
        <v>208.28</v>
      </c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 t="str">
        <f>"226.45"</f>
        <v>226.45</v>
      </c>
      <c r="AC660" s="18"/>
      <c r="AD660" s="18"/>
      <c r="AE660" s="18"/>
      <c r="AF660" s="18"/>
      <c r="AG660" s="18"/>
      <c r="AH660" s="18"/>
      <c r="AI660" s="18"/>
    </row>
    <row r="661" spans="1:35">
      <c r="A661" s="14">
        <v>659</v>
      </c>
      <c r="B661" s="14">
        <v>10204</v>
      </c>
      <c r="C661" s="14" t="s">
        <v>829</v>
      </c>
      <c r="D661" s="14" t="s">
        <v>98</v>
      </c>
      <c r="E661" s="15" t="str">
        <f>"478.52"</f>
        <v>478.52</v>
      </c>
      <c r="F661" s="15"/>
      <c r="G661" s="16" t="str">
        <f>"266.61"</f>
        <v>266.61</v>
      </c>
      <c r="H661" s="17" t="s">
        <v>54</v>
      </c>
      <c r="I661" s="18">
        <v>2</v>
      </c>
      <c r="J661" s="18">
        <v>2016</v>
      </c>
      <c r="K661" s="18" t="str">
        <f>"730.43"</f>
        <v>730.43</v>
      </c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 t="str">
        <f>"226.61"</f>
        <v>226.61</v>
      </c>
      <c r="AA661" s="18"/>
      <c r="AB661" s="18"/>
      <c r="AC661" s="18"/>
      <c r="AD661" s="18"/>
      <c r="AE661" s="18"/>
      <c r="AF661" s="18"/>
      <c r="AG661" s="18"/>
      <c r="AH661" s="18"/>
      <c r="AI661" s="18"/>
    </row>
    <row r="662" spans="1:35">
      <c r="A662" s="14">
        <v>660</v>
      </c>
      <c r="B662" s="14">
        <v>2766</v>
      </c>
      <c r="C662" s="14" t="s">
        <v>830</v>
      </c>
      <c r="D662" s="14" t="s">
        <v>127</v>
      </c>
      <c r="E662" s="15" t="str">
        <f>"226.98"</f>
        <v>226.98</v>
      </c>
      <c r="F662" s="15"/>
      <c r="G662" s="16" t="str">
        <f>"266.98"</f>
        <v>266.98</v>
      </c>
      <c r="H662" s="17" t="s">
        <v>48</v>
      </c>
      <c r="I662" s="18">
        <v>1</v>
      </c>
      <c r="J662" s="18">
        <v>2016</v>
      </c>
      <c r="K662" s="18" t="str">
        <f>"226.98"</f>
        <v>226.98</v>
      </c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</row>
    <row r="663" spans="1:35">
      <c r="A663" s="14">
        <v>661</v>
      </c>
      <c r="B663" s="14">
        <v>3264</v>
      </c>
      <c r="C663" s="14" t="s">
        <v>831</v>
      </c>
      <c r="D663" s="14" t="s">
        <v>832</v>
      </c>
      <c r="E663" s="15" t="str">
        <f>"267.27"</f>
        <v>267.27</v>
      </c>
      <c r="F663" s="15"/>
      <c r="G663" s="16" t="str">
        <f>"267.27"</f>
        <v>267.27</v>
      </c>
      <c r="H663" s="17" t="s">
        <v>54</v>
      </c>
      <c r="I663" s="18">
        <v>4</v>
      </c>
      <c r="J663" s="18">
        <v>2016</v>
      </c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 t="str">
        <f>"227.27"</f>
        <v>227.27</v>
      </c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</row>
    <row r="664" spans="1:35">
      <c r="A664" s="14">
        <v>662</v>
      </c>
      <c r="B664" s="14">
        <v>6274</v>
      </c>
      <c r="C664" s="14" t="s">
        <v>833</v>
      </c>
      <c r="D664" s="14" t="s">
        <v>98</v>
      </c>
      <c r="E664" s="15" t="str">
        <f>"231.97"</f>
        <v>231.97</v>
      </c>
      <c r="F664" s="15"/>
      <c r="G664" s="16" t="str">
        <f>"267.53"</f>
        <v>267.53</v>
      </c>
      <c r="H664" s="17" t="s">
        <v>54</v>
      </c>
      <c r="I664" s="18">
        <v>2</v>
      </c>
      <c r="J664" s="18">
        <v>2016</v>
      </c>
      <c r="K664" s="18" t="str">
        <f>"236.40"</f>
        <v>236.40</v>
      </c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 t="str">
        <f>"227.53"</f>
        <v>227.53</v>
      </c>
      <c r="AA664" s="18"/>
      <c r="AB664" s="18"/>
      <c r="AC664" s="18"/>
      <c r="AD664" s="18"/>
      <c r="AE664" s="18"/>
      <c r="AF664" s="18"/>
      <c r="AG664" s="18"/>
      <c r="AH664" s="18"/>
      <c r="AI664" s="18"/>
    </row>
    <row r="665" spans="1:35">
      <c r="A665" s="14">
        <v>663</v>
      </c>
      <c r="B665" s="14">
        <v>10616</v>
      </c>
      <c r="C665" s="14" t="s">
        <v>834</v>
      </c>
      <c r="D665" s="14" t="s">
        <v>76</v>
      </c>
      <c r="E665" s="15" t="str">
        <f>"267.62"</f>
        <v>267.62</v>
      </c>
      <c r="F665" s="15"/>
      <c r="G665" s="16" t="str">
        <f>"267.62"</f>
        <v>267.62</v>
      </c>
      <c r="H665" s="17"/>
      <c r="I665" s="18">
        <v>3</v>
      </c>
      <c r="J665" s="18">
        <v>2016</v>
      </c>
      <c r="K665" s="18" t="str">
        <f>"398.35"</f>
        <v>398.35</v>
      </c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 t="str">
        <f>"353.03"</f>
        <v>353.03</v>
      </c>
      <c r="Y665" s="18" t="str">
        <f>"407.50"</f>
        <v>407.50</v>
      </c>
      <c r="Z665" s="18"/>
      <c r="AA665" s="18"/>
      <c r="AB665" s="18"/>
      <c r="AC665" s="18" t="str">
        <f>"272.18"</f>
        <v>272.18</v>
      </c>
      <c r="AD665" s="18" t="str">
        <f>"263.05"</f>
        <v>263.05</v>
      </c>
      <c r="AE665" s="18"/>
      <c r="AF665" s="18"/>
      <c r="AG665" s="18"/>
      <c r="AH665" s="18"/>
      <c r="AI665" s="18"/>
    </row>
    <row r="666" spans="1:35">
      <c r="A666" s="14">
        <v>664</v>
      </c>
      <c r="B666" s="14">
        <v>8413</v>
      </c>
      <c r="C666" s="14" t="s">
        <v>835</v>
      </c>
      <c r="D666" s="14" t="s">
        <v>222</v>
      </c>
      <c r="E666" s="15" t="str">
        <f>"149.75"</f>
        <v>149.75</v>
      </c>
      <c r="F666" s="15"/>
      <c r="G666" s="16" t="str">
        <f>"267.65"</f>
        <v>267.65</v>
      </c>
      <c r="H666" s="17" t="s">
        <v>54</v>
      </c>
      <c r="I666" s="18">
        <v>2</v>
      </c>
      <c r="J666" s="18">
        <v>2016</v>
      </c>
      <c r="K666" s="18" t="str">
        <f>"149.75"</f>
        <v>149.75</v>
      </c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 t="str">
        <f>"227.65"</f>
        <v>227.65</v>
      </c>
      <c r="AH666" s="18"/>
      <c r="AI666" s="18"/>
    </row>
    <row r="667" spans="1:35">
      <c r="A667" s="14">
        <v>665</v>
      </c>
      <c r="B667" s="14">
        <v>1368</v>
      </c>
      <c r="C667" s="14" t="s">
        <v>836</v>
      </c>
      <c r="D667" s="14" t="s">
        <v>442</v>
      </c>
      <c r="E667" s="15" t="str">
        <f>"188.52"</f>
        <v>188.52</v>
      </c>
      <c r="F667" s="15"/>
      <c r="G667" s="16" t="str">
        <f>"268.08"</f>
        <v>268.08</v>
      </c>
      <c r="H667" s="17" t="s">
        <v>54</v>
      </c>
      <c r="I667" s="18">
        <v>2</v>
      </c>
      <c r="J667" s="18">
        <v>2016</v>
      </c>
      <c r="K667" s="18" t="str">
        <f>"188.52"</f>
        <v>188.52</v>
      </c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 t="str">
        <f>"228.08"</f>
        <v>228.08</v>
      </c>
      <c r="AC667" s="18"/>
      <c r="AD667" s="18"/>
      <c r="AE667" s="18"/>
      <c r="AF667" s="18"/>
      <c r="AG667" s="18"/>
      <c r="AH667" s="18"/>
      <c r="AI667" s="18"/>
    </row>
    <row r="668" spans="1:35">
      <c r="A668" s="14">
        <v>666</v>
      </c>
      <c r="B668" s="14">
        <v>10328</v>
      </c>
      <c r="C668" s="14" t="s">
        <v>837</v>
      </c>
      <c r="D668" s="14" t="s">
        <v>179</v>
      </c>
      <c r="E668" s="15" t="str">
        <f>"268.19"</f>
        <v>268.19</v>
      </c>
      <c r="F668" s="15"/>
      <c r="G668" s="16" t="str">
        <f>"268.19"</f>
        <v>268.19</v>
      </c>
      <c r="H668" s="17"/>
      <c r="I668" s="18">
        <v>3</v>
      </c>
      <c r="J668" s="18">
        <v>2016</v>
      </c>
      <c r="K668" s="18" t="str">
        <f>"509.48"</f>
        <v>509.48</v>
      </c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 t="str">
        <f>"228.56"</f>
        <v>228.56</v>
      </c>
      <c r="AF668" s="18" t="str">
        <f>"307.81"</f>
        <v>307.81</v>
      </c>
      <c r="AG668" s="18"/>
      <c r="AH668" s="18"/>
      <c r="AI668" s="18"/>
    </row>
    <row r="669" spans="1:35">
      <c r="A669" s="14">
        <v>667</v>
      </c>
      <c r="B669" s="14">
        <v>10173</v>
      </c>
      <c r="C669" s="14" t="s">
        <v>838</v>
      </c>
      <c r="D669" s="14" t="s">
        <v>98</v>
      </c>
      <c r="E669" s="15" t="str">
        <f>"282.69"</f>
        <v>282.69</v>
      </c>
      <c r="F669" s="15"/>
      <c r="G669" s="16" t="str">
        <f>"269.36"</f>
        <v>269.36</v>
      </c>
      <c r="H669" s="17" t="s">
        <v>54</v>
      </c>
      <c r="I669" s="18">
        <v>2</v>
      </c>
      <c r="J669" s="18">
        <v>2016</v>
      </c>
      <c r="K669" s="18" t="str">
        <f>"336.01"</f>
        <v>336.01</v>
      </c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 t="str">
        <f>"229.36"</f>
        <v>229.36</v>
      </c>
      <c r="AA669" s="18"/>
      <c r="AB669" s="18"/>
      <c r="AC669" s="18"/>
      <c r="AD669" s="18"/>
      <c r="AE669" s="18"/>
      <c r="AF669" s="18"/>
      <c r="AG669" s="18"/>
      <c r="AH669" s="18"/>
      <c r="AI669" s="18"/>
    </row>
    <row r="670" spans="1:35">
      <c r="A670" s="14">
        <v>668</v>
      </c>
      <c r="B670" s="14">
        <v>1874</v>
      </c>
      <c r="C670" s="14" t="s">
        <v>839</v>
      </c>
      <c r="D670" s="14" t="s">
        <v>76</v>
      </c>
      <c r="E670" s="15" t="str">
        <f>"269.68"</f>
        <v>269.68</v>
      </c>
      <c r="F670" s="15"/>
      <c r="G670" s="16" t="str">
        <f>"269.68"</f>
        <v>269.68</v>
      </c>
      <c r="H670" s="17"/>
      <c r="I670" s="18">
        <v>3</v>
      </c>
      <c r="J670" s="18">
        <v>2016</v>
      </c>
      <c r="K670" s="18" t="str">
        <f>"277.55"</f>
        <v>277.55</v>
      </c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 t="str">
        <f>"345.33"</f>
        <v>345.33</v>
      </c>
      <c r="Y670" s="18" t="str">
        <f>"330.51"</f>
        <v>330.51</v>
      </c>
      <c r="Z670" s="18"/>
      <c r="AA670" s="18"/>
      <c r="AB670" s="18"/>
      <c r="AC670" s="18" t="str">
        <f>"271.85"</f>
        <v>271.85</v>
      </c>
      <c r="AD670" s="18" t="str">
        <f>"267.50"</f>
        <v>267.50</v>
      </c>
      <c r="AE670" s="18"/>
      <c r="AF670" s="18"/>
      <c r="AG670" s="18"/>
      <c r="AH670" s="18"/>
      <c r="AI670" s="18"/>
    </row>
    <row r="671" spans="1:35">
      <c r="A671" s="14">
        <v>669</v>
      </c>
      <c r="B671" s="14">
        <v>10944</v>
      </c>
      <c r="C671" s="14" t="s">
        <v>840</v>
      </c>
      <c r="D671" s="14" t="s">
        <v>317</v>
      </c>
      <c r="E671" s="15" t="str">
        <f>"269.74"</f>
        <v>269.74</v>
      </c>
      <c r="F671" s="15"/>
      <c r="G671" s="16" t="str">
        <f>"269.74"</f>
        <v>269.74</v>
      </c>
      <c r="H671" s="17" t="s">
        <v>54</v>
      </c>
      <c r="I671" s="18">
        <v>4</v>
      </c>
      <c r="J671" s="18">
        <v>2016</v>
      </c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 t="str">
        <f>"229.74"</f>
        <v>229.74</v>
      </c>
      <c r="AH671" s="18"/>
      <c r="AI671" s="18"/>
    </row>
    <row r="672" spans="1:35">
      <c r="A672" s="14">
        <v>670</v>
      </c>
      <c r="B672" s="14">
        <v>5031</v>
      </c>
      <c r="C672" s="14" t="s">
        <v>841</v>
      </c>
      <c r="D672" s="14" t="s">
        <v>125</v>
      </c>
      <c r="E672" s="15" t="str">
        <f>"107.75"</f>
        <v>107.75</v>
      </c>
      <c r="F672" s="15"/>
      <c r="G672" s="16" t="str">
        <f>"269.89"</f>
        <v>269.89</v>
      </c>
      <c r="H672" s="17" t="s">
        <v>54</v>
      </c>
      <c r="I672" s="18">
        <v>2</v>
      </c>
      <c r="J672" s="18">
        <v>2016</v>
      </c>
      <c r="K672" s="18" t="str">
        <f>"107.75"</f>
        <v>107.75</v>
      </c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 t="str">
        <f>"229.89"</f>
        <v>229.89</v>
      </c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</row>
    <row r="673" spans="1:35">
      <c r="A673" s="14">
        <v>671</v>
      </c>
      <c r="B673" s="14">
        <v>3552</v>
      </c>
      <c r="C673" s="14" t="s">
        <v>842</v>
      </c>
      <c r="D673" s="14" t="s">
        <v>410</v>
      </c>
      <c r="E673" s="15" t="str">
        <f>"229.92"</f>
        <v>229.92</v>
      </c>
      <c r="F673" s="15"/>
      <c r="G673" s="16" t="str">
        <f>"269.92"</f>
        <v>269.92</v>
      </c>
      <c r="H673" s="17" t="s">
        <v>48</v>
      </c>
      <c r="I673" s="18">
        <v>1</v>
      </c>
      <c r="J673" s="18">
        <v>2016</v>
      </c>
      <c r="K673" s="18" t="str">
        <f>"229.92"</f>
        <v>229.92</v>
      </c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</row>
    <row r="674" spans="1:35">
      <c r="A674" s="14">
        <v>672</v>
      </c>
      <c r="B674" s="14">
        <v>3377</v>
      </c>
      <c r="C674" s="14" t="s">
        <v>843</v>
      </c>
      <c r="D674" s="14" t="s">
        <v>580</v>
      </c>
      <c r="E674" s="15" t="str">
        <f>"168.18"</f>
        <v>168.18</v>
      </c>
      <c r="F674" s="15"/>
      <c r="G674" s="16" t="str">
        <f>"270.17"</f>
        <v>270.17</v>
      </c>
      <c r="H674" s="17"/>
      <c r="I674" s="18">
        <v>3</v>
      </c>
      <c r="J674" s="18">
        <v>2016</v>
      </c>
      <c r="K674" s="18" t="str">
        <f>"168.18"</f>
        <v>168.18</v>
      </c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 t="str">
        <f>"246.89"</f>
        <v>246.89</v>
      </c>
      <c r="AH674" s="18" t="str">
        <f>"293.45"</f>
        <v>293.45</v>
      </c>
      <c r="AI674" s="18"/>
    </row>
    <row r="675" spans="1:35">
      <c r="A675" s="14">
        <v>673</v>
      </c>
      <c r="B675" s="14">
        <v>10002</v>
      </c>
      <c r="C675" s="14" t="s">
        <v>844</v>
      </c>
      <c r="D675" s="14" t="s">
        <v>76</v>
      </c>
      <c r="E675" s="15" t="str">
        <f>"270.24"</f>
        <v>270.24</v>
      </c>
      <c r="F675" s="15"/>
      <c r="G675" s="16" t="str">
        <f>"270.24"</f>
        <v>270.24</v>
      </c>
      <c r="H675" s="17"/>
      <c r="I675" s="18">
        <v>3</v>
      </c>
      <c r="J675" s="18">
        <v>2016</v>
      </c>
      <c r="K675" s="18" t="str">
        <f>"284.03"</f>
        <v>284.03</v>
      </c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 t="str">
        <f>"287.50"</f>
        <v>287.50</v>
      </c>
      <c r="Y675" s="18" t="str">
        <f>"298.75"</f>
        <v>298.75</v>
      </c>
      <c r="Z675" s="18"/>
      <c r="AA675" s="18"/>
      <c r="AB675" s="18"/>
      <c r="AC675" s="18" t="str">
        <f>"266.89"</f>
        <v>266.89</v>
      </c>
      <c r="AD675" s="18" t="str">
        <f>"273.58"</f>
        <v>273.58</v>
      </c>
      <c r="AE675" s="18"/>
      <c r="AF675" s="18"/>
      <c r="AG675" s="18"/>
      <c r="AH675" s="18"/>
      <c r="AI675" s="18"/>
    </row>
    <row r="676" spans="1:35">
      <c r="A676" s="14">
        <v>674</v>
      </c>
      <c r="B676" s="14">
        <v>8485</v>
      </c>
      <c r="C676" s="14" t="s">
        <v>845</v>
      </c>
      <c r="D676" s="14" t="s">
        <v>76</v>
      </c>
      <c r="E676" s="15" t="str">
        <f>"231.33"</f>
        <v>231.33</v>
      </c>
      <c r="F676" s="15"/>
      <c r="G676" s="16" t="str">
        <f>"271.33"</f>
        <v>271.33</v>
      </c>
      <c r="H676" s="17" t="s">
        <v>48</v>
      </c>
      <c r="I676" s="18">
        <v>1</v>
      </c>
      <c r="J676" s="18">
        <v>2016</v>
      </c>
      <c r="K676" s="18" t="str">
        <f>"231.33"</f>
        <v>231.33</v>
      </c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</row>
    <row r="677" spans="1:35">
      <c r="A677" s="14">
        <v>675</v>
      </c>
      <c r="B677" s="14">
        <v>1365</v>
      </c>
      <c r="C677" s="14" t="s">
        <v>846</v>
      </c>
      <c r="D677" s="14" t="s">
        <v>651</v>
      </c>
      <c r="E677" s="15" t="str">
        <f>"232.27"</f>
        <v>232.27</v>
      </c>
      <c r="F677" s="15"/>
      <c r="G677" s="16" t="str">
        <f>"272.27"</f>
        <v>272.27</v>
      </c>
      <c r="H677" s="17" t="s">
        <v>48</v>
      </c>
      <c r="I677" s="18">
        <v>1</v>
      </c>
      <c r="J677" s="18">
        <v>2016</v>
      </c>
      <c r="K677" s="18" t="str">
        <f>"232.27"</f>
        <v>232.27</v>
      </c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</row>
    <row r="678" spans="1:35">
      <c r="A678" s="14">
        <v>676</v>
      </c>
      <c r="B678" s="14">
        <v>1815</v>
      </c>
      <c r="C678" s="14" t="s">
        <v>847</v>
      </c>
      <c r="D678" s="14" t="s">
        <v>251</v>
      </c>
      <c r="E678" s="15" t="str">
        <f>"232.35"</f>
        <v>232.35</v>
      </c>
      <c r="F678" s="15"/>
      <c r="G678" s="16" t="str">
        <f>"272.35"</f>
        <v>272.35</v>
      </c>
      <c r="H678" s="17" t="s">
        <v>48</v>
      </c>
      <c r="I678" s="18">
        <v>1</v>
      </c>
      <c r="J678" s="18">
        <v>2016</v>
      </c>
      <c r="K678" s="18" t="str">
        <f>"232.35"</f>
        <v>232.35</v>
      </c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</row>
    <row r="679" spans="1:35">
      <c r="A679" s="14">
        <v>677</v>
      </c>
      <c r="B679" s="14">
        <v>1709</v>
      </c>
      <c r="C679" s="14" t="s">
        <v>848</v>
      </c>
      <c r="D679" s="14" t="s">
        <v>76</v>
      </c>
      <c r="E679" s="15" t="str">
        <f>"232.83"</f>
        <v>232.83</v>
      </c>
      <c r="F679" s="15"/>
      <c r="G679" s="16" t="str">
        <f>"272.83"</f>
        <v>272.83</v>
      </c>
      <c r="H679" s="17" t="s">
        <v>48</v>
      </c>
      <c r="I679" s="18">
        <v>1</v>
      </c>
      <c r="J679" s="18">
        <v>2016</v>
      </c>
      <c r="K679" s="18" t="str">
        <f>"232.83"</f>
        <v>232.83</v>
      </c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</row>
    <row r="680" spans="1:35">
      <c r="A680" s="14">
        <v>678</v>
      </c>
      <c r="B680" s="14">
        <v>3134</v>
      </c>
      <c r="C680" s="14" t="s">
        <v>849</v>
      </c>
      <c r="D680" s="14" t="s">
        <v>373</v>
      </c>
      <c r="E680" s="15" t="str">
        <f>"233.16"</f>
        <v>233.16</v>
      </c>
      <c r="F680" s="15"/>
      <c r="G680" s="16" t="str">
        <f>"273.16"</f>
        <v>273.16</v>
      </c>
      <c r="H680" s="17" t="s">
        <v>48</v>
      </c>
      <c r="I680" s="18">
        <v>1</v>
      </c>
      <c r="J680" s="18">
        <v>2016</v>
      </c>
      <c r="K680" s="18" t="str">
        <f>"233.16"</f>
        <v>233.16</v>
      </c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</row>
    <row r="681" spans="1:35">
      <c r="A681" s="14">
        <v>679</v>
      </c>
      <c r="B681" s="14">
        <v>10969</v>
      </c>
      <c r="C681" s="14" t="s">
        <v>850</v>
      </c>
      <c r="D681" s="14" t="s">
        <v>39</v>
      </c>
      <c r="E681" s="15" t="str">
        <f>"273.38"</f>
        <v>273.38</v>
      </c>
      <c r="F681" s="15"/>
      <c r="G681" s="16" t="str">
        <f>"273.38"</f>
        <v>273.38</v>
      </c>
      <c r="H681" s="17"/>
      <c r="I681" s="18">
        <v>5</v>
      </c>
      <c r="J681" s="18">
        <v>2016</v>
      </c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 t="str">
        <f>"225.96"</f>
        <v>225.96</v>
      </c>
      <c r="W681" s="18"/>
      <c r="X681" s="18"/>
      <c r="Y681" s="18"/>
      <c r="Z681" s="18"/>
      <c r="AA681" s="18" t="str">
        <f>"320.80"</f>
        <v>320.80</v>
      </c>
      <c r="AB681" s="18"/>
      <c r="AC681" s="18"/>
      <c r="AD681" s="18"/>
      <c r="AE681" s="18"/>
      <c r="AF681" s="18"/>
      <c r="AG681" s="18"/>
      <c r="AH681" s="18"/>
      <c r="AI681" s="18"/>
    </row>
    <row r="682" spans="1:35">
      <c r="A682" s="14">
        <v>680</v>
      </c>
      <c r="B682" s="14">
        <v>5770</v>
      </c>
      <c r="C682" s="14" t="s">
        <v>851</v>
      </c>
      <c r="D682" s="14" t="s">
        <v>125</v>
      </c>
      <c r="E682" s="15" t="str">
        <f>"228.15"</f>
        <v>228.15</v>
      </c>
      <c r="F682" s="15"/>
      <c r="G682" s="16" t="str">
        <f>"273.90"</f>
        <v>273.90</v>
      </c>
      <c r="H682" s="17"/>
      <c r="I682" s="18">
        <v>3</v>
      </c>
      <c r="J682" s="18">
        <v>2016</v>
      </c>
      <c r="K682" s="18" t="str">
        <f>"228.15"</f>
        <v>228.15</v>
      </c>
      <c r="L682" s="18"/>
      <c r="M682" s="18" t="str">
        <f>"285.61"</f>
        <v>285.61</v>
      </c>
      <c r="N682" s="18"/>
      <c r="O682" s="18" t="str">
        <f>"262.18"</f>
        <v>262.18</v>
      </c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 t="str">
        <f>"312.88"</f>
        <v>312.88</v>
      </c>
      <c r="AB682" s="18"/>
      <c r="AC682" s="18"/>
      <c r="AD682" s="18"/>
      <c r="AE682" s="18"/>
      <c r="AF682" s="18"/>
      <c r="AG682" s="18"/>
      <c r="AH682" s="18"/>
      <c r="AI682" s="18"/>
    </row>
    <row r="683" spans="1:35">
      <c r="A683" s="14">
        <v>681</v>
      </c>
      <c r="B683" s="14">
        <v>10624</v>
      </c>
      <c r="C683" s="14" t="s">
        <v>852</v>
      </c>
      <c r="D683" s="14" t="s">
        <v>76</v>
      </c>
      <c r="E683" s="15" t="str">
        <f>"234.01"</f>
        <v>234.01</v>
      </c>
      <c r="F683" s="15"/>
      <c r="G683" s="16" t="str">
        <f>"274.01"</f>
        <v>274.01</v>
      </c>
      <c r="H683" s="17" t="s">
        <v>48</v>
      </c>
      <c r="I683" s="18">
        <v>1</v>
      </c>
      <c r="J683" s="18">
        <v>2016</v>
      </c>
      <c r="K683" s="18" t="str">
        <f>"234.01"</f>
        <v>234.01</v>
      </c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</row>
    <row r="684" spans="1:35">
      <c r="A684" s="14">
        <v>682</v>
      </c>
      <c r="B684" s="14">
        <v>6142</v>
      </c>
      <c r="C684" s="14" t="s">
        <v>853</v>
      </c>
      <c r="D684" s="14" t="s">
        <v>854</v>
      </c>
      <c r="E684" s="15" t="str">
        <f>"274.14"</f>
        <v>274.14</v>
      </c>
      <c r="F684" s="15"/>
      <c r="G684" s="16" t="str">
        <f>"274.14"</f>
        <v>274.14</v>
      </c>
      <c r="H684" s="17"/>
      <c r="I684" s="18">
        <v>3</v>
      </c>
      <c r="J684" s="18">
        <v>2016</v>
      </c>
      <c r="K684" s="18" t="str">
        <f>"405.68"</f>
        <v>405.68</v>
      </c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 t="str">
        <f>"244.70"</f>
        <v>244.70</v>
      </c>
      <c r="X684" s="18"/>
      <c r="Y684" s="18"/>
      <c r="Z684" s="18"/>
      <c r="AA684" s="18"/>
      <c r="AB684" s="18" t="str">
        <f>"303.57"</f>
        <v>303.57</v>
      </c>
      <c r="AC684" s="18"/>
      <c r="AD684" s="18"/>
      <c r="AE684" s="18"/>
      <c r="AF684" s="18"/>
      <c r="AG684" s="18"/>
      <c r="AH684" s="18"/>
      <c r="AI684" s="18"/>
    </row>
    <row r="685" spans="1:35">
      <c r="A685" s="14">
        <v>683</v>
      </c>
      <c r="B685" s="14">
        <v>10869</v>
      </c>
      <c r="C685" s="14" t="s">
        <v>855</v>
      </c>
      <c r="D685" s="14" t="s">
        <v>76</v>
      </c>
      <c r="E685" s="15" t="str">
        <f>"274.15"</f>
        <v>274.15</v>
      </c>
      <c r="F685" s="15"/>
      <c r="G685" s="16" t="str">
        <f>"274.15"</f>
        <v>274.15</v>
      </c>
      <c r="H685" s="17"/>
      <c r="I685" s="18">
        <v>5</v>
      </c>
      <c r="J685" s="18">
        <v>2016</v>
      </c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 t="str">
        <f>"428.02"</f>
        <v>428.02</v>
      </c>
      <c r="Y685" s="18"/>
      <c r="Z685" s="18"/>
      <c r="AA685" s="18"/>
      <c r="AB685" s="18"/>
      <c r="AC685" s="18" t="str">
        <f>"281.01"</f>
        <v>281.01</v>
      </c>
      <c r="AD685" s="18" t="str">
        <f>"267.28"</f>
        <v>267.28</v>
      </c>
      <c r="AE685" s="18"/>
      <c r="AF685" s="18"/>
      <c r="AG685" s="18"/>
      <c r="AH685" s="18" t="str">
        <f>"377.61"</f>
        <v>377.61</v>
      </c>
      <c r="AI685" s="18"/>
    </row>
    <row r="686" spans="1:35">
      <c r="A686" s="14">
        <v>684</v>
      </c>
      <c r="B686" s="14">
        <v>2211</v>
      </c>
      <c r="C686" s="14" t="s">
        <v>856</v>
      </c>
      <c r="D686" s="14" t="s">
        <v>76</v>
      </c>
      <c r="E686" s="15" t="str">
        <f>"231.79"</f>
        <v>231.79</v>
      </c>
      <c r="F686" s="15"/>
      <c r="G686" s="16" t="str">
        <f>"275.22"</f>
        <v>275.22</v>
      </c>
      <c r="H686" s="17"/>
      <c r="I686" s="18">
        <v>3</v>
      </c>
      <c r="J686" s="18">
        <v>2016</v>
      </c>
      <c r="K686" s="18" t="str">
        <f>"231.79"</f>
        <v>231.79</v>
      </c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 t="str">
        <f>"251.28"</f>
        <v>251.28</v>
      </c>
      <c r="Y686" s="18" t="str">
        <f>"299.15"</f>
        <v>299.15</v>
      </c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</row>
    <row r="687" spans="1:35">
      <c r="A687" s="14">
        <v>685</v>
      </c>
      <c r="B687" s="14">
        <v>1433</v>
      </c>
      <c r="C687" s="14" t="s">
        <v>857</v>
      </c>
      <c r="D687" s="14" t="s">
        <v>858</v>
      </c>
      <c r="E687" s="15" t="str">
        <f>"235.70"</f>
        <v>235.70</v>
      </c>
      <c r="F687" s="15"/>
      <c r="G687" s="16" t="str">
        <f>"275.70"</f>
        <v>275.70</v>
      </c>
      <c r="H687" s="17" t="s">
        <v>48</v>
      </c>
      <c r="I687" s="18">
        <v>1</v>
      </c>
      <c r="J687" s="18">
        <v>2016</v>
      </c>
      <c r="K687" s="18" t="str">
        <f>"235.70"</f>
        <v>235.70</v>
      </c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</row>
    <row r="688" spans="1:35">
      <c r="A688" s="14">
        <v>686</v>
      </c>
      <c r="B688" s="14">
        <v>6122</v>
      </c>
      <c r="C688" s="14" t="s">
        <v>859</v>
      </c>
      <c r="D688" s="14" t="s">
        <v>330</v>
      </c>
      <c r="E688" s="15" t="str">
        <f>"275.88"</f>
        <v>275.88</v>
      </c>
      <c r="F688" s="15"/>
      <c r="G688" s="16" t="str">
        <f>"275.88"</f>
        <v>275.88</v>
      </c>
      <c r="H688" s="17"/>
      <c r="I688" s="18">
        <v>3</v>
      </c>
      <c r="J688" s="18">
        <v>2016</v>
      </c>
      <c r="K688" s="18" t="str">
        <f>"315.03"</f>
        <v>315.03</v>
      </c>
      <c r="L688" s="18"/>
      <c r="M688" s="18"/>
      <c r="N688" s="18"/>
      <c r="O688" s="18"/>
      <c r="P688" s="18"/>
      <c r="Q688" s="18"/>
      <c r="R688" s="18"/>
      <c r="S688" s="18" t="str">
        <f>"285.08"</f>
        <v>285.08</v>
      </c>
      <c r="T688" s="18" t="str">
        <f>"266.68"</f>
        <v>266.68</v>
      </c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</row>
    <row r="689" spans="1:35">
      <c r="A689" s="14">
        <v>687</v>
      </c>
      <c r="B689" s="14">
        <v>842</v>
      </c>
      <c r="C689" s="14" t="s">
        <v>860</v>
      </c>
      <c r="D689" s="14" t="s">
        <v>317</v>
      </c>
      <c r="E689" s="15" t="str">
        <f>"267.42"</f>
        <v>267.42</v>
      </c>
      <c r="F689" s="15"/>
      <c r="G689" s="16" t="str">
        <f>"275.92"</f>
        <v>275.92</v>
      </c>
      <c r="H689" s="17" t="s">
        <v>54</v>
      </c>
      <c r="I689" s="18">
        <v>2</v>
      </c>
      <c r="J689" s="18">
        <v>2016</v>
      </c>
      <c r="K689" s="18" t="str">
        <f>"298.92"</f>
        <v>298.92</v>
      </c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 t="str">
        <f>"235.92"</f>
        <v>235.92</v>
      </c>
      <c r="AI689" s="18"/>
    </row>
    <row r="690" spans="1:35">
      <c r="A690" s="14">
        <v>688</v>
      </c>
      <c r="B690" s="14">
        <v>5728</v>
      </c>
      <c r="C690" s="14" t="s">
        <v>861</v>
      </c>
      <c r="D690" s="14" t="s">
        <v>148</v>
      </c>
      <c r="E690" s="15" t="str">
        <f>"261.87"</f>
        <v>261.87</v>
      </c>
      <c r="F690" s="15"/>
      <c r="G690" s="16" t="str">
        <f>"275.95"</f>
        <v>275.95</v>
      </c>
      <c r="H690" s="17"/>
      <c r="I690" s="18">
        <v>3</v>
      </c>
      <c r="J690" s="18">
        <v>2016</v>
      </c>
      <c r="K690" s="18" t="str">
        <f>"261.87"</f>
        <v>261.87</v>
      </c>
      <c r="L690" s="18"/>
      <c r="M690" s="18"/>
      <c r="N690" s="18"/>
      <c r="O690" s="18"/>
      <c r="P690" s="18"/>
      <c r="Q690" s="18"/>
      <c r="R690" s="18"/>
      <c r="S690" s="18" t="str">
        <f>"262.73"</f>
        <v>262.73</v>
      </c>
      <c r="T690" s="18" t="str">
        <f>"289.16"</f>
        <v>289.16</v>
      </c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</row>
    <row r="691" spans="1:35">
      <c r="A691" s="14">
        <v>689</v>
      </c>
      <c r="B691" s="14">
        <v>8482</v>
      </c>
      <c r="C691" s="14" t="s">
        <v>862</v>
      </c>
      <c r="D691" s="14" t="s">
        <v>76</v>
      </c>
      <c r="E691" s="15" t="str">
        <f>"276.08"</f>
        <v>276.08</v>
      </c>
      <c r="F691" s="15"/>
      <c r="G691" s="16" t="str">
        <f>"276.08"</f>
        <v>276.08</v>
      </c>
      <c r="H691" s="17"/>
      <c r="I691" s="18">
        <v>3</v>
      </c>
      <c r="J691" s="18">
        <v>2016</v>
      </c>
      <c r="K691" s="18" t="str">
        <f>"325.49"</f>
        <v>325.49</v>
      </c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 t="str">
        <f>"347.22"</f>
        <v>347.22</v>
      </c>
      <c r="Y691" s="18" t="str">
        <f>"360.26"</f>
        <v>360.26</v>
      </c>
      <c r="Z691" s="18"/>
      <c r="AA691" s="18"/>
      <c r="AB691" s="18"/>
      <c r="AC691" s="18" t="str">
        <f>"271.85"</f>
        <v>271.85</v>
      </c>
      <c r="AD691" s="18" t="str">
        <f>"280.31"</f>
        <v>280.31</v>
      </c>
      <c r="AE691" s="18"/>
      <c r="AF691" s="18"/>
      <c r="AG691" s="18"/>
      <c r="AH691" s="18"/>
      <c r="AI691" s="18"/>
    </row>
    <row r="692" spans="1:35">
      <c r="A692" s="14">
        <v>690</v>
      </c>
      <c r="B692" s="14">
        <v>6656</v>
      </c>
      <c r="C692" s="14" t="s">
        <v>863</v>
      </c>
      <c r="D692" s="14" t="s">
        <v>864</v>
      </c>
      <c r="E692" s="15" t="str">
        <f>"236.32"</f>
        <v>236.32</v>
      </c>
      <c r="F692" s="15"/>
      <c r="G692" s="16" t="str">
        <f>"276.32"</f>
        <v>276.32</v>
      </c>
      <c r="H692" s="17" t="s">
        <v>48</v>
      </c>
      <c r="I692" s="18">
        <v>1</v>
      </c>
      <c r="J692" s="18">
        <v>2016</v>
      </c>
      <c r="K692" s="18" t="str">
        <f>"236.32"</f>
        <v>236.32</v>
      </c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</row>
    <row r="693" spans="1:35">
      <c r="A693" s="14">
        <v>691</v>
      </c>
      <c r="B693" s="14">
        <v>2172</v>
      </c>
      <c r="C693" s="14" t="s">
        <v>865</v>
      </c>
      <c r="D693" s="14" t="s">
        <v>76</v>
      </c>
      <c r="E693" s="15" t="str">
        <f>"276.34"</f>
        <v>276.34</v>
      </c>
      <c r="F693" s="15"/>
      <c r="G693" s="16" t="str">
        <f>"276.34"</f>
        <v>276.34</v>
      </c>
      <c r="H693" s="17"/>
      <c r="I693" s="18">
        <v>3</v>
      </c>
      <c r="J693" s="18">
        <v>2016</v>
      </c>
      <c r="K693" s="18" t="str">
        <f>"287.03"</f>
        <v>287.03</v>
      </c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 t="str">
        <f>"335.73"</f>
        <v>335.73</v>
      </c>
      <c r="Y693" s="18" t="str">
        <f>"354.63"</f>
        <v>354.63</v>
      </c>
      <c r="Z693" s="18"/>
      <c r="AA693" s="18"/>
      <c r="AB693" s="18"/>
      <c r="AC693" s="18" t="str">
        <f>"276.93"</f>
        <v>276.93</v>
      </c>
      <c r="AD693" s="18" t="str">
        <f>"275.75"</f>
        <v>275.75</v>
      </c>
      <c r="AE693" s="18"/>
      <c r="AF693" s="18"/>
      <c r="AG693" s="18"/>
      <c r="AH693" s="18" t="str">
        <f>"306.58"</f>
        <v>306.58</v>
      </c>
      <c r="AI693" s="18"/>
    </row>
    <row r="694" spans="1:35">
      <c r="A694" s="14">
        <v>692</v>
      </c>
      <c r="B694" s="14">
        <v>6370</v>
      </c>
      <c r="C694" s="14" t="s">
        <v>866</v>
      </c>
      <c r="D694" s="14" t="s">
        <v>867</v>
      </c>
      <c r="E694" s="15" t="str">
        <f>"236.45"</f>
        <v>236.45</v>
      </c>
      <c r="F694" s="15"/>
      <c r="G694" s="16" t="str">
        <f>"276.45"</f>
        <v>276.45</v>
      </c>
      <c r="H694" s="17" t="s">
        <v>48</v>
      </c>
      <c r="I694" s="18">
        <v>1</v>
      </c>
      <c r="J694" s="18">
        <v>2016</v>
      </c>
      <c r="K694" s="18" t="str">
        <f>"236.45"</f>
        <v>236.45</v>
      </c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</row>
    <row r="695" spans="1:35">
      <c r="A695" s="14">
        <v>693</v>
      </c>
      <c r="B695" s="14">
        <v>5379</v>
      </c>
      <c r="C695" s="14" t="s">
        <v>868</v>
      </c>
      <c r="D695" s="14" t="s">
        <v>330</v>
      </c>
      <c r="E695" s="15" t="str">
        <f>"276.49"</f>
        <v>276.49</v>
      </c>
      <c r="F695" s="15"/>
      <c r="G695" s="16" t="str">
        <f>"276.49"</f>
        <v>276.49</v>
      </c>
      <c r="H695" s="17"/>
      <c r="I695" s="18">
        <v>3</v>
      </c>
      <c r="J695" s="18">
        <v>2016</v>
      </c>
      <c r="K695" s="18" t="str">
        <f>"299.91"</f>
        <v>299.91</v>
      </c>
      <c r="L695" s="18"/>
      <c r="M695" s="18"/>
      <c r="N695" s="18"/>
      <c r="O695" s="18"/>
      <c r="P695" s="18" t="str">
        <f>"287.82"</f>
        <v>287.82</v>
      </c>
      <c r="Q695" s="18"/>
      <c r="R695" s="18" t="str">
        <f>"265.16"</f>
        <v>265.16</v>
      </c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</row>
    <row r="696" spans="1:35">
      <c r="A696" s="14">
        <v>694</v>
      </c>
      <c r="B696" s="14">
        <v>2221</v>
      </c>
      <c r="C696" s="14" t="s">
        <v>869</v>
      </c>
      <c r="D696" s="14" t="s">
        <v>76</v>
      </c>
      <c r="E696" s="15" t="str">
        <f>"249.04"</f>
        <v>249.04</v>
      </c>
      <c r="F696" s="15"/>
      <c r="G696" s="16" t="str">
        <f>"278.20"</f>
        <v>278.20</v>
      </c>
      <c r="H696" s="17"/>
      <c r="I696" s="18">
        <v>3</v>
      </c>
      <c r="J696" s="18">
        <v>2016</v>
      </c>
      <c r="K696" s="18" t="str">
        <f>"249.04"</f>
        <v>249.04</v>
      </c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 t="str">
        <f>"318.98"</f>
        <v>318.98</v>
      </c>
      <c r="Y696" s="18" t="str">
        <f>"270.71"</f>
        <v>270.71</v>
      </c>
      <c r="Z696" s="18"/>
      <c r="AA696" s="18"/>
      <c r="AB696" s="18"/>
      <c r="AC696" s="18"/>
      <c r="AD696" s="18"/>
      <c r="AE696" s="18"/>
      <c r="AF696" s="18"/>
      <c r="AG696" s="18"/>
      <c r="AH696" s="18" t="str">
        <f>"285.68"</f>
        <v>285.68</v>
      </c>
      <c r="AI696" s="18"/>
    </row>
    <row r="697" spans="1:35">
      <c r="A697" s="14">
        <v>695</v>
      </c>
      <c r="B697" s="14">
        <v>1236</v>
      </c>
      <c r="C697" s="14" t="s">
        <v>870</v>
      </c>
      <c r="D697" s="14" t="s">
        <v>127</v>
      </c>
      <c r="E697" s="15" t="str">
        <f>"185.97"</f>
        <v>185.97</v>
      </c>
      <c r="F697" s="15"/>
      <c r="G697" s="16" t="str">
        <f>"279.05"</f>
        <v>279.05</v>
      </c>
      <c r="H697" s="17" t="s">
        <v>54</v>
      </c>
      <c r="I697" s="18">
        <v>2</v>
      </c>
      <c r="J697" s="18">
        <v>2016</v>
      </c>
      <c r="K697" s="18" t="str">
        <f>"185.97"</f>
        <v>185.97</v>
      </c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 t="str">
        <f>"239.05"</f>
        <v>239.05</v>
      </c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</row>
    <row r="698" spans="1:35">
      <c r="A698" s="14">
        <v>696</v>
      </c>
      <c r="B698" s="14">
        <v>10385</v>
      </c>
      <c r="C698" s="14" t="s">
        <v>871</v>
      </c>
      <c r="D698" s="14" t="s">
        <v>98</v>
      </c>
      <c r="E698" s="15" t="str">
        <f>"279.51"</f>
        <v>279.51</v>
      </c>
      <c r="F698" s="15"/>
      <c r="G698" s="16" t="str">
        <f>"279.51"</f>
        <v>279.51</v>
      </c>
      <c r="H698" s="17"/>
      <c r="I698" s="18">
        <v>3</v>
      </c>
      <c r="J698" s="18">
        <v>2016</v>
      </c>
      <c r="K698" s="18" t="str">
        <f>"360.88"</f>
        <v>360.88</v>
      </c>
      <c r="L698" s="18"/>
      <c r="M698" s="18"/>
      <c r="N698" s="18"/>
      <c r="O698" s="18"/>
      <c r="P698" s="18"/>
      <c r="Q698" s="18" t="str">
        <f>"264.29"</f>
        <v>264.29</v>
      </c>
      <c r="R698" s="18"/>
      <c r="S698" s="18"/>
      <c r="T698" s="18"/>
      <c r="U698" s="18"/>
      <c r="V698" s="18"/>
      <c r="W698" s="18"/>
      <c r="X698" s="18"/>
      <c r="Y698" s="18"/>
      <c r="Z698" s="18" t="str">
        <f>"294.72"</f>
        <v>294.72</v>
      </c>
      <c r="AA698" s="18"/>
      <c r="AB698" s="18"/>
      <c r="AC698" s="18"/>
      <c r="AD698" s="18"/>
      <c r="AE698" s="18"/>
      <c r="AF698" s="18"/>
      <c r="AG698" s="18" t="str">
        <f>"450.59"</f>
        <v>450.59</v>
      </c>
      <c r="AH698" s="18"/>
      <c r="AI698" s="18"/>
    </row>
    <row r="699" spans="1:35">
      <c r="A699" s="14">
        <v>697</v>
      </c>
      <c r="B699" s="14">
        <v>2624</v>
      </c>
      <c r="C699" s="14" t="s">
        <v>872</v>
      </c>
      <c r="D699" s="14" t="s">
        <v>424</v>
      </c>
      <c r="E699" s="15" t="str">
        <f>"239.71"</f>
        <v>239.71</v>
      </c>
      <c r="F699" s="15"/>
      <c r="G699" s="16" t="str">
        <f>"279.71"</f>
        <v>279.71</v>
      </c>
      <c r="H699" s="17" t="s">
        <v>48</v>
      </c>
      <c r="I699" s="18">
        <v>1</v>
      </c>
      <c r="J699" s="18">
        <v>2016</v>
      </c>
      <c r="K699" s="18" t="str">
        <f>"239.71"</f>
        <v>239.71</v>
      </c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</row>
    <row r="700" spans="1:35">
      <c r="A700" s="14">
        <v>698</v>
      </c>
      <c r="B700" s="14">
        <v>2258</v>
      </c>
      <c r="C700" s="14" t="s">
        <v>873</v>
      </c>
      <c r="D700" s="14" t="s">
        <v>93</v>
      </c>
      <c r="E700" s="15" t="str">
        <f>"239.73"</f>
        <v>239.73</v>
      </c>
      <c r="F700" s="15"/>
      <c r="G700" s="16" t="str">
        <f>"279.73"</f>
        <v>279.73</v>
      </c>
      <c r="H700" s="17" t="s">
        <v>48</v>
      </c>
      <c r="I700" s="18">
        <v>1</v>
      </c>
      <c r="J700" s="18">
        <v>2016</v>
      </c>
      <c r="K700" s="18" t="str">
        <f>"239.73"</f>
        <v>239.73</v>
      </c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</row>
    <row r="701" spans="1:35">
      <c r="A701" s="14">
        <v>699</v>
      </c>
      <c r="B701" s="14">
        <v>8446</v>
      </c>
      <c r="C701" s="14" t="s">
        <v>874</v>
      </c>
      <c r="D701" s="14" t="s">
        <v>76</v>
      </c>
      <c r="E701" s="15" t="str">
        <f>"238.30"</f>
        <v>238.30</v>
      </c>
      <c r="F701" s="15"/>
      <c r="G701" s="16" t="str">
        <f>"280.02"</f>
        <v>280.02</v>
      </c>
      <c r="H701" s="17"/>
      <c r="I701" s="18">
        <v>3</v>
      </c>
      <c r="J701" s="18">
        <v>2016</v>
      </c>
      <c r="K701" s="18" t="str">
        <f>"238.30"</f>
        <v>238.30</v>
      </c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 t="str">
        <f>"262.09"</f>
        <v>262.09</v>
      </c>
      <c r="Y701" s="18" t="str">
        <f>"297.94"</f>
        <v>297.94</v>
      </c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</row>
    <row r="702" spans="1:35">
      <c r="A702" s="14">
        <v>700</v>
      </c>
      <c r="B702" s="14">
        <v>2278</v>
      </c>
      <c r="C702" s="14" t="s">
        <v>875</v>
      </c>
      <c r="D702" s="14" t="s">
        <v>76</v>
      </c>
      <c r="E702" s="15" t="str">
        <f>"280.95"</f>
        <v>280.95</v>
      </c>
      <c r="F702" s="15"/>
      <c r="G702" s="16" t="str">
        <f>"280.95"</f>
        <v>280.95</v>
      </c>
      <c r="H702" s="17"/>
      <c r="I702" s="18">
        <v>3</v>
      </c>
      <c r="J702" s="18">
        <v>2016</v>
      </c>
      <c r="K702" s="18" t="str">
        <f>"369.40"</f>
        <v>369.40</v>
      </c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 t="str">
        <f>"333.17"</f>
        <v>333.17</v>
      </c>
      <c r="Y702" s="18" t="str">
        <f>"373.53"</f>
        <v>373.53</v>
      </c>
      <c r="Z702" s="18"/>
      <c r="AA702" s="18"/>
      <c r="AB702" s="18"/>
      <c r="AC702" s="18" t="str">
        <f>"276.93"</f>
        <v>276.93</v>
      </c>
      <c r="AD702" s="18" t="str">
        <f>"284.97"</f>
        <v>284.97</v>
      </c>
      <c r="AE702" s="18"/>
      <c r="AF702" s="18"/>
      <c r="AG702" s="18"/>
      <c r="AH702" s="18"/>
      <c r="AI702" s="18"/>
    </row>
    <row r="703" spans="1:35">
      <c r="A703" s="14">
        <v>701</v>
      </c>
      <c r="B703" s="14">
        <v>1821</v>
      </c>
      <c r="C703" s="14" t="s">
        <v>876</v>
      </c>
      <c r="D703" s="14" t="s">
        <v>93</v>
      </c>
      <c r="E703" s="15" t="str">
        <f>"280.99"</f>
        <v>280.99</v>
      </c>
      <c r="F703" s="15"/>
      <c r="G703" s="16" t="str">
        <f>"280.99"</f>
        <v>280.99</v>
      </c>
      <c r="H703" s="17"/>
      <c r="I703" s="18">
        <v>3</v>
      </c>
      <c r="J703" s="18">
        <v>2016</v>
      </c>
      <c r="K703" s="18" t="str">
        <f>"409.28"</f>
        <v>409.28</v>
      </c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 t="str">
        <f>"287.71"</f>
        <v>287.71</v>
      </c>
      <c r="AC703" s="18"/>
      <c r="AD703" s="18"/>
      <c r="AE703" s="18" t="str">
        <f>"274.26"</f>
        <v>274.26</v>
      </c>
      <c r="AF703" s="18" t="str">
        <f>"340.29"</f>
        <v>340.29</v>
      </c>
      <c r="AG703" s="18"/>
      <c r="AH703" s="18" t="str">
        <f>"361.52"</f>
        <v>361.52</v>
      </c>
      <c r="AI703" s="18"/>
    </row>
    <row r="704" spans="1:35">
      <c r="A704" s="14">
        <v>702</v>
      </c>
      <c r="B704" s="14">
        <v>4522</v>
      </c>
      <c r="C704" s="14" t="s">
        <v>877</v>
      </c>
      <c r="D704" s="14" t="s">
        <v>878</v>
      </c>
      <c r="E704" s="15" t="str">
        <f>"241.16"</f>
        <v>241.16</v>
      </c>
      <c r="F704" s="15"/>
      <c r="G704" s="16" t="str">
        <f>"281.16"</f>
        <v>281.16</v>
      </c>
      <c r="H704" s="17" t="s">
        <v>48</v>
      </c>
      <c r="I704" s="18">
        <v>1</v>
      </c>
      <c r="J704" s="18">
        <v>2016</v>
      </c>
      <c r="K704" s="18" t="str">
        <f>"241.16"</f>
        <v>241.16</v>
      </c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</row>
    <row r="705" spans="1:35">
      <c r="A705" s="14">
        <v>703</v>
      </c>
      <c r="B705" s="14">
        <v>10337</v>
      </c>
      <c r="C705" s="14" t="s">
        <v>879</v>
      </c>
      <c r="D705" s="14" t="s">
        <v>74</v>
      </c>
      <c r="E705" s="15" t="str">
        <f>"283.36"</f>
        <v>283.36</v>
      </c>
      <c r="F705" s="15"/>
      <c r="G705" s="16" t="str">
        <f>"283.36"</f>
        <v>283.36</v>
      </c>
      <c r="H705" s="17"/>
      <c r="I705" s="18">
        <v>3</v>
      </c>
      <c r="J705" s="18">
        <v>2016</v>
      </c>
      <c r="K705" s="18" t="str">
        <f>"373.91"</f>
        <v>373.91</v>
      </c>
      <c r="L705" s="18"/>
      <c r="M705" s="18"/>
      <c r="N705" s="18"/>
      <c r="O705" s="18"/>
      <c r="P705" s="18"/>
      <c r="Q705" s="18" t="str">
        <f>"256.60"</f>
        <v>256.60</v>
      </c>
      <c r="R705" s="18"/>
      <c r="S705" s="18"/>
      <c r="T705" s="18"/>
      <c r="U705" s="18" t="str">
        <f>"310.12"</f>
        <v>310.12</v>
      </c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</row>
    <row r="706" spans="1:35">
      <c r="A706" s="14">
        <v>704</v>
      </c>
      <c r="B706" s="14">
        <v>10677</v>
      </c>
      <c r="C706" s="14" t="s">
        <v>880</v>
      </c>
      <c r="D706" s="14" t="s">
        <v>43</v>
      </c>
      <c r="E706" s="15" t="str">
        <f>"243.55"</f>
        <v>243.55</v>
      </c>
      <c r="F706" s="15"/>
      <c r="G706" s="16" t="str">
        <f>"283.55"</f>
        <v>283.55</v>
      </c>
      <c r="H706" s="17" t="s">
        <v>48</v>
      </c>
      <c r="I706" s="18">
        <v>1</v>
      </c>
      <c r="J706" s="18">
        <v>2016</v>
      </c>
      <c r="K706" s="18" t="str">
        <f>"243.55"</f>
        <v>243.55</v>
      </c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</row>
    <row r="707" spans="1:35">
      <c r="A707" s="14">
        <v>705</v>
      </c>
      <c r="B707" s="14">
        <v>10826</v>
      </c>
      <c r="C707" s="14" t="s">
        <v>881</v>
      </c>
      <c r="D707" s="14" t="s">
        <v>98</v>
      </c>
      <c r="E707" s="15" t="str">
        <f>"283.98"</f>
        <v>283.98</v>
      </c>
      <c r="F707" s="15"/>
      <c r="G707" s="16" t="str">
        <f>"283.98"</f>
        <v>283.98</v>
      </c>
      <c r="H707" s="17" t="s">
        <v>54</v>
      </c>
      <c r="I707" s="18">
        <v>4</v>
      </c>
      <c r="J707" s="18">
        <v>2016</v>
      </c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 t="str">
        <f>"243.98"</f>
        <v>243.98</v>
      </c>
      <c r="AA707" s="18"/>
      <c r="AB707" s="18"/>
      <c r="AC707" s="18"/>
      <c r="AD707" s="18"/>
      <c r="AE707" s="18"/>
      <c r="AF707" s="18"/>
      <c r="AG707" s="18"/>
      <c r="AH707" s="18"/>
      <c r="AI707" s="18"/>
    </row>
    <row r="708" spans="1:35">
      <c r="A708" s="14">
        <v>706</v>
      </c>
      <c r="B708" s="14">
        <v>3637</v>
      </c>
      <c r="C708" s="14" t="s">
        <v>882</v>
      </c>
      <c r="D708" s="14" t="s">
        <v>364</v>
      </c>
      <c r="E708" s="15" t="str">
        <f>"271.00"</f>
        <v>271.00</v>
      </c>
      <c r="F708" s="15"/>
      <c r="G708" s="16" t="str">
        <f>"284.48"</f>
        <v>284.48</v>
      </c>
      <c r="H708" s="17" t="s">
        <v>54</v>
      </c>
      <c r="I708" s="18">
        <v>2</v>
      </c>
      <c r="J708" s="18">
        <v>2016</v>
      </c>
      <c r="K708" s="18" t="str">
        <f>"297.51"</f>
        <v>297.51</v>
      </c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 t="str">
        <f>"244.48"</f>
        <v>244.48</v>
      </c>
      <c r="AC708" s="18"/>
      <c r="AD708" s="18"/>
      <c r="AE708" s="18"/>
      <c r="AF708" s="18"/>
      <c r="AG708" s="18"/>
      <c r="AH708" s="18"/>
      <c r="AI708" s="18"/>
    </row>
    <row r="709" spans="1:35">
      <c r="A709" s="14">
        <v>707</v>
      </c>
      <c r="B709" s="14">
        <v>10584</v>
      </c>
      <c r="C709" s="14" t="s">
        <v>883</v>
      </c>
      <c r="D709" s="14" t="s">
        <v>76</v>
      </c>
      <c r="E709" s="15" t="str">
        <f>"285.58"</f>
        <v>285.58</v>
      </c>
      <c r="F709" s="15"/>
      <c r="G709" s="16" t="str">
        <f>"285.58"</f>
        <v>285.58</v>
      </c>
      <c r="H709" s="17"/>
      <c r="I709" s="18">
        <v>3</v>
      </c>
      <c r="J709" s="18">
        <v>2016</v>
      </c>
      <c r="K709" s="18" t="str">
        <f>"457.65"</f>
        <v>457.65</v>
      </c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 t="str">
        <f>"385.05"</f>
        <v>385.05</v>
      </c>
      <c r="Y709" s="18"/>
      <c r="Z709" s="18"/>
      <c r="AA709" s="18"/>
      <c r="AB709" s="18"/>
      <c r="AC709" s="18" t="str">
        <f>"286.08"</f>
        <v>286.08</v>
      </c>
      <c r="AD709" s="18" t="str">
        <f>"285.08"</f>
        <v>285.08</v>
      </c>
      <c r="AE709" s="18"/>
      <c r="AF709" s="18"/>
      <c r="AG709" s="18"/>
      <c r="AH709" s="18"/>
      <c r="AI709" s="18"/>
    </row>
    <row r="710" spans="1:35">
      <c r="A710" s="14">
        <v>708</v>
      </c>
      <c r="B710" s="14">
        <v>5383</v>
      </c>
      <c r="C710" s="14" t="s">
        <v>884</v>
      </c>
      <c r="D710" s="14" t="s">
        <v>213</v>
      </c>
      <c r="E710" s="15" t="str">
        <f>"245.50"</f>
        <v>245.50</v>
      </c>
      <c r="F710" s="15"/>
      <c r="G710" s="16" t="str">
        <f>"285.81"</f>
        <v>285.81</v>
      </c>
      <c r="H710" s="17"/>
      <c r="I710" s="18">
        <v>3</v>
      </c>
      <c r="J710" s="18">
        <v>2016</v>
      </c>
      <c r="K710" s="18" t="str">
        <f>"253.68"</f>
        <v>253.68</v>
      </c>
      <c r="L710" s="18"/>
      <c r="M710" s="18"/>
      <c r="N710" s="18"/>
      <c r="O710" s="18"/>
      <c r="P710" s="18" t="str">
        <f>"334.30"</f>
        <v>334.30</v>
      </c>
      <c r="Q710" s="18"/>
      <c r="R710" s="18"/>
      <c r="S710" s="18" t="str">
        <f>"237.32"</f>
        <v>237.32</v>
      </c>
      <c r="T710" s="18" t="str">
        <f>"341.75"</f>
        <v>341.75</v>
      </c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</row>
    <row r="711" spans="1:35">
      <c r="A711" s="14">
        <v>709</v>
      </c>
      <c r="B711" s="14">
        <v>10115</v>
      </c>
      <c r="C711" s="14" t="s">
        <v>885</v>
      </c>
      <c r="D711" s="14" t="s">
        <v>98</v>
      </c>
      <c r="E711" s="15" t="str">
        <f>"218.10"</f>
        <v>218.10</v>
      </c>
      <c r="F711" s="15"/>
      <c r="G711" s="16" t="str">
        <f>"286.64"</f>
        <v>286.64</v>
      </c>
      <c r="H711" s="17"/>
      <c r="I711" s="18">
        <v>3</v>
      </c>
      <c r="J711" s="18">
        <v>2016</v>
      </c>
      <c r="K711" s="18" t="str">
        <f>"218.10"</f>
        <v>218.10</v>
      </c>
      <c r="L711" s="18"/>
      <c r="M711" s="18"/>
      <c r="N711" s="18"/>
      <c r="O711" s="18"/>
      <c r="P711" s="18"/>
      <c r="Q711" s="18" t="str">
        <f>"284.95"</f>
        <v>284.95</v>
      </c>
      <c r="R711" s="18"/>
      <c r="S711" s="18"/>
      <c r="T711" s="18"/>
      <c r="U711" s="18"/>
      <c r="V711" s="18"/>
      <c r="W711" s="18"/>
      <c r="X711" s="18"/>
      <c r="Y711" s="18"/>
      <c r="Z711" s="18" t="str">
        <f>"288.32"</f>
        <v>288.32</v>
      </c>
      <c r="AA711" s="18"/>
      <c r="AB711" s="18"/>
      <c r="AC711" s="18"/>
      <c r="AD711" s="18"/>
      <c r="AE711" s="18"/>
      <c r="AF711" s="18"/>
      <c r="AG711" s="18"/>
      <c r="AH711" s="18"/>
      <c r="AI711" s="18"/>
    </row>
    <row r="712" spans="1:35">
      <c r="A712" s="14">
        <v>710</v>
      </c>
      <c r="B712" s="14">
        <v>5903</v>
      </c>
      <c r="C712" s="14" t="s">
        <v>886</v>
      </c>
      <c r="D712" s="14" t="s">
        <v>858</v>
      </c>
      <c r="E712" s="15" t="str">
        <f>"246.99"</f>
        <v>246.99</v>
      </c>
      <c r="F712" s="15"/>
      <c r="G712" s="16" t="str">
        <f>"286.99"</f>
        <v>286.99</v>
      </c>
      <c r="H712" s="17" t="s">
        <v>48</v>
      </c>
      <c r="I712" s="18">
        <v>1</v>
      </c>
      <c r="J712" s="18">
        <v>2016</v>
      </c>
      <c r="K712" s="18" t="str">
        <f>"246.99"</f>
        <v>246.99</v>
      </c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</row>
    <row r="713" spans="1:35">
      <c r="A713" s="14">
        <v>711</v>
      </c>
      <c r="B713" s="14">
        <v>4358</v>
      </c>
      <c r="C713" s="14" t="s">
        <v>887</v>
      </c>
      <c r="D713" s="14" t="s">
        <v>70</v>
      </c>
      <c r="E713" s="15" t="str">
        <f>"247.30"</f>
        <v>247.30</v>
      </c>
      <c r="F713" s="15"/>
      <c r="G713" s="16" t="str">
        <f>"287.30"</f>
        <v>287.30</v>
      </c>
      <c r="H713" s="17" t="s">
        <v>48</v>
      </c>
      <c r="I713" s="18">
        <v>1</v>
      </c>
      <c r="J713" s="18">
        <v>2016</v>
      </c>
      <c r="K713" s="18" t="str">
        <f>"247.30"</f>
        <v>247.30</v>
      </c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</row>
    <row r="714" spans="1:35">
      <c r="A714" s="14">
        <v>712</v>
      </c>
      <c r="B714" s="14">
        <v>10111</v>
      </c>
      <c r="C714" s="14" t="s">
        <v>888</v>
      </c>
      <c r="D714" s="14" t="s">
        <v>213</v>
      </c>
      <c r="E714" s="15" t="str">
        <f>"272.49"</f>
        <v>272.49</v>
      </c>
      <c r="F714" s="15"/>
      <c r="G714" s="16" t="str">
        <f>"287.36"</f>
        <v>287.36</v>
      </c>
      <c r="H714" s="17"/>
      <c r="I714" s="18">
        <v>3</v>
      </c>
      <c r="J714" s="18">
        <v>2016</v>
      </c>
      <c r="K714" s="18" t="str">
        <f>"296.23"</f>
        <v>296.23</v>
      </c>
      <c r="L714" s="18"/>
      <c r="M714" s="18"/>
      <c r="N714" s="18"/>
      <c r="O714" s="18"/>
      <c r="P714" s="18" t="str">
        <f>"325.96"</f>
        <v>325.96</v>
      </c>
      <c r="Q714" s="18"/>
      <c r="R714" s="18" t="str">
        <f>"248.75"</f>
        <v>248.75</v>
      </c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</row>
    <row r="715" spans="1:35">
      <c r="A715" s="14">
        <v>713</v>
      </c>
      <c r="B715" s="14">
        <v>6862</v>
      </c>
      <c r="C715" s="14" t="s">
        <v>889</v>
      </c>
      <c r="D715" s="14" t="s">
        <v>98</v>
      </c>
      <c r="E715" s="15" t="str">
        <f>"287.44"</f>
        <v>287.44</v>
      </c>
      <c r="F715" s="15"/>
      <c r="G715" s="16" t="str">
        <f>"287.44"</f>
        <v>287.44</v>
      </c>
      <c r="H715" s="17"/>
      <c r="I715" s="18">
        <v>3</v>
      </c>
      <c r="J715" s="18">
        <v>2016</v>
      </c>
      <c r="K715" s="18" t="str">
        <f>"325.55"</f>
        <v>325.55</v>
      </c>
      <c r="L715" s="18"/>
      <c r="M715" s="18"/>
      <c r="N715" s="18"/>
      <c r="O715" s="18"/>
      <c r="P715" s="18"/>
      <c r="Q715" s="18" t="str">
        <f>"274.66"</f>
        <v>274.66</v>
      </c>
      <c r="R715" s="18"/>
      <c r="S715" s="18"/>
      <c r="T715" s="18"/>
      <c r="U715" s="18" t="str">
        <f>"383.39"</f>
        <v>383.39</v>
      </c>
      <c r="V715" s="18"/>
      <c r="W715" s="18"/>
      <c r="X715" s="18"/>
      <c r="Y715" s="18"/>
      <c r="Z715" s="18" t="str">
        <f>"300.21"</f>
        <v>300.21</v>
      </c>
      <c r="AA715" s="18"/>
      <c r="AB715" s="18"/>
      <c r="AC715" s="18"/>
      <c r="AD715" s="18"/>
      <c r="AE715" s="18"/>
      <c r="AF715" s="18"/>
      <c r="AG715" s="18"/>
      <c r="AH715" s="18"/>
      <c r="AI715" s="18"/>
    </row>
    <row r="716" spans="1:35">
      <c r="A716" s="14">
        <v>714</v>
      </c>
      <c r="B716" s="14">
        <v>6173</v>
      </c>
      <c r="C716" s="14" t="s">
        <v>890</v>
      </c>
      <c r="D716" s="14" t="s">
        <v>891</v>
      </c>
      <c r="E716" s="15" t="str">
        <f>"214.99"</f>
        <v>214.99</v>
      </c>
      <c r="F716" s="15"/>
      <c r="G716" s="16" t="str">
        <f>"287.71"</f>
        <v>287.71</v>
      </c>
      <c r="H716" s="17"/>
      <c r="I716" s="18">
        <v>3</v>
      </c>
      <c r="J716" s="18">
        <v>2016</v>
      </c>
      <c r="K716" s="18" t="str">
        <f>"214.99"</f>
        <v>214.99</v>
      </c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 t="str">
        <f>"262.90"</f>
        <v>262.90</v>
      </c>
      <c r="X716" s="18"/>
      <c r="Y716" s="18"/>
      <c r="Z716" s="18"/>
      <c r="AA716" s="18"/>
      <c r="AB716" s="18" t="str">
        <f>"312.51"</f>
        <v>312.51</v>
      </c>
      <c r="AC716" s="18"/>
      <c r="AD716" s="18"/>
      <c r="AE716" s="18"/>
      <c r="AF716" s="18"/>
      <c r="AG716" s="18"/>
      <c r="AH716" s="18"/>
      <c r="AI716" s="18"/>
    </row>
    <row r="717" spans="1:35">
      <c r="A717" s="14">
        <v>715</v>
      </c>
      <c r="B717" s="14">
        <v>10156</v>
      </c>
      <c r="C717" s="14" t="s">
        <v>892</v>
      </c>
      <c r="D717" s="14" t="s">
        <v>76</v>
      </c>
      <c r="E717" s="15" t="str">
        <f>"287.76"</f>
        <v>287.76</v>
      </c>
      <c r="F717" s="15"/>
      <c r="G717" s="16" t="str">
        <f>"287.76"</f>
        <v>287.76</v>
      </c>
      <c r="H717" s="17"/>
      <c r="I717" s="18">
        <v>3</v>
      </c>
      <c r="J717" s="18">
        <v>2016</v>
      </c>
      <c r="K717" s="18" t="str">
        <f>"354.53"</f>
        <v>354.53</v>
      </c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 t="str">
        <f>"273.51"</f>
        <v>273.51</v>
      </c>
      <c r="AD717" s="18" t="str">
        <f>"302.01"</f>
        <v>302.01</v>
      </c>
      <c r="AE717" s="18"/>
      <c r="AF717" s="18"/>
      <c r="AG717" s="18"/>
      <c r="AH717" s="18" t="str">
        <f>"340.25"</f>
        <v>340.25</v>
      </c>
      <c r="AI717" s="18"/>
    </row>
    <row r="718" spans="1:35">
      <c r="A718" s="14">
        <v>716</v>
      </c>
      <c r="B718" s="14">
        <v>10107</v>
      </c>
      <c r="C718" s="14" t="s">
        <v>893</v>
      </c>
      <c r="D718" s="14" t="s">
        <v>76</v>
      </c>
      <c r="E718" s="15" t="str">
        <f>"188.96"</f>
        <v>188.96</v>
      </c>
      <c r="F718" s="15"/>
      <c r="G718" s="16" t="str">
        <f>"287.89"</f>
        <v>287.89</v>
      </c>
      <c r="H718" s="17" t="s">
        <v>54</v>
      </c>
      <c r="I718" s="18">
        <v>2</v>
      </c>
      <c r="J718" s="18">
        <v>2016</v>
      </c>
      <c r="K718" s="18" t="str">
        <f>"188.96"</f>
        <v>188.96</v>
      </c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 t="str">
        <f>"247.89"</f>
        <v>247.89</v>
      </c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</row>
    <row r="719" spans="1:35">
      <c r="A719" s="14">
        <v>717</v>
      </c>
      <c r="B719" s="14">
        <v>10827</v>
      </c>
      <c r="C719" s="14" t="s">
        <v>894</v>
      </c>
      <c r="D719" s="14" t="s">
        <v>98</v>
      </c>
      <c r="E719" s="15" t="str">
        <f>"288.07"</f>
        <v>288.07</v>
      </c>
      <c r="F719" s="15"/>
      <c r="G719" s="16" t="str">
        <f>"288.07"</f>
        <v>288.07</v>
      </c>
      <c r="H719" s="17"/>
      <c r="I719" s="18">
        <v>5</v>
      </c>
      <c r="J719" s="18">
        <v>2016</v>
      </c>
      <c r="K719" s="18"/>
      <c r="L719" s="18"/>
      <c r="M719" s="18"/>
      <c r="N719" s="18"/>
      <c r="O719" s="18"/>
      <c r="P719" s="18"/>
      <c r="Q719" s="18" t="str">
        <f>"327.57"</f>
        <v>327.57</v>
      </c>
      <c r="R719" s="18"/>
      <c r="S719" s="18"/>
      <c r="T719" s="18"/>
      <c r="U719" s="18"/>
      <c r="V719" s="18"/>
      <c r="W719" s="18"/>
      <c r="X719" s="18"/>
      <c r="Y719" s="18"/>
      <c r="Z719" s="18" t="str">
        <f>"248.56"</f>
        <v>248.56</v>
      </c>
      <c r="AA719" s="18" t="str">
        <f>"483.78"</f>
        <v>483.78</v>
      </c>
      <c r="AB719" s="18"/>
      <c r="AC719" s="18"/>
      <c r="AD719" s="18"/>
      <c r="AE719" s="18"/>
      <c r="AF719" s="18"/>
      <c r="AG719" s="18"/>
      <c r="AH719" s="18"/>
      <c r="AI719" s="18"/>
    </row>
    <row r="720" spans="1:35">
      <c r="A720" s="14">
        <v>718</v>
      </c>
      <c r="B720" s="14">
        <v>10453</v>
      </c>
      <c r="C720" s="14" t="s">
        <v>895</v>
      </c>
      <c r="D720" s="14" t="s">
        <v>98</v>
      </c>
      <c r="E720" s="15" t="str">
        <f>"540.69"</f>
        <v>540.69</v>
      </c>
      <c r="F720" s="15"/>
      <c r="G720" s="16" t="str">
        <f>"288.10"</f>
        <v>288.10</v>
      </c>
      <c r="H720" s="17" t="s">
        <v>54</v>
      </c>
      <c r="I720" s="18">
        <v>2</v>
      </c>
      <c r="J720" s="18">
        <v>2016</v>
      </c>
      <c r="K720" s="18" t="str">
        <f>"833.28"</f>
        <v>833.28</v>
      </c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 t="str">
        <f>"248.10"</f>
        <v>248.10</v>
      </c>
      <c r="AA720" s="18"/>
      <c r="AB720" s="18"/>
      <c r="AC720" s="18"/>
      <c r="AD720" s="18"/>
      <c r="AE720" s="18"/>
      <c r="AF720" s="18"/>
      <c r="AG720" s="18"/>
      <c r="AH720" s="18"/>
      <c r="AI720" s="18"/>
    </row>
    <row r="721" spans="1:35">
      <c r="A721" s="14">
        <v>719</v>
      </c>
      <c r="B721" s="14">
        <v>2173</v>
      </c>
      <c r="C721" s="14" t="s">
        <v>896</v>
      </c>
      <c r="D721" s="14" t="s">
        <v>76</v>
      </c>
      <c r="E721" s="15" t="str">
        <f>"288.21"</f>
        <v>288.21</v>
      </c>
      <c r="F721" s="15"/>
      <c r="G721" s="16" t="str">
        <f>"288.21"</f>
        <v>288.21</v>
      </c>
      <c r="H721" s="17"/>
      <c r="I721" s="18">
        <v>3</v>
      </c>
      <c r="J721" s="18">
        <v>2016</v>
      </c>
      <c r="K721" s="18" t="str">
        <f>"326.82"</f>
        <v>326.82</v>
      </c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 t="str">
        <f>"300.74"</f>
        <v>300.74</v>
      </c>
      <c r="Y721" s="18"/>
      <c r="Z721" s="18"/>
      <c r="AA721" s="18"/>
      <c r="AB721" s="18"/>
      <c r="AC721" s="18" t="str">
        <f>"281.23"</f>
        <v>281.23</v>
      </c>
      <c r="AD721" s="18" t="str">
        <f>"295.18"</f>
        <v>295.18</v>
      </c>
      <c r="AE721" s="18"/>
      <c r="AF721" s="18"/>
      <c r="AG721" s="18"/>
      <c r="AH721" s="18" t="str">
        <f>"352.64"</f>
        <v>352.64</v>
      </c>
      <c r="AI721" s="18"/>
    </row>
    <row r="722" spans="1:35">
      <c r="A722" s="14">
        <v>720</v>
      </c>
      <c r="B722" s="14">
        <v>10161</v>
      </c>
      <c r="C722" s="14" t="s">
        <v>897</v>
      </c>
      <c r="D722" s="14" t="s">
        <v>98</v>
      </c>
      <c r="E722" s="15" t="str">
        <f>"288.65"</f>
        <v>288.65</v>
      </c>
      <c r="F722" s="15"/>
      <c r="G722" s="16" t="str">
        <f>"288.65"</f>
        <v>288.65</v>
      </c>
      <c r="H722" s="17"/>
      <c r="I722" s="18">
        <v>3</v>
      </c>
      <c r="J722" s="18">
        <v>2016</v>
      </c>
      <c r="K722" s="18" t="str">
        <f>"423.82"</f>
        <v>423.82</v>
      </c>
      <c r="L722" s="18"/>
      <c r="M722" s="18"/>
      <c r="N722" s="18"/>
      <c r="O722" s="18"/>
      <c r="P722" s="18"/>
      <c r="Q722" s="18"/>
      <c r="R722" s="18"/>
      <c r="S722" s="18"/>
      <c r="T722" s="18"/>
      <c r="U722" s="18" t="str">
        <f>"315.48"</f>
        <v>315.48</v>
      </c>
      <c r="V722" s="18"/>
      <c r="W722" s="18"/>
      <c r="X722" s="18"/>
      <c r="Y722" s="18"/>
      <c r="Z722" s="18" t="str">
        <f>"261.81"</f>
        <v>261.81</v>
      </c>
      <c r="AA722" s="18"/>
      <c r="AB722" s="18"/>
      <c r="AC722" s="18"/>
      <c r="AD722" s="18"/>
      <c r="AE722" s="18"/>
      <c r="AF722" s="18"/>
      <c r="AG722" s="18"/>
      <c r="AH722" s="18"/>
      <c r="AI722" s="18"/>
    </row>
    <row r="723" spans="1:35">
      <c r="A723" s="14">
        <v>721</v>
      </c>
      <c r="B723" s="14">
        <v>77</v>
      </c>
      <c r="C723" s="14" t="s">
        <v>898</v>
      </c>
      <c r="D723" s="14" t="s">
        <v>899</v>
      </c>
      <c r="E723" s="15" t="str">
        <f>"243.09"</f>
        <v>243.09</v>
      </c>
      <c r="F723" s="15"/>
      <c r="G723" s="16" t="str">
        <f>"289.25"</f>
        <v>289.25</v>
      </c>
      <c r="H723" s="17" t="s">
        <v>54</v>
      </c>
      <c r="I723" s="18">
        <v>2</v>
      </c>
      <c r="J723" s="18">
        <v>2016</v>
      </c>
      <c r="K723" s="18" t="str">
        <f>"243.09"</f>
        <v>243.09</v>
      </c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 t="str">
        <f>"249.25"</f>
        <v>249.25</v>
      </c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</row>
    <row r="724" spans="1:35">
      <c r="A724" s="14">
        <v>722</v>
      </c>
      <c r="B724" s="14">
        <v>6971</v>
      </c>
      <c r="C724" s="14" t="s">
        <v>900</v>
      </c>
      <c r="D724" s="14" t="s">
        <v>242</v>
      </c>
      <c r="E724" s="15" t="str">
        <f>"188.60"</f>
        <v>188.60</v>
      </c>
      <c r="F724" s="15"/>
      <c r="G724" s="16" t="str">
        <f>"289.78"</f>
        <v>289.78</v>
      </c>
      <c r="H724" s="17"/>
      <c r="I724" s="18">
        <v>3</v>
      </c>
      <c r="J724" s="18">
        <v>2016</v>
      </c>
      <c r="K724" s="18" t="str">
        <f>"188.60"</f>
        <v>188.60</v>
      </c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 t="str">
        <f>"227.43"</f>
        <v>227.43</v>
      </c>
      <c r="W724" s="18"/>
      <c r="X724" s="18"/>
      <c r="Y724" s="18"/>
      <c r="Z724" s="18"/>
      <c r="AA724" s="18" t="str">
        <f>"352.13"</f>
        <v>352.13</v>
      </c>
      <c r="AB724" s="18"/>
      <c r="AC724" s="18"/>
      <c r="AD724" s="18"/>
      <c r="AE724" s="18"/>
      <c r="AF724" s="18"/>
      <c r="AG724" s="18"/>
      <c r="AH724" s="18"/>
      <c r="AI724" s="18"/>
    </row>
    <row r="725" spans="1:35">
      <c r="A725" s="14">
        <v>723</v>
      </c>
      <c r="B725" s="14">
        <v>2332</v>
      </c>
      <c r="C725" s="14" t="s">
        <v>901</v>
      </c>
      <c r="D725" s="14" t="s">
        <v>76</v>
      </c>
      <c r="E725" s="15" t="str">
        <f>"289.80"</f>
        <v>289.80</v>
      </c>
      <c r="F725" s="15"/>
      <c r="G725" s="16" t="str">
        <f>"289.80"</f>
        <v>289.80</v>
      </c>
      <c r="H725" s="17"/>
      <c r="I725" s="18">
        <v>3</v>
      </c>
      <c r="J725" s="18">
        <v>2016</v>
      </c>
      <c r="K725" s="18" t="str">
        <f>"449.83"</f>
        <v>449.83</v>
      </c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 t="str">
        <f>"370.05"</f>
        <v>370.05</v>
      </c>
      <c r="Y725" s="18" t="str">
        <f>"389.91"</f>
        <v>389.91</v>
      </c>
      <c r="Z725" s="18"/>
      <c r="AA725" s="18"/>
      <c r="AB725" s="18"/>
      <c r="AC725" s="18" t="str">
        <f>"270.31"</f>
        <v>270.31</v>
      </c>
      <c r="AD725" s="18" t="str">
        <f>"309.29"</f>
        <v>309.29</v>
      </c>
      <c r="AE725" s="18"/>
      <c r="AF725" s="18"/>
      <c r="AG725" s="18"/>
      <c r="AH725" s="18"/>
      <c r="AI725" s="18"/>
    </row>
    <row r="726" spans="1:35">
      <c r="A726" s="14">
        <v>724</v>
      </c>
      <c r="B726" s="14">
        <v>8327</v>
      </c>
      <c r="C726" s="14" t="s">
        <v>902</v>
      </c>
      <c r="D726" s="14" t="s">
        <v>200</v>
      </c>
      <c r="E726" s="15" t="str">
        <f>"289.83"</f>
        <v>289.83</v>
      </c>
      <c r="F726" s="15"/>
      <c r="G726" s="16" t="str">
        <f>"289.83"</f>
        <v>289.83</v>
      </c>
      <c r="H726" s="17"/>
      <c r="I726" s="18">
        <v>3</v>
      </c>
      <c r="J726" s="18">
        <v>2016</v>
      </c>
      <c r="K726" s="18" t="str">
        <f>"312.49"</f>
        <v>312.49</v>
      </c>
      <c r="L726" s="18"/>
      <c r="M726" s="18"/>
      <c r="N726" s="18"/>
      <c r="O726" s="18"/>
      <c r="P726" s="18" t="str">
        <f>"365.81"</f>
        <v>365.81</v>
      </c>
      <c r="Q726" s="18"/>
      <c r="R726" s="18"/>
      <c r="S726" s="18"/>
      <c r="T726" s="18" t="str">
        <f>"304.28"</f>
        <v>304.28</v>
      </c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 t="str">
        <f>"275.37"</f>
        <v>275.37</v>
      </c>
    </row>
    <row r="727" spans="1:35">
      <c r="A727" s="14">
        <v>725</v>
      </c>
      <c r="B727" s="14">
        <v>10267</v>
      </c>
      <c r="C727" s="14" t="s">
        <v>903</v>
      </c>
      <c r="D727" s="14" t="s">
        <v>98</v>
      </c>
      <c r="E727" s="15" t="str">
        <f>"290.57"</f>
        <v>290.57</v>
      </c>
      <c r="F727" s="15"/>
      <c r="G727" s="16" t="str">
        <f>"290.57"</f>
        <v>290.57</v>
      </c>
      <c r="H727" s="17"/>
      <c r="I727" s="18">
        <v>3</v>
      </c>
      <c r="J727" s="18">
        <v>2016</v>
      </c>
      <c r="K727" s="18" t="str">
        <f>"408.30"</f>
        <v>408.30</v>
      </c>
      <c r="L727" s="18"/>
      <c r="M727" s="18"/>
      <c r="N727" s="18"/>
      <c r="O727" s="18"/>
      <c r="P727" s="18"/>
      <c r="Q727" s="18"/>
      <c r="R727" s="18"/>
      <c r="S727" s="18"/>
      <c r="T727" s="18"/>
      <c r="U727" s="18" t="str">
        <f>"432.25"</f>
        <v>432.25</v>
      </c>
      <c r="V727" s="18"/>
      <c r="W727" s="18"/>
      <c r="X727" s="18"/>
      <c r="Y727" s="18"/>
      <c r="Z727" s="18" t="str">
        <f>"319.86"</f>
        <v>319.86</v>
      </c>
      <c r="AA727" s="18"/>
      <c r="AB727" s="18"/>
      <c r="AC727" s="18"/>
      <c r="AD727" s="18"/>
      <c r="AE727" s="18"/>
      <c r="AF727" s="18" t="str">
        <f>"261.27"</f>
        <v>261.27</v>
      </c>
      <c r="AG727" s="18"/>
      <c r="AH727" s="18"/>
      <c r="AI727" s="18"/>
    </row>
    <row r="728" spans="1:35">
      <c r="A728" s="14">
        <v>726</v>
      </c>
      <c r="B728" s="14">
        <v>10198</v>
      </c>
      <c r="C728" s="14" t="s">
        <v>904</v>
      </c>
      <c r="D728" s="14" t="s">
        <v>98</v>
      </c>
      <c r="E728" s="15" t="str">
        <f>"232.83"</f>
        <v>232.83</v>
      </c>
      <c r="F728" s="15"/>
      <c r="G728" s="16" t="str">
        <f>"290.65"</f>
        <v>290.65</v>
      </c>
      <c r="H728" s="17"/>
      <c r="I728" s="18">
        <v>3</v>
      </c>
      <c r="J728" s="18">
        <v>2016</v>
      </c>
      <c r="K728" s="18" t="str">
        <f>"232.83"</f>
        <v>232.83</v>
      </c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 t="str">
        <f>"324.43"</f>
        <v>324.43</v>
      </c>
      <c r="AA728" s="18"/>
      <c r="AB728" s="18"/>
      <c r="AC728" s="18"/>
      <c r="AD728" s="18"/>
      <c r="AE728" s="18"/>
      <c r="AF728" s="18"/>
      <c r="AG728" s="18"/>
      <c r="AH728" s="18"/>
      <c r="AI728" s="18" t="str">
        <f>"256.86"</f>
        <v>256.86</v>
      </c>
    </row>
    <row r="729" spans="1:35">
      <c r="A729" s="14">
        <v>727</v>
      </c>
      <c r="B729" s="14">
        <v>2396</v>
      </c>
      <c r="C729" s="14" t="s">
        <v>905</v>
      </c>
      <c r="D729" s="14" t="s">
        <v>76</v>
      </c>
      <c r="E729" s="15" t="str">
        <f>"291.49"</f>
        <v>291.49</v>
      </c>
      <c r="F729" s="15"/>
      <c r="G729" s="16" t="str">
        <f>"291.49"</f>
        <v>291.49</v>
      </c>
      <c r="H729" s="17"/>
      <c r="I729" s="18">
        <v>3</v>
      </c>
      <c r="J729" s="18">
        <v>2016</v>
      </c>
      <c r="K729" s="18" t="str">
        <f>"447.97"</f>
        <v>447.97</v>
      </c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 t="str">
        <f>"383.56"</f>
        <v>383.56</v>
      </c>
      <c r="Y729" s="18"/>
      <c r="Z729" s="18"/>
      <c r="AA729" s="18"/>
      <c r="AB729" s="18"/>
      <c r="AC729" s="18" t="str">
        <f>"292.15"</f>
        <v>292.15</v>
      </c>
      <c r="AD729" s="18" t="str">
        <f>"290.83"</f>
        <v>290.83</v>
      </c>
      <c r="AE729" s="18"/>
      <c r="AF729" s="18"/>
      <c r="AG729" s="18"/>
      <c r="AH729" s="18"/>
      <c r="AI729" s="18"/>
    </row>
    <row r="730" spans="1:35">
      <c r="A730" s="14">
        <v>728</v>
      </c>
      <c r="B730" s="14">
        <v>10861</v>
      </c>
      <c r="C730" s="14" t="s">
        <v>906</v>
      </c>
      <c r="D730" s="14" t="s">
        <v>76</v>
      </c>
      <c r="E730" s="15" t="str">
        <f>"291.78"</f>
        <v>291.78</v>
      </c>
      <c r="F730" s="15"/>
      <c r="G730" s="16" t="str">
        <f>"291.78"</f>
        <v>291.78</v>
      </c>
      <c r="H730" s="17"/>
      <c r="I730" s="18">
        <v>5</v>
      </c>
      <c r="J730" s="18">
        <v>2016</v>
      </c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 t="str">
        <f>"374.92"</f>
        <v>374.92</v>
      </c>
      <c r="Y730" s="18" t="str">
        <f>"360.06"</f>
        <v>360.06</v>
      </c>
      <c r="Z730" s="18"/>
      <c r="AA730" s="18"/>
      <c r="AB730" s="18"/>
      <c r="AC730" s="18" t="str">
        <f>"274.06"</f>
        <v>274.06</v>
      </c>
      <c r="AD730" s="18" t="str">
        <f>"309.50"</f>
        <v>309.50</v>
      </c>
      <c r="AE730" s="18"/>
      <c r="AF730" s="18"/>
      <c r="AG730" s="18"/>
      <c r="AH730" s="18" t="str">
        <f>"360.78"</f>
        <v>360.78</v>
      </c>
      <c r="AI730" s="18"/>
    </row>
    <row r="731" spans="1:35">
      <c r="A731" s="14">
        <v>729</v>
      </c>
      <c r="B731" s="14">
        <v>2268</v>
      </c>
      <c r="C731" s="14" t="s">
        <v>907</v>
      </c>
      <c r="D731" s="14" t="s">
        <v>76</v>
      </c>
      <c r="E731" s="15" t="str">
        <f>"291.95"</f>
        <v>291.95</v>
      </c>
      <c r="F731" s="15"/>
      <c r="G731" s="16" t="str">
        <f>"291.95"</f>
        <v>291.95</v>
      </c>
      <c r="H731" s="17"/>
      <c r="I731" s="18">
        <v>3</v>
      </c>
      <c r="J731" s="18">
        <v>2016</v>
      </c>
      <c r="K731" s="18" t="str">
        <f>"342.19"</f>
        <v>342.19</v>
      </c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 t="str">
        <f>"370.46"</f>
        <v>370.46</v>
      </c>
      <c r="Y731" s="18" t="str">
        <f>"393.13"</f>
        <v>393.13</v>
      </c>
      <c r="Z731" s="18"/>
      <c r="AA731" s="18"/>
      <c r="AB731" s="18"/>
      <c r="AC731" s="18" t="str">
        <f>"306.37"</f>
        <v>306.37</v>
      </c>
      <c r="AD731" s="18" t="str">
        <f>"280.09"</f>
        <v>280.09</v>
      </c>
      <c r="AE731" s="18"/>
      <c r="AF731" s="18"/>
      <c r="AG731" s="18"/>
      <c r="AH731" s="18" t="str">
        <f>"303.81"</f>
        <v>303.81</v>
      </c>
      <c r="AI731" s="18"/>
    </row>
    <row r="732" spans="1:35">
      <c r="A732" s="14">
        <v>730</v>
      </c>
      <c r="B732" s="14">
        <v>742</v>
      </c>
      <c r="C732" s="14" t="s">
        <v>908</v>
      </c>
      <c r="D732" s="14" t="s">
        <v>39</v>
      </c>
      <c r="E732" s="15" t="str">
        <f>"175.07"</f>
        <v>175.07</v>
      </c>
      <c r="F732" s="15"/>
      <c r="G732" s="16" t="str">
        <f>"292.57"</f>
        <v>292.57</v>
      </c>
      <c r="H732" s="17" t="s">
        <v>54</v>
      </c>
      <c r="I732" s="18">
        <v>2</v>
      </c>
      <c r="J732" s="18">
        <v>2016</v>
      </c>
      <c r="K732" s="18" t="str">
        <f>"175.07"</f>
        <v>175.07</v>
      </c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 t="str">
        <f>"252.57"</f>
        <v>252.57</v>
      </c>
      <c r="AI732" s="18"/>
    </row>
    <row r="733" spans="1:35">
      <c r="A733" s="14">
        <v>731</v>
      </c>
      <c r="B733" s="14">
        <v>10195</v>
      </c>
      <c r="C733" s="14" t="s">
        <v>909</v>
      </c>
      <c r="D733" s="14" t="s">
        <v>98</v>
      </c>
      <c r="E733" s="15" t="str">
        <f>"286.38"</f>
        <v>286.38</v>
      </c>
      <c r="F733" s="15"/>
      <c r="G733" s="16" t="str">
        <f>"292.65"</f>
        <v>292.65</v>
      </c>
      <c r="H733" s="17"/>
      <c r="I733" s="18">
        <v>3</v>
      </c>
      <c r="J733" s="18">
        <v>2016</v>
      </c>
      <c r="K733" s="18" t="str">
        <f>"286.38"</f>
        <v>286.38</v>
      </c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 t="str">
        <f>"292.44"</f>
        <v>292.44</v>
      </c>
      <c r="AA733" s="18"/>
      <c r="AB733" s="18"/>
      <c r="AC733" s="18"/>
      <c r="AD733" s="18"/>
      <c r="AE733" s="18"/>
      <c r="AF733" s="18"/>
      <c r="AG733" s="18"/>
      <c r="AH733" s="18"/>
      <c r="AI733" s="18" t="str">
        <f>"292.86"</f>
        <v>292.86</v>
      </c>
    </row>
    <row r="734" spans="1:35">
      <c r="A734" s="14">
        <v>732</v>
      </c>
      <c r="B734" s="14">
        <v>9972</v>
      </c>
      <c r="C734" s="14" t="s">
        <v>910</v>
      </c>
      <c r="D734" s="14" t="s">
        <v>911</v>
      </c>
      <c r="E734" s="15" t="str">
        <f>"253.43"</f>
        <v>253.43</v>
      </c>
      <c r="F734" s="15"/>
      <c r="G734" s="16" t="str">
        <f>"293.43"</f>
        <v>293.43</v>
      </c>
      <c r="H734" s="17" t="s">
        <v>48</v>
      </c>
      <c r="I734" s="18">
        <v>1</v>
      </c>
      <c r="J734" s="18">
        <v>2016</v>
      </c>
      <c r="K734" s="18" t="str">
        <f>"253.43"</f>
        <v>253.43</v>
      </c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</row>
    <row r="735" spans="1:35">
      <c r="A735" s="14">
        <v>733</v>
      </c>
      <c r="B735" s="14">
        <v>10508</v>
      </c>
      <c r="C735" s="14" t="s">
        <v>912</v>
      </c>
      <c r="D735" s="14" t="s">
        <v>76</v>
      </c>
      <c r="E735" s="15" t="str">
        <f>"294.14"</f>
        <v>294.14</v>
      </c>
      <c r="F735" s="15"/>
      <c r="G735" s="16" t="str">
        <f>"294.14"</f>
        <v>294.14</v>
      </c>
      <c r="H735" s="17"/>
      <c r="I735" s="18">
        <v>3</v>
      </c>
      <c r="J735" s="18">
        <v>2016</v>
      </c>
      <c r="K735" s="18" t="str">
        <f>"314.81"</f>
        <v>314.81</v>
      </c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 t="str">
        <f>"408.16"</f>
        <v>408.16</v>
      </c>
      <c r="Y735" s="18"/>
      <c r="Z735" s="18"/>
      <c r="AA735" s="18"/>
      <c r="AB735" s="18"/>
      <c r="AC735" s="18" t="str">
        <f>"296.78"</f>
        <v>296.78</v>
      </c>
      <c r="AD735" s="18" t="str">
        <f>"291.49"</f>
        <v>291.49</v>
      </c>
      <c r="AE735" s="18"/>
      <c r="AF735" s="18"/>
      <c r="AG735" s="18"/>
      <c r="AH735" s="18"/>
      <c r="AI735" s="18"/>
    </row>
    <row r="736" spans="1:35">
      <c r="A736" s="14">
        <v>734</v>
      </c>
      <c r="B736" s="14">
        <v>10060</v>
      </c>
      <c r="C736" s="14" t="s">
        <v>913</v>
      </c>
      <c r="D736" s="14" t="s">
        <v>76</v>
      </c>
      <c r="E736" s="15" t="str">
        <f>"294.29"</f>
        <v>294.29</v>
      </c>
      <c r="F736" s="15"/>
      <c r="G736" s="16" t="str">
        <f>"294.29"</f>
        <v>294.29</v>
      </c>
      <c r="H736" s="17"/>
      <c r="I736" s="18">
        <v>3</v>
      </c>
      <c r="J736" s="18">
        <v>2016</v>
      </c>
      <c r="K736" s="18" t="str">
        <f>"314.58"</f>
        <v>314.58</v>
      </c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 t="str">
        <f>"378.56"</f>
        <v>378.56</v>
      </c>
      <c r="Y736" s="18"/>
      <c r="Z736" s="18"/>
      <c r="AA736" s="18"/>
      <c r="AB736" s="18"/>
      <c r="AC736" s="18" t="str">
        <f>"295.68"</f>
        <v>295.68</v>
      </c>
      <c r="AD736" s="18" t="str">
        <f>"292.90"</f>
        <v>292.90</v>
      </c>
      <c r="AE736" s="18"/>
      <c r="AF736" s="18"/>
      <c r="AG736" s="18"/>
      <c r="AH736" s="18"/>
      <c r="AI736" s="18"/>
    </row>
    <row r="737" spans="1:35">
      <c r="A737" s="14">
        <v>735</v>
      </c>
      <c r="B737" s="14">
        <v>2155</v>
      </c>
      <c r="C737" s="14" t="s">
        <v>914</v>
      </c>
      <c r="D737" s="14" t="s">
        <v>76</v>
      </c>
      <c r="E737" s="15" t="str">
        <f>"136.62"</f>
        <v>136.62</v>
      </c>
      <c r="F737" s="15"/>
      <c r="G737" s="16" t="str">
        <f>"294.32"</f>
        <v>294.32</v>
      </c>
      <c r="H737" s="17" t="s">
        <v>54</v>
      </c>
      <c r="I737" s="18">
        <v>2</v>
      </c>
      <c r="J737" s="18">
        <v>2016</v>
      </c>
      <c r="K737" s="18" t="str">
        <f>"136.62"</f>
        <v>136.62</v>
      </c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 t="str">
        <f>"254.32"</f>
        <v>254.32</v>
      </c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</row>
    <row r="738" spans="1:35">
      <c r="A738" s="14">
        <v>736</v>
      </c>
      <c r="B738" s="14">
        <v>2333</v>
      </c>
      <c r="C738" s="14" t="s">
        <v>915</v>
      </c>
      <c r="D738" s="14" t="s">
        <v>76</v>
      </c>
      <c r="E738" s="15" t="str">
        <f>"258.79"</f>
        <v>258.79</v>
      </c>
      <c r="F738" s="15"/>
      <c r="G738" s="16" t="str">
        <f>"294.68"</f>
        <v>294.68</v>
      </c>
      <c r="H738" s="17"/>
      <c r="I738" s="18">
        <v>3</v>
      </c>
      <c r="J738" s="18">
        <v>2016</v>
      </c>
      <c r="K738" s="18" t="str">
        <f>"258.79"</f>
        <v>258.79</v>
      </c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 t="str">
        <f>"291.41"</f>
        <v>291.41</v>
      </c>
      <c r="Y738" s="18" t="str">
        <f>"297.94"</f>
        <v>297.94</v>
      </c>
      <c r="Z738" s="18"/>
      <c r="AA738" s="18"/>
      <c r="AB738" s="18"/>
      <c r="AC738" s="18" t="str">
        <f>"350.82"</f>
        <v>350.82</v>
      </c>
      <c r="AD738" s="18"/>
      <c r="AE738" s="18"/>
      <c r="AF738" s="18"/>
      <c r="AG738" s="18"/>
      <c r="AH738" s="18"/>
      <c r="AI738" s="18"/>
    </row>
    <row r="739" spans="1:35">
      <c r="A739" s="14">
        <v>737</v>
      </c>
      <c r="B739" s="14">
        <v>467</v>
      </c>
      <c r="C739" s="14" t="s">
        <v>916</v>
      </c>
      <c r="D739" s="14" t="s">
        <v>242</v>
      </c>
      <c r="E739" s="15" t="str">
        <f>"136.04"</f>
        <v>136.04</v>
      </c>
      <c r="F739" s="15"/>
      <c r="G739" s="16" t="str">
        <f>"294.73"</f>
        <v>294.73</v>
      </c>
      <c r="H739" s="17" t="s">
        <v>54</v>
      </c>
      <c r="I739" s="18">
        <v>2</v>
      </c>
      <c r="J739" s="18">
        <v>2016</v>
      </c>
      <c r="K739" s="18" t="str">
        <f>"136.04"</f>
        <v>136.04</v>
      </c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 t="str">
        <f>"254.73"</f>
        <v>254.73</v>
      </c>
      <c r="AB739" s="18"/>
      <c r="AC739" s="18"/>
      <c r="AD739" s="18"/>
      <c r="AE739" s="18"/>
      <c r="AF739" s="18"/>
      <c r="AG739" s="18"/>
      <c r="AH739" s="18"/>
      <c r="AI739" s="18"/>
    </row>
    <row r="740" spans="1:35">
      <c r="A740" s="14">
        <v>738</v>
      </c>
      <c r="B740" s="14">
        <v>2361</v>
      </c>
      <c r="C740" s="14" t="s">
        <v>917</v>
      </c>
      <c r="D740" s="14" t="s">
        <v>393</v>
      </c>
      <c r="E740" s="15" t="str">
        <f>"168.79"</f>
        <v>168.79</v>
      </c>
      <c r="F740" s="15"/>
      <c r="G740" s="16" t="str">
        <f>"295.73"</f>
        <v>295.73</v>
      </c>
      <c r="H740" s="17" t="s">
        <v>54</v>
      </c>
      <c r="I740" s="18">
        <v>2</v>
      </c>
      <c r="J740" s="18">
        <v>2016</v>
      </c>
      <c r="K740" s="18" t="str">
        <f>"168.79"</f>
        <v>168.79</v>
      </c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 t="str">
        <f>"255.73"</f>
        <v>255.73</v>
      </c>
      <c r="AC740" s="18"/>
      <c r="AD740" s="18"/>
      <c r="AE740" s="18"/>
      <c r="AF740" s="18"/>
      <c r="AG740" s="18"/>
      <c r="AH740" s="18"/>
      <c r="AI740" s="18"/>
    </row>
    <row r="741" spans="1:35">
      <c r="A741" s="14">
        <v>739</v>
      </c>
      <c r="B741" s="14">
        <v>10123</v>
      </c>
      <c r="C741" s="14" t="s">
        <v>918</v>
      </c>
      <c r="D741" s="14" t="s">
        <v>98</v>
      </c>
      <c r="E741" s="15" t="str">
        <f>"295.82"</f>
        <v>295.82</v>
      </c>
      <c r="F741" s="15"/>
      <c r="G741" s="16" t="str">
        <f>"295.82"</f>
        <v>295.82</v>
      </c>
      <c r="H741" s="17"/>
      <c r="I741" s="18">
        <v>3</v>
      </c>
      <c r="J741" s="18">
        <v>2016</v>
      </c>
      <c r="K741" s="18" t="str">
        <f>"429.17"</f>
        <v>429.17</v>
      </c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 t="str">
        <f>"286.49"</f>
        <v>286.49</v>
      </c>
      <c r="AA741" s="18"/>
      <c r="AB741" s="18"/>
      <c r="AC741" s="18"/>
      <c r="AD741" s="18"/>
      <c r="AE741" s="18"/>
      <c r="AF741" s="18"/>
      <c r="AG741" s="18"/>
      <c r="AH741" s="18"/>
      <c r="AI741" s="18" t="str">
        <f>"305.15"</f>
        <v>305.15</v>
      </c>
    </row>
    <row r="742" spans="1:35">
      <c r="A742" s="14">
        <v>740</v>
      </c>
      <c r="B742" s="14">
        <v>10576</v>
      </c>
      <c r="C742" s="14" t="s">
        <v>919</v>
      </c>
      <c r="D742" s="14" t="s">
        <v>76</v>
      </c>
      <c r="E742" s="15" t="str">
        <f>"325.17"</f>
        <v>325.17</v>
      </c>
      <c r="F742" s="15"/>
      <c r="G742" s="16" t="str">
        <f>"296.01"</f>
        <v>296.01</v>
      </c>
      <c r="H742" s="17" t="s">
        <v>54</v>
      </c>
      <c r="I742" s="18">
        <v>2</v>
      </c>
      <c r="J742" s="18">
        <v>2016</v>
      </c>
      <c r="K742" s="18" t="str">
        <f>"394.33"</f>
        <v>394.33</v>
      </c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 t="str">
        <f>"256.01"</f>
        <v>256.01</v>
      </c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</row>
    <row r="743" spans="1:35">
      <c r="A743" s="14">
        <v>741</v>
      </c>
      <c r="B743" s="14">
        <v>1812</v>
      </c>
      <c r="C743" s="14" t="s">
        <v>920</v>
      </c>
      <c r="D743" s="14" t="s">
        <v>66</v>
      </c>
      <c r="E743" s="15" t="str">
        <f>"297.04"</f>
        <v>297.04</v>
      </c>
      <c r="F743" s="15"/>
      <c r="G743" s="16" t="str">
        <f>"297.04"</f>
        <v>297.04</v>
      </c>
      <c r="H743" s="17"/>
      <c r="I743" s="18">
        <v>3</v>
      </c>
      <c r="J743" s="18">
        <v>2016</v>
      </c>
      <c r="K743" s="18" t="str">
        <f>"326.55"</f>
        <v>326.55</v>
      </c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 t="str">
        <f>"279.53"</f>
        <v>279.53</v>
      </c>
      <c r="X743" s="18"/>
      <c r="Y743" s="18"/>
      <c r="Z743" s="18"/>
      <c r="AA743" s="18"/>
      <c r="AB743" s="18" t="str">
        <f>"314.54"</f>
        <v>314.54</v>
      </c>
      <c r="AC743" s="18"/>
      <c r="AD743" s="18"/>
      <c r="AE743" s="18"/>
      <c r="AF743" s="18"/>
      <c r="AG743" s="18"/>
      <c r="AH743" s="18"/>
      <c r="AI743" s="18"/>
    </row>
    <row r="744" spans="1:35">
      <c r="A744" s="14">
        <v>742</v>
      </c>
      <c r="B744" s="14">
        <v>708</v>
      </c>
      <c r="C744" s="14" t="s">
        <v>921</v>
      </c>
      <c r="D744" s="14" t="s">
        <v>669</v>
      </c>
      <c r="E744" s="15" t="str">
        <f>"257.17"</f>
        <v>257.17</v>
      </c>
      <c r="F744" s="15"/>
      <c r="G744" s="16" t="str">
        <f>"297.17"</f>
        <v>297.17</v>
      </c>
      <c r="H744" s="17" t="s">
        <v>48</v>
      </c>
      <c r="I744" s="18">
        <v>1</v>
      </c>
      <c r="J744" s="18">
        <v>2016</v>
      </c>
      <c r="K744" s="18" t="str">
        <f>"257.17"</f>
        <v>257.17</v>
      </c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</row>
    <row r="745" spans="1:35">
      <c r="A745" s="14">
        <v>743</v>
      </c>
      <c r="B745" s="14">
        <v>10835</v>
      </c>
      <c r="C745" s="14" t="s">
        <v>922</v>
      </c>
      <c r="D745" s="14" t="s">
        <v>76</v>
      </c>
      <c r="E745" s="15" t="str">
        <f>"297.98"</f>
        <v>297.98</v>
      </c>
      <c r="F745" s="15"/>
      <c r="G745" s="16" t="str">
        <f>"297.98"</f>
        <v>297.98</v>
      </c>
      <c r="H745" s="17"/>
      <c r="I745" s="18">
        <v>5</v>
      </c>
      <c r="J745" s="18">
        <v>2016</v>
      </c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 t="str">
        <f>"404.37"</f>
        <v>404.37</v>
      </c>
      <c r="Y745" s="18"/>
      <c r="Z745" s="18"/>
      <c r="AA745" s="18"/>
      <c r="AB745" s="18"/>
      <c r="AC745" s="18" t="str">
        <f>"302.62"</f>
        <v>302.62</v>
      </c>
      <c r="AD745" s="18" t="str">
        <f>"293.33"</f>
        <v>293.33</v>
      </c>
      <c r="AE745" s="18"/>
      <c r="AF745" s="18"/>
      <c r="AG745" s="18" t="str">
        <f>"324.48"</f>
        <v>324.48</v>
      </c>
      <c r="AH745" s="18"/>
      <c r="AI745" s="18"/>
    </row>
    <row r="746" spans="1:35">
      <c r="A746" s="14">
        <v>744</v>
      </c>
      <c r="B746" s="14">
        <v>1266</v>
      </c>
      <c r="C746" s="14" t="s">
        <v>923</v>
      </c>
      <c r="D746" s="14" t="s">
        <v>832</v>
      </c>
      <c r="E746" s="15" t="str">
        <f>"268.22"</f>
        <v>268.22</v>
      </c>
      <c r="F746" s="15"/>
      <c r="G746" s="16" t="str">
        <f>"298.98"</f>
        <v>298.98</v>
      </c>
      <c r="H746" s="17" t="s">
        <v>54</v>
      </c>
      <c r="I746" s="18">
        <v>2</v>
      </c>
      <c r="J746" s="18">
        <v>2016</v>
      </c>
      <c r="K746" s="18" t="str">
        <f>"277.46"</f>
        <v>277.46</v>
      </c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 t="str">
        <f>"258.98"</f>
        <v>258.98</v>
      </c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</row>
    <row r="747" spans="1:35">
      <c r="A747" s="14">
        <v>745</v>
      </c>
      <c r="B747" s="14">
        <v>2329</v>
      </c>
      <c r="C747" s="14" t="s">
        <v>924</v>
      </c>
      <c r="D747" s="14" t="s">
        <v>51</v>
      </c>
      <c r="E747" s="15" t="str">
        <f>"259.88"</f>
        <v>259.88</v>
      </c>
      <c r="F747" s="15"/>
      <c r="G747" s="16" t="str">
        <f>"299.88"</f>
        <v>299.88</v>
      </c>
      <c r="H747" s="17" t="s">
        <v>48</v>
      </c>
      <c r="I747" s="18">
        <v>1</v>
      </c>
      <c r="J747" s="18">
        <v>2016</v>
      </c>
      <c r="K747" s="18" t="str">
        <f>"259.88"</f>
        <v>259.88</v>
      </c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</row>
    <row r="748" spans="1:35">
      <c r="A748" s="14">
        <v>746</v>
      </c>
      <c r="B748" s="14">
        <v>809</v>
      </c>
      <c r="C748" s="14" t="s">
        <v>925</v>
      </c>
      <c r="D748" s="14" t="s">
        <v>926</v>
      </c>
      <c r="E748" s="15" t="str">
        <f>"234.59"</f>
        <v>234.59</v>
      </c>
      <c r="F748" s="15"/>
      <c r="G748" s="16" t="str">
        <f>"300.30"</f>
        <v>300.30</v>
      </c>
      <c r="H748" s="17"/>
      <c r="I748" s="18">
        <v>3</v>
      </c>
      <c r="J748" s="18">
        <v>2016</v>
      </c>
      <c r="K748" s="18" t="str">
        <f>"234.59"</f>
        <v>234.59</v>
      </c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 t="str">
        <f>"257.51"</f>
        <v>257.51</v>
      </c>
      <c r="W748" s="18"/>
      <c r="X748" s="18"/>
      <c r="Y748" s="18"/>
      <c r="Z748" s="18"/>
      <c r="AA748" s="18" t="str">
        <f>"343.09"</f>
        <v>343.09</v>
      </c>
      <c r="AB748" s="18"/>
      <c r="AC748" s="18"/>
      <c r="AD748" s="18"/>
      <c r="AE748" s="18"/>
      <c r="AF748" s="18"/>
      <c r="AG748" s="18"/>
      <c r="AH748" s="18"/>
      <c r="AI748" s="18"/>
    </row>
    <row r="749" spans="1:35">
      <c r="A749" s="14">
        <v>747</v>
      </c>
      <c r="B749" s="14">
        <v>6275</v>
      </c>
      <c r="C749" s="14" t="s">
        <v>927</v>
      </c>
      <c r="D749" s="14" t="s">
        <v>39</v>
      </c>
      <c r="E749" s="15" t="str">
        <f>"303.38"</f>
        <v>303.38</v>
      </c>
      <c r="F749" s="15"/>
      <c r="G749" s="16" t="str">
        <f>"300.40"</f>
        <v>300.40</v>
      </c>
      <c r="H749" s="17" t="s">
        <v>54</v>
      </c>
      <c r="I749" s="18">
        <v>2</v>
      </c>
      <c r="J749" s="18">
        <v>2016</v>
      </c>
      <c r="K749" s="18" t="str">
        <f>"346.35"</f>
        <v>346.35</v>
      </c>
      <c r="L749" s="18"/>
      <c r="M749" s="18"/>
      <c r="N749" s="18"/>
      <c r="O749" s="18"/>
      <c r="P749" s="18" t="str">
        <f>"260.40"</f>
        <v>260.40</v>
      </c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</row>
    <row r="750" spans="1:35">
      <c r="A750" s="14">
        <v>748</v>
      </c>
      <c r="B750" s="14">
        <v>2263</v>
      </c>
      <c r="C750" s="14" t="s">
        <v>928</v>
      </c>
      <c r="D750" s="14" t="s">
        <v>76</v>
      </c>
      <c r="E750" s="15" t="str">
        <f>"301.18"</f>
        <v>301.18</v>
      </c>
      <c r="F750" s="15"/>
      <c r="G750" s="16" t="str">
        <f>"301.18"</f>
        <v>301.18</v>
      </c>
      <c r="H750" s="17"/>
      <c r="I750" s="18">
        <v>3</v>
      </c>
      <c r="J750" s="18">
        <v>2016</v>
      </c>
      <c r="K750" s="18" t="str">
        <f>"381.52"</f>
        <v>381.52</v>
      </c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 t="str">
        <f>"290.74"</f>
        <v>290.74</v>
      </c>
      <c r="Y750" s="18" t="str">
        <f>"311.61"</f>
        <v>311.61</v>
      </c>
      <c r="Z750" s="18"/>
      <c r="AA750" s="18"/>
      <c r="AB750" s="18"/>
      <c r="AC750" s="18" t="str">
        <f>"342.55"</f>
        <v>342.55</v>
      </c>
      <c r="AD750" s="18" t="str">
        <f>"358.89"</f>
        <v>358.89</v>
      </c>
      <c r="AE750" s="18"/>
      <c r="AF750" s="18"/>
      <c r="AG750" s="18"/>
      <c r="AH750" s="18" t="str">
        <f>"327.12"</f>
        <v>327.12</v>
      </c>
      <c r="AI750" s="18"/>
    </row>
    <row r="751" spans="1:35">
      <c r="A751" s="14">
        <v>749</v>
      </c>
      <c r="B751" s="14">
        <v>2505</v>
      </c>
      <c r="C751" s="14" t="s">
        <v>929</v>
      </c>
      <c r="D751" s="14" t="s">
        <v>251</v>
      </c>
      <c r="E751" s="15" t="str">
        <f>"261.55"</f>
        <v>261.55</v>
      </c>
      <c r="F751" s="15"/>
      <c r="G751" s="16" t="str">
        <f>"301.55"</f>
        <v>301.55</v>
      </c>
      <c r="H751" s="17" t="s">
        <v>48</v>
      </c>
      <c r="I751" s="18">
        <v>1</v>
      </c>
      <c r="J751" s="18">
        <v>2016</v>
      </c>
      <c r="K751" s="18" t="str">
        <f>"261.55"</f>
        <v>261.55</v>
      </c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</row>
    <row r="752" spans="1:35">
      <c r="A752" s="14">
        <v>750</v>
      </c>
      <c r="B752" s="14">
        <v>6860</v>
      </c>
      <c r="C752" s="14" t="s">
        <v>930</v>
      </c>
      <c r="D752" s="14" t="s">
        <v>373</v>
      </c>
      <c r="E752" s="15" t="str">
        <f>"261.92"</f>
        <v>261.92</v>
      </c>
      <c r="F752" s="15"/>
      <c r="G752" s="16" t="str">
        <f>"301.92"</f>
        <v>301.92</v>
      </c>
      <c r="H752" s="17" t="s">
        <v>48</v>
      </c>
      <c r="I752" s="18">
        <v>1</v>
      </c>
      <c r="J752" s="18">
        <v>2016</v>
      </c>
      <c r="K752" s="18" t="str">
        <f>"261.92"</f>
        <v>261.92</v>
      </c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</row>
    <row r="753" spans="1:35">
      <c r="A753" s="14">
        <v>751</v>
      </c>
      <c r="B753" s="14">
        <v>4017</v>
      </c>
      <c r="C753" s="14" t="s">
        <v>931</v>
      </c>
      <c r="D753" s="14" t="s">
        <v>148</v>
      </c>
      <c r="E753" s="15" t="str">
        <f>"262.90"</f>
        <v>262.90</v>
      </c>
      <c r="F753" s="15"/>
      <c r="G753" s="16" t="str">
        <f>"302.90"</f>
        <v>302.90</v>
      </c>
      <c r="H753" s="17" t="s">
        <v>48</v>
      </c>
      <c r="I753" s="18">
        <v>1</v>
      </c>
      <c r="J753" s="18">
        <v>2016</v>
      </c>
      <c r="K753" s="18" t="str">
        <f>"262.90"</f>
        <v>262.90</v>
      </c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</row>
    <row r="754" spans="1:35">
      <c r="A754" s="14">
        <v>752</v>
      </c>
      <c r="B754" s="14">
        <v>2668</v>
      </c>
      <c r="C754" s="14" t="s">
        <v>932</v>
      </c>
      <c r="D754" s="14" t="s">
        <v>125</v>
      </c>
      <c r="E754" s="15" t="str">
        <f>"263.20"</f>
        <v>263.20</v>
      </c>
      <c r="F754" s="15"/>
      <c r="G754" s="16" t="str">
        <f>"303.20"</f>
        <v>303.20</v>
      </c>
      <c r="H754" s="17" t="s">
        <v>48</v>
      </c>
      <c r="I754" s="18">
        <v>1</v>
      </c>
      <c r="J754" s="18">
        <v>2016</v>
      </c>
      <c r="K754" s="18" t="str">
        <f>"263.20"</f>
        <v>263.20</v>
      </c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</row>
    <row r="755" spans="1:35">
      <c r="A755" s="14">
        <v>753</v>
      </c>
      <c r="B755" s="14">
        <v>8627</v>
      </c>
      <c r="C755" s="14" t="s">
        <v>933</v>
      </c>
      <c r="D755" s="14" t="s">
        <v>76</v>
      </c>
      <c r="E755" s="15" t="str">
        <f>"303.28"</f>
        <v>303.28</v>
      </c>
      <c r="F755" s="15"/>
      <c r="G755" s="16" t="str">
        <f>"303.28"</f>
        <v>303.28</v>
      </c>
      <c r="H755" s="17"/>
      <c r="I755" s="18">
        <v>3</v>
      </c>
      <c r="J755" s="18">
        <v>2016</v>
      </c>
      <c r="K755" s="18" t="str">
        <f>"313.06"</f>
        <v>313.06</v>
      </c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 t="str">
        <f>"300.47"</f>
        <v>300.47</v>
      </c>
      <c r="Y755" s="18" t="str">
        <f>"306.09"</f>
        <v>306.09</v>
      </c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</row>
    <row r="756" spans="1:35">
      <c r="A756" s="14">
        <v>754</v>
      </c>
      <c r="B756" s="14">
        <v>6590</v>
      </c>
      <c r="C756" s="14" t="s">
        <v>934</v>
      </c>
      <c r="D756" s="14" t="s">
        <v>39</v>
      </c>
      <c r="E756" s="15" t="str">
        <f>"263.54"</f>
        <v>263.54</v>
      </c>
      <c r="F756" s="15"/>
      <c r="G756" s="16" t="str">
        <f>"303.54"</f>
        <v>303.54</v>
      </c>
      <c r="H756" s="17" t="s">
        <v>48</v>
      </c>
      <c r="I756" s="18">
        <v>1</v>
      </c>
      <c r="J756" s="18">
        <v>2016</v>
      </c>
      <c r="K756" s="18" t="str">
        <f>"263.54"</f>
        <v>263.54</v>
      </c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</row>
    <row r="757" spans="1:35">
      <c r="A757" s="14">
        <v>755</v>
      </c>
      <c r="B757" s="14">
        <v>2264</v>
      </c>
      <c r="C757" s="14" t="s">
        <v>935</v>
      </c>
      <c r="D757" s="14" t="s">
        <v>76</v>
      </c>
      <c r="E757" s="15" t="str">
        <f>"261.33"</f>
        <v>261.33</v>
      </c>
      <c r="F757" s="15"/>
      <c r="G757" s="16" t="str">
        <f>"304.06"</f>
        <v>304.06</v>
      </c>
      <c r="H757" s="17"/>
      <c r="I757" s="18">
        <v>3</v>
      </c>
      <c r="J757" s="18">
        <v>2016</v>
      </c>
      <c r="K757" s="18" t="str">
        <f>"261.33"</f>
        <v>261.33</v>
      </c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 t="str">
        <f>"343.43"</f>
        <v>343.43</v>
      </c>
      <c r="Y757" s="18"/>
      <c r="Z757" s="18"/>
      <c r="AA757" s="18"/>
      <c r="AB757" s="18"/>
      <c r="AC757" s="18" t="str">
        <f>"303.62"</f>
        <v>303.62</v>
      </c>
      <c r="AD757" s="18" t="str">
        <f>"329.91"</f>
        <v>329.91</v>
      </c>
      <c r="AE757" s="18" t="str">
        <f>"343.37"</f>
        <v>343.37</v>
      </c>
      <c r="AF757" s="18" t="str">
        <f>"304.50"</f>
        <v>304.50</v>
      </c>
      <c r="AG757" s="18"/>
      <c r="AH757" s="18" t="str">
        <f>"326.19"</f>
        <v>326.19</v>
      </c>
      <c r="AI757" s="18"/>
    </row>
    <row r="758" spans="1:35">
      <c r="A758" s="14">
        <v>756</v>
      </c>
      <c r="B758" s="14">
        <v>8363</v>
      </c>
      <c r="C758" s="14" t="s">
        <v>936</v>
      </c>
      <c r="D758" s="14" t="s">
        <v>590</v>
      </c>
      <c r="E758" s="15" t="str">
        <f>"264.11"</f>
        <v>264.11</v>
      </c>
      <c r="F758" s="15"/>
      <c r="G758" s="16" t="str">
        <f>"304.11"</f>
        <v>304.11</v>
      </c>
      <c r="H758" s="17" t="s">
        <v>48</v>
      </c>
      <c r="I758" s="18">
        <v>1</v>
      </c>
      <c r="J758" s="18">
        <v>2016</v>
      </c>
      <c r="K758" s="18" t="str">
        <f>"264.11"</f>
        <v>264.11</v>
      </c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</row>
    <row r="759" spans="1:35">
      <c r="A759" s="14">
        <v>757</v>
      </c>
      <c r="B759" s="14">
        <v>10372</v>
      </c>
      <c r="C759" s="14" t="s">
        <v>937</v>
      </c>
      <c r="D759" s="14" t="s">
        <v>45</v>
      </c>
      <c r="E759" s="15" t="str">
        <f>"264.33"</f>
        <v>264.33</v>
      </c>
      <c r="F759" s="15"/>
      <c r="G759" s="16" t="str">
        <f>"304.33"</f>
        <v>304.33</v>
      </c>
      <c r="H759" s="17" t="s">
        <v>48</v>
      </c>
      <c r="I759" s="18">
        <v>1</v>
      </c>
      <c r="J759" s="18">
        <v>2016</v>
      </c>
      <c r="K759" s="18" t="str">
        <f>"264.33"</f>
        <v>264.33</v>
      </c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</row>
    <row r="760" spans="1:35">
      <c r="A760" s="14">
        <v>758</v>
      </c>
      <c r="B760" s="14">
        <v>2919</v>
      </c>
      <c r="C760" s="14" t="s">
        <v>938</v>
      </c>
      <c r="D760" s="14" t="s">
        <v>122</v>
      </c>
      <c r="E760" s="15" t="str">
        <f>"169.67"</f>
        <v>169.67</v>
      </c>
      <c r="F760" s="15"/>
      <c r="G760" s="16" t="str">
        <f>"304.46"</f>
        <v>304.46</v>
      </c>
      <c r="H760" s="17" t="s">
        <v>54</v>
      </c>
      <c r="I760" s="18">
        <v>2</v>
      </c>
      <c r="J760" s="18">
        <v>2016</v>
      </c>
      <c r="K760" s="18" t="str">
        <f>"169.67"</f>
        <v>169.67</v>
      </c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 t="str">
        <f>"264.46"</f>
        <v>264.46</v>
      </c>
      <c r="AH760" s="18"/>
      <c r="AI760" s="18"/>
    </row>
    <row r="761" spans="1:35">
      <c r="A761" s="14">
        <v>759</v>
      </c>
      <c r="B761" s="14">
        <v>4386</v>
      </c>
      <c r="C761" s="14" t="s">
        <v>939</v>
      </c>
      <c r="D761" s="14" t="s">
        <v>410</v>
      </c>
      <c r="E761" s="15" t="str">
        <f>"264.51"</f>
        <v>264.51</v>
      </c>
      <c r="F761" s="15"/>
      <c r="G761" s="16" t="str">
        <f>"304.51"</f>
        <v>304.51</v>
      </c>
      <c r="H761" s="17" t="s">
        <v>48</v>
      </c>
      <c r="I761" s="18">
        <v>1</v>
      </c>
      <c r="J761" s="18">
        <v>2016</v>
      </c>
      <c r="K761" s="18" t="str">
        <f>"264.51"</f>
        <v>264.51</v>
      </c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</row>
    <row r="762" spans="1:35">
      <c r="A762" s="14">
        <v>760</v>
      </c>
      <c r="B762" s="14">
        <v>7639</v>
      </c>
      <c r="C762" s="14" t="s">
        <v>940</v>
      </c>
      <c r="D762" s="14" t="s">
        <v>899</v>
      </c>
      <c r="E762" s="15" t="str">
        <f>"264.57"</f>
        <v>264.57</v>
      </c>
      <c r="F762" s="15"/>
      <c r="G762" s="16" t="str">
        <f>"304.57"</f>
        <v>304.57</v>
      </c>
      <c r="H762" s="17" t="s">
        <v>48</v>
      </c>
      <c r="I762" s="18">
        <v>1</v>
      </c>
      <c r="J762" s="18">
        <v>2016</v>
      </c>
      <c r="K762" s="18" t="str">
        <f>"264.57"</f>
        <v>264.57</v>
      </c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</row>
    <row r="763" spans="1:35">
      <c r="A763" s="14">
        <v>761</v>
      </c>
      <c r="B763" s="14">
        <v>805</v>
      </c>
      <c r="C763" s="14" t="s">
        <v>941</v>
      </c>
      <c r="D763" s="14" t="s">
        <v>93</v>
      </c>
      <c r="E763" s="15" t="str">
        <f>"128.90"</f>
        <v>128.90</v>
      </c>
      <c r="F763" s="15"/>
      <c r="G763" s="16" t="str">
        <f>"304.75"</f>
        <v>304.75</v>
      </c>
      <c r="H763" s="17" t="s">
        <v>54</v>
      </c>
      <c r="I763" s="18">
        <v>2</v>
      </c>
      <c r="J763" s="18">
        <v>2016</v>
      </c>
      <c r="K763" s="18" t="str">
        <f>"128.90"</f>
        <v>128.90</v>
      </c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 t="str">
        <f>"264.75"</f>
        <v>264.75</v>
      </c>
      <c r="AB763" s="18"/>
      <c r="AC763" s="18"/>
      <c r="AD763" s="18"/>
      <c r="AE763" s="18"/>
      <c r="AF763" s="18"/>
      <c r="AG763" s="18"/>
      <c r="AH763" s="18"/>
      <c r="AI763" s="18"/>
    </row>
    <row r="764" spans="1:35">
      <c r="A764" s="14">
        <v>762</v>
      </c>
      <c r="B764" s="14">
        <v>10436</v>
      </c>
      <c r="C764" s="14" t="s">
        <v>942</v>
      </c>
      <c r="D764" s="14" t="s">
        <v>98</v>
      </c>
      <c r="E764" s="15" t="str">
        <f>"305.08"</f>
        <v>305.08</v>
      </c>
      <c r="F764" s="15"/>
      <c r="G764" s="16" t="str">
        <f>"305.08"</f>
        <v>305.08</v>
      </c>
      <c r="H764" s="17"/>
      <c r="I764" s="18">
        <v>3</v>
      </c>
      <c r="J764" s="18">
        <v>2016</v>
      </c>
      <c r="K764" s="18" t="str">
        <f>"502.51"</f>
        <v>502.51</v>
      </c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 t="str">
        <f>"272.32"</f>
        <v>272.32</v>
      </c>
      <c r="AA764" s="18"/>
      <c r="AB764" s="18"/>
      <c r="AC764" s="18"/>
      <c r="AD764" s="18"/>
      <c r="AE764" s="18"/>
      <c r="AF764" s="18"/>
      <c r="AG764" s="18"/>
      <c r="AH764" s="18"/>
      <c r="AI764" s="18" t="str">
        <f>"337.83"</f>
        <v>337.83</v>
      </c>
    </row>
    <row r="765" spans="1:35">
      <c r="A765" s="14">
        <v>763</v>
      </c>
      <c r="B765" s="14">
        <v>3369</v>
      </c>
      <c r="C765" s="14" t="s">
        <v>943</v>
      </c>
      <c r="D765" s="14" t="s">
        <v>299</v>
      </c>
      <c r="E765" s="15" t="str">
        <f>"305.75"</f>
        <v>305.75</v>
      </c>
      <c r="F765" s="15"/>
      <c r="G765" s="16" t="str">
        <f>"305.75"</f>
        <v>305.75</v>
      </c>
      <c r="H765" s="17" t="s">
        <v>54</v>
      </c>
      <c r="I765" s="18">
        <v>4</v>
      </c>
      <c r="J765" s="18">
        <v>2016</v>
      </c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 t="str">
        <f>"265.75"</f>
        <v>265.75</v>
      </c>
      <c r="AC765" s="18"/>
      <c r="AD765" s="18"/>
      <c r="AE765" s="18"/>
      <c r="AF765" s="18"/>
      <c r="AG765" s="18"/>
      <c r="AH765" s="18"/>
      <c r="AI765" s="18"/>
    </row>
    <row r="766" spans="1:35">
      <c r="A766" s="14">
        <v>764</v>
      </c>
      <c r="B766" s="14">
        <v>6692</v>
      </c>
      <c r="C766" s="14" t="s">
        <v>944</v>
      </c>
      <c r="D766" s="14" t="s">
        <v>89</v>
      </c>
      <c r="E766" s="15" t="str">
        <f>"324.80"</f>
        <v>324.80</v>
      </c>
      <c r="F766" s="15"/>
      <c r="G766" s="16" t="str">
        <f>"307.37"</f>
        <v>307.37</v>
      </c>
      <c r="H766" s="17" t="s">
        <v>54</v>
      </c>
      <c r="I766" s="18">
        <v>2</v>
      </c>
      <c r="J766" s="18">
        <v>2016</v>
      </c>
      <c r="K766" s="18" t="str">
        <f>"382.23"</f>
        <v>382.23</v>
      </c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 t="str">
        <f>"267.37"</f>
        <v>267.37</v>
      </c>
      <c r="AI766" s="18"/>
    </row>
    <row r="767" spans="1:35">
      <c r="A767" s="14">
        <v>765</v>
      </c>
      <c r="B767" s="14">
        <v>5512</v>
      </c>
      <c r="C767" s="14" t="s">
        <v>945</v>
      </c>
      <c r="D767" s="14" t="s">
        <v>76</v>
      </c>
      <c r="E767" s="15" t="str">
        <f>"188.55"</f>
        <v>188.55</v>
      </c>
      <c r="F767" s="15"/>
      <c r="G767" s="16" t="str">
        <f>"308.29"</f>
        <v>308.29</v>
      </c>
      <c r="H767" s="17" t="s">
        <v>54</v>
      </c>
      <c r="I767" s="18">
        <v>2</v>
      </c>
      <c r="J767" s="18">
        <v>2016</v>
      </c>
      <c r="K767" s="18" t="str">
        <f>"188.55"</f>
        <v>188.55</v>
      </c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 t="str">
        <f>"268.29"</f>
        <v>268.29</v>
      </c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</row>
    <row r="768" spans="1:35">
      <c r="A768" s="14">
        <v>766</v>
      </c>
      <c r="B768" s="14">
        <v>6712</v>
      </c>
      <c r="C768" s="14" t="s">
        <v>946</v>
      </c>
      <c r="D768" s="14" t="s">
        <v>41</v>
      </c>
      <c r="E768" s="15" t="str">
        <f>"268.68"</f>
        <v>268.68</v>
      </c>
      <c r="F768" s="15"/>
      <c r="G768" s="16" t="str">
        <f>"308.68"</f>
        <v>308.68</v>
      </c>
      <c r="H768" s="17" t="s">
        <v>48</v>
      </c>
      <c r="I768" s="18">
        <v>1</v>
      </c>
      <c r="J768" s="18">
        <v>2016</v>
      </c>
      <c r="K768" s="18" t="str">
        <f>"268.68"</f>
        <v>268.68</v>
      </c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</row>
    <row r="769" spans="1:35">
      <c r="A769" s="14">
        <v>767</v>
      </c>
      <c r="B769" s="14">
        <v>10680</v>
      </c>
      <c r="C769" s="14" t="s">
        <v>947</v>
      </c>
      <c r="D769" s="14" t="s">
        <v>98</v>
      </c>
      <c r="E769" s="15" t="str">
        <f>"309.03"</f>
        <v>309.03</v>
      </c>
      <c r="F769" s="15"/>
      <c r="G769" s="16" t="str">
        <f>"309.03"</f>
        <v>309.03</v>
      </c>
      <c r="H769" s="17"/>
      <c r="I769" s="18">
        <v>3</v>
      </c>
      <c r="J769" s="18">
        <v>2016</v>
      </c>
      <c r="K769" s="18" t="str">
        <f>"427.44"</f>
        <v>427.44</v>
      </c>
      <c r="L769" s="18"/>
      <c r="M769" s="18"/>
      <c r="N769" s="18"/>
      <c r="O769" s="18"/>
      <c r="P769" s="18"/>
      <c r="Q769" s="18"/>
      <c r="R769" s="18"/>
      <c r="S769" s="18"/>
      <c r="T769" s="18"/>
      <c r="U769" s="18" t="str">
        <f>"348.94"</f>
        <v>348.94</v>
      </c>
      <c r="V769" s="18"/>
      <c r="W769" s="18"/>
      <c r="X769" s="18"/>
      <c r="Y769" s="18"/>
      <c r="Z769" s="18" t="str">
        <f>"269.12"</f>
        <v>269.12</v>
      </c>
      <c r="AA769" s="18"/>
      <c r="AB769" s="18"/>
      <c r="AC769" s="18"/>
      <c r="AD769" s="18"/>
      <c r="AE769" s="18"/>
      <c r="AF769" s="18"/>
      <c r="AG769" s="18"/>
      <c r="AH769" s="18"/>
      <c r="AI769" s="18"/>
    </row>
    <row r="770" spans="1:35">
      <c r="A770" s="14">
        <v>768</v>
      </c>
      <c r="B770" s="14">
        <v>8476</v>
      </c>
      <c r="C770" s="14" t="s">
        <v>948</v>
      </c>
      <c r="D770" s="14" t="s">
        <v>76</v>
      </c>
      <c r="E770" s="15" t="str">
        <f>"269.73"</f>
        <v>269.73</v>
      </c>
      <c r="F770" s="15"/>
      <c r="G770" s="16" t="str">
        <f>"309.73"</f>
        <v>309.73</v>
      </c>
      <c r="H770" s="17" t="s">
        <v>48</v>
      </c>
      <c r="I770" s="18">
        <v>1</v>
      </c>
      <c r="J770" s="18">
        <v>2016</v>
      </c>
      <c r="K770" s="18" t="str">
        <f>"269.73"</f>
        <v>269.73</v>
      </c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</row>
    <row r="771" spans="1:35">
      <c r="A771" s="14">
        <v>769</v>
      </c>
      <c r="B771" s="14">
        <v>484</v>
      </c>
      <c r="C771" s="14" t="s">
        <v>949</v>
      </c>
      <c r="D771" s="14" t="s">
        <v>84</v>
      </c>
      <c r="E771" s="15" t="str">
        <f>"269.73"</f>
        <v>269.73</v>
      </c>
      <c r="F771" s="15"/>
      <c r="G771" s="16" t="str">
        <f>"309.73"</f>
        <v>309.73</v>
      </c>
      <c r="H771" s="17" t="s">
        <v>48</v>
      </c>
      <c r="I771" s="18">
        <v>1</v>
      </c>
      <c r="J771" s="18">
        <v>2016</v>
      </c>
      <c r="K771" s="18" t="str">
        <f>"269.73"</f>
        <v>269.73</v>
      </c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</row>
    <row r="772" spans="1:35">
      <c r="A772" s="14">
        <v>770</v>
      </c>
      <c r="B772" s="14">
        <v>10024</v>
      </c>
      <c r="C772" s="14" t="s">
        <v>950</v>
      </c>
      <c r="D772" s="14" t="s">
        <v>76</v>
      </c>
      <c r="E772" s="15" t="str">
        <f>"309.92"</f>
        <v>309.92</v>
      </c>
      <c r="F772" s="15"/>
      <c r="G772" s="16" t="str">
        <f>"309.92"</f>
        <v>309.92</v>
      </c>
      <c r="H772" s="17"/>
      <c r="I772" s="18">
        <v>3</v>
      </c>
      <c r="J772" s="18">
        <v>2016</v>
      </c>
      <c r="K772" s="18" t="str">
        <f>"344.29"</f>
        <v>344.29</v>
      </c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 t="str">
        <f>"306.01"</f>
        <v>306.01</v>
      </c>
      <c r="Y772" s="18" t="str">
        <f>"313.83"</f>
        <v>313.83</v>
      </c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</row>
    <row r="773" spans="1:35">
      <c r="A773" s="14">
        <v>771</v>
      </c>
      <c r="B773" s="14">
        <v>11008</v>
      </c>
      <c r="C773" s="14" t="s">
        <v>951</v>
      </c>
      <c r="D773" s="14" t="s">
        <v>56</v>
      </c>
      <c r="E773" s="15" t="str">
        <f>"309.98"</f>
        <v>309.98</v>
      </c>
      <c r="F773" s="15"/>
      <c r="G773" s="16" t="str">
        <f>"309.98"</f>
        <v>309.98</v>
      </c>
      <c r="H773" s="17"/>
      <c r="I773" s="18">
        <v>5</v>
      </c>
      <c r="J773" s="18">
        <v>2016</v>
      </c>
      <c r="K773" s="18"/>
      <c r="L773" s="18"/>
      <c r="M773" s="18"/>
      <c r="N773" s="18"/>
      <c r="O773" s="18"/>
      <c r="P773" s="18" t="str">
        <f>"260.06"</f>
        <v>260.06</v>
      </c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 t="str">
        <f>"359.89"</f>
        <v>359.89</v>
      </c>
      <c r="AB773" s="18"/>
      <c r="AC773" s="18"/>
      <c r="AD773" s="18"/>
      <c r="AE773" s="18"/>
      <c r="AF773" s="18"/>
      <c r="AG773" s="18"/>
      <c r="AH773" s="18"/>
      <c r="AI773" s="18"/>
    </row>
    <row r="774" spans="1:35">
      <c r="A774" s="14">
        <v>772</v>
      </c>
      <c r="B774" s="14">
        <v>3310</v>
      </c>
      <c r="C774" s="14" t="s">
        <v>952</v>
      </c>
      <c r="D774" s="14" t="s">
        <v>53</v>
      </c>
      <c r="E774" s="15" t="str">
        <f>"270.04"</f>
        <v>270.04</v>
      </c>
      <c r="F774" s="15"/>
      <c r="G774" s="16" t="str">
        <f>"310.04"</f>
        <v>310.04</v>
      </c>
      <c r="H774" s="17" t="s">
        <v>48</v>
      </c>
      <c r="I774" s="18">
        <v>1</v>
      </c>
      <c r="J774" s="18">
        <v>2016</v>
      </c>
      <c r="K774" s="18" t="str">
        <f>"270.04"</f>
        <v>270.04</v>
      </c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</row>
    <row r="775" spans="1:35">
      <c r="A775" s="14">
        <v>773</v>
      </c>
      <c r="B775" s="14">
        <v>10495</v>
      </c>
      <c r="C775" s="14" t="s">
        <v>953</v>
      </c>
      <c r="D775" s="14" t="s">
        <v>98</v>
      </c>
      <c r="E775" s="15" t="str">
        <f>"310.04"</f>
        <v>310.04</v>
      </c>
      <c r="F775" s="15"/>
      <c r="G775" s="16" t="str">
        <f>"310.04"</f>
        <v>310.04</v>
      </c>
      <c r="H775" s="17" t="s">
        <v>54</v>
      </c>
      <c r="I775" s="18">
        <v>4</v>
      </c>
      <c r="J775" s="18">
        <v>2016</v>
      </c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 t="str">
        <f>"270.04"</f>
        <v>270.04</v>
      </c>
      <c r="AA775" s="18"/>
      <c r="AB775" s="18"/>
      <c r="AC775" s="18"/>
      <c r="AD775" s="18"/>
      <c r="AE775" s="18"/>
      <c r="AF775" s="18"/>
      <c r="AG775" s="18"/>
      <c r="AH775" s="18"/>
      <c r="AI775" s="18"/>
    </row>
    <row r="776" spans="1:35">
      <c r="A776" s="14">
        <v>774</v>
      </c>
      <c r="B776" s="14">
        <v>5337</v>
      </c>
      <c r="C776" s="14" t="s">
        <v>954</v>
      </c>
      <c r="D776" s="14" t="s">
        <v>200</v>
      </c>
      <c r="E776" s="15" t="str">
        <f>"310.07"</f>
        <v>310.07</v>
      </c>
      <c r="F776" s="15"/>
      <c r="G776" s="16" t="str">
        <f>"310.07"</f>
        <v>310.07</v>
      </c>
      <c r="H776" s="17"/>
      <c r="I776" s="18">
        <v>3</v>
      </c>
      <c r="J776" s="18">
        <v>2016</v>
      </c>
      <c r="K776" s="18" t="str">
        <f>"459.33"</f>
        <v>459.33</v>
      </c>
      <c r="L776" s="18"/>
      <c r="M776" s="18"/>
      <c r="N776" s="18"/>
      <c r="O776" s="18"/>
      <c r="P776" s="18" t="str">
        <f>"367.17"</f>
        <v>367.17</v>
      </c>
      <c r="Q776" s="18"/>
      <c r="R776" s="18" t="str">
        <f>"324.82"</f>
        <v>324.82</v>
      </c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 t="str">
        <f>"295.32"</f>
        <v>295.32</v>
      </c>
    </row>
    <row r="777" spans="1:35">
      <c r="A777" s="14">
        <v>775</v>
      </c>
      <c r="B777" s="14">
        <v>5746</v>
      </c>
      <c r="C777" s="14" t="s">
        <v>955</v>
      </c>
      <c r="D777" s="14" t="s">
        <v>81</v>
      </c>
      <c r="E777" s="15" t="str">
        <f>"284.29"</f>
        <v>284.29</v>
      </c>
      <c r="F777" s="15"/>
      <c r="G777" s="16" t="str">
        <f>"310.20"</f>
        <v>310.20</v>
      </c>
      <c r="H777" s="17"/>
      <c r="I777" s="18">
        <v>3</v>
      </c>
      <c r="J777" s="18">
        <v>2016</v>
      </c>
      <c r="K777" s="18" t="str">
        <f>"284.29"</f>
        <v>284.29</v>
      </c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 t="str">
        <f>"308.34"</f>
        <v>308.34</v>
      </c>
      <c r="W777" s="18"/>
      <c r="X777" s="18"/>
      <c r="Y777" s="18"/>
      <c r="Z777" s="18"/>
      <c r="AA777" s="18"/>
      <c r="AB777" s="18" t="str">
        <f>"332.16"</f>
        <v>332.16</v>
      </c>
      <c r="AC777" s="18"/>
      <c r="AD777" s="18"/>
      <c r="AE777" s="18" t="str">
        <f>"312.06"</f>
        <v>312.06</v>
      </c>
      <c r="AF777" s="18" t="str">
        <f>"369.36"</f>
        <v>369.36</v>
      </c>
      <c r="AG777" s="18" t="str">
        <f>"341.63"</f>
        <v>341.63</v>
      </c>
      <c r="AH777" s="18"/>
      <c r="AI777" s="18"/>
    </row>
    <row r="778" spans="1:35">
      <c r="A778" s="14">
        <v>776</v>
      </c>
      <c r="B778" s="14">
        <v>10227</v>
      </c>
      <c r="C778" s="14" t="s">
        <v>956</v>
      </c>
      <c r="D778" s="14" t="s">
        <v>330</v>
      </c>
      <c r="E778" s="15" t="str">
        <f>"310.37"</f>
        <v>310.37</v>
      </c>
      <c r="F778" s="15"/>
      <c r="G778" s="16" t="str">
        <f>"310.37"</f>
        <v>310.37</v>
      </c>
      <c r="H778" s="17"/>
      <c r="I778" s="18">
        <v>3</v>
      </c>
      <c r="J778" s="18">
        <v>2016</v>
      </c>
      <c r="K778" s="18" t="str">
        <f>"396.36"</f>
        <v>396.36</v>
      </c>
      <c r="L778" s="18"/>
      <c r="M778" s="18"/>
      <c r="N778" s="18"/>
      <c r="O778" s="18"/>
      <c r="P778" s="18" t="str">
        <f>"336.18"</f>
        <v>336.18</v>
      </c>
      <c r="Q778" s="18"/>
      <c r="R778" s="18" t="str">
        <f>"284.55"</f>
        <v>284.55</v>
      </c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</row>
    <row r="779" spans="1:35">
      <c r="A779" s="14">
        <v>777</v>
      </c>
      <c r="B779" s="14">
        <v>10823</v>
      </c>
      <c r="C779" s="14" t="s">
        <v>957</v>
      </c>
      <c r="D779" s="14" t="s">
        <v>98</v>
      </c>
      <c r="E779" s="15" t="str">
        <f>"310.50"</f>
        <v>310.50</v>
      </c>
      <c r="F779" s="15"/>
      <c r="G779" s="16" t="str">
        <f>"310.50"</f>
        <v>310.50</v>
      </c>
      <c r="H779" s="17" t="s">
        <v>54</v>
      </c>
      <c r="I779" s="18">
        <v>4</v>
      </c>
      <c r="J779" s="18">
        <v>2016</v>
      </c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 t="str">
        <f>"270.50"</f>
        <v>270.50</v>
      </c>
      <c r="AA779" s="18"/>
      <c r="AB779" s="18"/>
      <c r="AC779" s="18"/>
      <c r="AD779" s="18"/>
      <c r="AE779" s="18"/>
      <c r="AF779" s="18"/>
      <c r="AG779" s="18"/>
      <c r="AH779" s="18"/>
      <c r="AI779" s="18"/>
    </row>
    <row r="780" spans="1:35">
      <c r="A780" s="14">
        <v>778</v>
      </c>
      <c r="B780" s="14">
        <v>8333</v>
      </c>
      <c r="C780" s="14" t="s">
        <v>958</v>
      </c>
      <c r="D780" s="14" t="s">
        <v>148</v>
      </c>
      <c r="E780" s="15" t="str">
        <f>"226.60"</f>
        <v>226.60</v>
      </c>
      <c r="F780" s="15"/>
      <c r="G780" s="16" t="str">
        <f>"310.99"</f>
        <v>310.99</v>
      </c>
      <c r="H780" s="17"/>
      <c r="I780" s="18">
        <v>3</v>
      </c>
      <c r="J780" s="18">
        <v>2016</v>
      </c>
      <c r="K780" s="18" t="str">
        <f>"226.60"</f>
        <v>226.60</v>
      </c>
      <c r="L780" s="18"/>
      <c r="M780" s="18"/>
      <c r="N780" s="18"/>
      <c r="O780" s="18"/>
      <c r="P780" s="18" t="str">
        <f>"360.02"</f>
        <v>360.02</v>
      </c>
      <c r="Q780" s="18"/>
      <c r="R780" s="18"/>
      <c r="S780" s="18" t="str">
        <f>"313.02"</f>
        <v>313.02</v>
      </c>
      <c r="T780" s="18" t="str">
        <f>"308.96"</f>
        <v>308.96</v>
      </c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</row>
    <row r="781" spans="1:35">
      <c r="A781" s="14">
        <v>779</v>
      </c>
      <c r="B781" s="14">
        <v>2242</v>
      </c>
      <c r="C781" s="14" t="s">
        <v>959</v>
      </c>
      <c r="D781" s="14" t="s">
        <v>76</v>
      </c>
      <c r="E781" s="15" t="str">
        <f>"187.71"</f>
        <v>187.71</v>
      </c>
      <c r="F781" s="15"/>
      <c r="G781" s="16" t="str">
        <f>"311.41"</f>
        <v>311.41</v>
      </c>
      <c r="H781" s="17" t="s">
        <v>54</v>
      </c>
      <c r="I781" s="18">
        <v>2</v>
      </c>
      <c r="J781" s="18">
        <v>2016</v>
      </c>
      <c r="K781" s="18" t="str">
        <f>"187.71"</f>
        <v>187.71</v>
      </c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 t="str">
        <f>"271.41"</f>
        <v>271.41</v>
      </c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</row>
    <row r="782" spans="1:35">
      <c r="A782" s="14">
        <v>780</v>
      </c>
      <c r="B782" s="14">
        <v>10636</v>
      </c>
      <c r="C782" s="14" t="s">
        <v>960</v>
      </c>
      <c r="D782" s="14" t="s">
        <v>76</v>
      </c>
      <c r="E782" s="15" t="str">
        <f>"311.65"</f>
        <v>311.65</v>
      </c>
      <c r="F782" s="15"/>
      <c r="G782" s="16" t="str">
        <f>"311.65"</f>
        <v>311.65</v>
      </c>
      <c r="H782" s="17"/>
      <c r="I782" s="18">
        <v>5</v>
      </c>
      <c r="J782" s="18">
        <v>2016</v>
      </c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 t="str">
        <f>"348.30"</f>
        <v>348.30</v>
      </c>
      <c r="Y782" s="18" t="str">
        <f>"381.77"</f>
        <v>381.77</v>
      </c>
      <c r="Z782" s="18"/>
      <c r="AA782" s="18"/>
      <c r="AB782" s="18"/>
      <c r="AC782" s="18" t="str">
        <f>"281.01"</f>
        <v>281.01</v>
      </c>
      <c r="AD782" s="18" t="str">
        <f>"342.28"</f>
        <v>342.28</v>
      </c>
      <c r="AE782" s="18"/>
      <c r="AF782" s="18"/>
      <c r="AG782" s="18"/>
      <c r="AH782" s="18"/>
      <c r="AI782" s="18"/>
    </row>
    <row r="783" spans="1:35">
      <c r="A783" s="14">
        <v>781</v>
      </c>
      <c r="B783" s="14">
        <v>10422</v>
      </c>
      <c r="C783" s="14" t="s">
        <v>961</v>
      </c>
      <c r="D783" s="14" t="s">
        <v>76</v>
      </c>
      <c r="E783" s="15" t="str">
        <f>"273.62"</f>
        <v>273.62</v>
      </c>
      <c r="F783" s="15"/>
      <c r="G783" s="16" t="str">
        <f>"311.70"</f>
        <v>311.70</v>
      </c>
      <c r="H783" s="17"/>
      <c r="I783" s="18">
        <v>3</v>
      </c>
      <c r="J783" s="18">
        <v>2016</v>
      </c>
      <c r="K783" s="18" t="str">
        <f>"283.77"</f>
        <v>283.77</v>
      </c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 t="str">
        <f>"359.92"</f>
        <v>359.92</v>
      </c>
      <c r="Y783" s="18" t="str">
        <f>"263.47"</f>
        <v>263.47</v>
      </c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</row>
    <row r="784" spans="1:35">
      <c r="A784" s="14">
        <v>782</v>
      </c>
      <c r="B784" s="14">
        <v>4346</v>
      </c>
      <c r="C784" s="14" t="s">
        <v>962</v>
      </c>
      <c r="D784" s="14" t="s">
        <v>41</v>
      </c>
      <c r="E784" s="15" t="str">
        <f>"311.81"</f>
        <v>311.81</v>
      </c>
      <c r="F784" s="15"/>
      <c r="G784" s="16" t="str">
        <f>"311.81"</f>
        <v>311.81</v>
      </c>
      <c r="H784" s="17"/>
      <c r="I784" s="18">
        <v>3</v>
      </c>
      <c r="J784" s="18">
        <v>2016</v>
      </c>
      <c r="K784" s="18" t="str">
        <f>"345.55"</f>
        <v>345.55</v>
      </c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 t="str">
        <f>"297.06"</f>
        <v>297.06</v>
      </c>
      <c r="AF784" s="18" t="str">
        <f>"326.55"</f>
        <v>326.55</v>
      </c>
      <c r="AG784" s="18"/>
      <c r="AH784" s="18"/>
      <c r="AI784" s="18"/>
    </row>
    <row r="785" spans="1:35">
      <c r="A785" s="14">
        <v>783</v>
      </c>
      <c r="B785" s="14">
        <v>13</v>
      </c>
      <c r="C785" s="14" t="s">
        <v>963</v>
      </c>
      <c r="D785" s="14" t="s">
        <v>964</v>
      </c>
      <c r="E785" s="15" t="str">
        <f>"225.05"</f>
        <v>225.05</v>
      </c>
      <c r="F785" s="15"/>
      <c r="G785" s="16" t="str">
        <f>"313.73"</f>
        <v>313.73</v>
      </c>
      <c r="H785" s="17" t="s">
        <v>54</v>
      </c>
      <c r="I785" s="18">
        <v>2</v>
      </c>
      <c r="J785" s="18">
        <v>2016</v>
      </c>
      <c r="K785" s="18" t="str">
        <f>"225.05"</f>
        <v>225.05</v>
      </c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 t="str">
        <f>"273.73"</f>
        <v>273.73</v>
      </c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</row>
    <row r="786" spans="1:35">
      <c r="A786" s="14">
        <v>784</v>
      </c>
      <c r="B786" s="14">
        <v>8456</v>
      </c>
      <c r="C786" s="14" t="s">
        <v>965</v>
      </c>
      <c r="D786" s="14" t="s">
        <v>76</v>
      </c>
      <c r="E786" s="15" t="str">
        <f>"301.55"</f>
        <v>301.55</v>
      </c>
      <c r="F786" s="15"/>
      <c r="G786" s="16" t="str">
        <f>"314.05"</f>
        <v>314.05</v>
      </c>
      <c r="H786" s="17"/>
      <c r="I786" s="18">
        <v>3</v>
      </c>
      <c r="J786" s="18">
        <v>2016</v>
      </c>
      <c r="K786" s="18" t="str">
        <f>"320.22"</f>
        <v>320.22</v>
      </c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 t="str">
        <f>"358.30"</f>
        <v>358.30</v>
      </c>
      <c r="Y786" s="18" t="str">
        <f>"399.46"</f>
        <v>399.46</v>
      </c>
      <c r="Z786" s="18"/>
      <c r="AA786" s="18"/>
      <c r="AB786" s="18"/>
      <c r="AC786" s="18" t="str">
        <f>"282.88"</f>
        <v>282.88</v>
      </c>
      <c r="AD786" s="18" t="str">
        <f>"345.21"</f>
        <v>345.21</v>
      </c>
      <c r="AE786" s="18"/>
      <c r="AF786" s="18"/>
      <c r="AG786" s="18"/>
      <c r="AH786" s="18"/>
      <c r="AI786" s="18"/>
    </row>
    <row r="787" spans="1:35">
      <c r="A787" s="14">
        <v>785</v>
      </c>
      <c r="B787" s="14">
        <v>2454</v>
      </c>
      <c r="C787" s="14" t="s">
        <v>966</v>
      </c>
      <c r="D787" s="14" t="s">
        <v>899</v>
      </c>
      <c r="E787" s="15" t="str">
        <f>"274.78"</f>
        <v>274.78</v>
      </c>
      <c r="F787" s="15"/>
      <c r="G787" s="16" t="str">
        <f>"314.78"</f>
        <v>314.78</v>
      </c>
      <c r="H787" s="17" t="s">
        <v>48</v>
      </c>
      <c r="I787" s="18">
        <v>1</v>
      </c>
      <c r="J787" s="18">
        <v>2016</v>
      </c>
      <c r="K787" s="18" t="str">
        <f>"274.78"</f>
        <v>274.78</v>
      </c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</row>
    <row r="788" spans="1:35">
      <c r="A788" s="14">
        <v>786</v>
      </c>
      <c r="B788" s="14">
        <v>10151</v>
      </c>
      <c r="C788" s="14" t="s">
        <v>967</v>
      </c>
      <c r="D788" s="14" t="s">
        <v>98</v>
      </c>
      <c r="E788" s="15" t="str">
        <f>"314.90"</f>
        <v>314.90</v>
      </c>
      <c r="F788" s="15"/>
      <c r="G788" s="16" t="str">
        <f>"314.90"</f>
        <v>314.90</v>
      </c>
      <c r="H788" s="17"/>
      <c r="I788" s="18">
        <v>3</v>
      </c>
      <c r="J788" s="18">
        <v>2016</v>
      </c>
      <c r="K788" s="18" t="str">
        <f>"385.98"</f>
        <v>385.98</v>
      </c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 t="str">
        <f>"323.06"</f>
        <v>323.06</v>
      </c>
      <c r="AA788" s="18"/>
      <c r="AB788" s="18"/>
      <c r="AC788" s="18"/>
      <c r="AD788" s="18"/>
      <c r="AE788" s="18"/>
      <c r="AF788" s="18"/>
      <c r="AG788" s="18"/>
      <c r="AH788" s="18"/>
      <c r="AI788" s="18" t="str">
        <f>"306.74"</f>
        <v>306.74</v>
      </c>
    </row>
    <row r="789" spans="1:35">
      <c r="A789" s="14">
        <v>787</v>
      </c>
      <c r="B789" s="14">
        <v>5374</v>
      </c>
      <c r="C789" s="14" t="s">
        <v>968</v>
      </c>
      <c r="D789" s="14" t="s">
        <v>299</v>
      </c>
      <c r="E789" s="15" t="str">
        <f>"315.08"</f>
        <v>315.08</v>
      </c>
      <c r="F789" s="15"/>
      <c r="G789" s="16" t="str">
        <f>"315.08"</f>
        <v>315.08</v>
      </c>
      <c r="H789" s="17" t="s">
        <v>54</v>
      </c>
      <c r="I789" s="18">
        <v>4</v>
      </c>
      <c r="J789" s="18">
        <v>2016</v>
      </c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 t="str">
        <f>"275.08"</f>
        <v>275.08</v>
      </c>
      <c r="AB789" s="18"/>
      <c r="AC789" s="18"/>
      <c r="AD789" s="18"/>
      <c r="AE789" s="18"/>
      <c r="AF789" s="18"/>
      <c r="AG789" s="18"/>
      <c r="AH789" s="18"/>
      <c r="AI789" s="18"/>
    </row>
    <row r="790" spans="1:35">
      <c r="A790" s="14">
        <v>788</v>
      </c>
      <c r="B790" s="14">
        <v>8646</v>
      </c>
      <c r="C790" s="14" t="s">
        <v>969</v>
      </c>
      <c r="D790" s="14" t="s">
        <v>76</v>
      </c>
      <c r="E790" s="15" t="str">
        <f>"315.12"</f>
        <v>315.12</v>
      </c>
      <c r="F790" s="15"/>
      <c r="G790" s="16" t="str">
        <f>"315.12"</f>
        <v>315.12</v>
      </c>
      <c r="H790" s="17"/>
      <c r="I790" s="18">
        <v>3</v>
      </c>
      <c r="J790" s="18">
        <v>2016</v>
      </c>
      <c r="K790" s="18" t="str">
        <f>"374.88"</f>
        <v>374.88</v>
      </c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 t="str">
        <f>"324.65"</f>
        <v>324.65</v>
      </c>
      <c r="Y790" s="18" t="str">
        <f>"391.52"</f>
        <v>391.52</v>
      </c>
      <c r="Z790" s="18"/>
      <c r="AA790" s="18"/>
      <c r="AB790" s="18"/>
      <c r="AC790" s="18" t="str">
        <f>"314.98"</f>
        <v>314.98</v>
      </c>
      <c r="AD790" s="18" t="str">
        <f>"315.26"</f>
        <v>315.26</v>
      </c>
      <c r="AE790" s="18"/>
      <c r="AF790" s="18"/>
      <c r="AG790" s="18"/>
      <c r="AH790" s="18"/>
      <c r="AI790" s="18"/>
    </row>
    <row r="791" spans="1:35">
      <c r="A791" s="14">
        <v>789</v>
      </c>
      <c r="B791" s="14">
        <v>5481</v>
      </c>
      <c r="C791" s="14" t="s">
        <v>970</v>
      </c>
      <c r="D791" s="14" t="s">
        <v>148</v>
      </c>
      <c r="E791" s="15" t="str">
        <f>"315.21"</f>
        <v>315.21</v>
      </c>
      <c r="F791" s="15"/>
      <c r="G791" s="16" t="str">
        <f>"315.21"</f>
        <v>315.21</v>
      </c>
      <c r="H791" s="17" t="s">
        <v>54</v>
      </c>
      <c r="I791" s="18">
        <v>4</v>
      </c>
      <c r="J791" s="18">
        <v>2016</v>
      </c>
      <c r="K791" s="18"/>
      <c r="L791" s="18"/>
      <c r="M791" s="18"/>
      <c r="N791" s="18"/>
      <c r="O791" s="18"/>
      <c r="P791" s="18" t="str">
        <f>"275.21"</f>
        <v>275.21</v>
      </c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</row>
    <row r="792" spans="1:35">
      <c r="A792" s="14">
        <v>790</v>
      </c>
      <c r="B792" s="14">
        <v>2309</v>
      </c>
      <c r="C792" s="14" t="s">
        <v>971</v>
      </c>
      <c r="D792" s="14" t="s">
        <v>76</v>
      </c>
      <c r="E792" s="15" t="str">
        <f>"275.66"</f>
        <v>275.66</v>
      </c>
      <c r="F792" s="15"/>
      <c r="G792" s="16" t="str">
        <f>"315.66"</f>
        <v>315.66</v>
      </c>
      <c r="H792" s="17" t="s">
        <v>48</v>
      </c>
      <c r="I792" s="18">
        <v>1</v>
      </c>
      <c r="J792" s="18">
        <v>2016</v>
      </c>
      <c r="K792" s="18" t="str">
        <f>"275.66"</f>
        <v>275.66</v>
      </c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</row>
    <row r="793" spans="1:35">
      <c r="A793" s="14">
        <v>791</v>
      </c>
      <c r="B793" s="14">
        <v>2161</v>
      </c>
      <c r="C793" s="14" t="s">
        <v>972</v>
      </c>
      <c r="D793" s="14" t="s">
        <v>76</v>
      </c>
      <c r="E793" s="15" t="str">
        <f>"315.72"</f>
        <v>315.72</v>
      </c>
      <c r="F793" s="15"/>
      <c r="G793" s="16" t="str">
        <f>"315.72"</f>
        <v>315.72</v>
      </c>
      <c r="H793" s="17"/>
      <c r="I793" s="18">
        <v>3</v>
      </c>
      <c r="J793" s="18">
        <v>2016</v>
      </c>
      <c r="K793" s="18" t="str">
        <f>"438.90"</f>
        <v>438.90</v>
      </c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 t="str">
        <f>"394.10"</f>
        <v>394.10</v>
      </c>
      <c r="Y793" s="18"/>
      <c r="Z793" s="18"/>
      <c r="AA793" s="18"/>
      <c r="AB793" s="18"/>
      <c r="AC793" s="18" t="str">
        <f>"279.90"</f>
        <v>279.90</v>
      </c>
      <c r="AD793" s="18"/>
      <c r="AE793" s="18"/>
      <c r="AF793" s="18"/>
      <c r="AG793" s="18"/>
      <c r="AH793" s="18" t="str">
        <f>"351.53"</f>
        <v>351.53</v>
      </c>
      <c r="AI793" s="18"/>
    </row>
    <row r="794" spans="1:35">
      <c r="A794" s="14">
        <v>792</v>
      </c>
      <c r="B794" s="14">
        <v>1430</v>
      </c>
      <c r="C794" s="14" t="s">
        <v>973</v>
      </c>
      <c r="D794" s="14" t="s">
        <v>248</v>
      </c>
      <c r="E794" s="15" t="str">
        <f>"216.01"</f>
        <v>216.01</v>
      </c>
      <c r="F794" s="15"/>
      <c r="G794" s="16" t="str">
        <f>"316.29"</f>
        <v>316.29</v>
      </c>
      <c r="H794" s="17"/>
      <c r="I794" s="18">
        <v>3</v>
      </c>
      <c r="J794" s="18">
        <v>2016</v>
      </c>
      <c r="K794" s="18" t="str">
        <f>"216.01"</f>
        <v>216.01</v>
      </c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 t="str">
        <f>"394.46"</f>
        <v>394.46</v>
      </c>
      <c r="AB794" s="18"/>
      <c r="AC794" s="18"/>
      <c r="AD794" s="18"/>
      <c r="AE794" s="18"/>
      <c r="AF794" s="18"/>
      <c r="AG794" s="18" t="str">
        <f>"238.11"</f>
        <v>238.11</v>
      </c>
      <c r="AH794" s="18"/>
      <c r="AI794" s="18"/>
    </row>
    <row r="795" spans="1:35">
      <c r="A795" s="14">
        <v>793</v>
      </c>
      <c r="B795" s="14">
        <v>10900</v>
      </c>
      <c r="C795" s="14" t="s">
        <v>974</v>
      </c>
      <c r="D795" s="14" t="s">
        <v>76</v>
      </c>
      <c r="E795" s="15" t="str">
        <f>"316.69"</f>
        <v>316.69</v>
      </c>
      <c r="F795" s="15"/>
      <c r="G795" s="16" t="str">
        <f>"316.69"</f>
        <v>316.69</v>
      </c>
      <c r="H795" s="17"/>
      <c r="I795" s="18">
        <v>5</v>
      </c>
      <c r="J795" s="18">
        <v>2016</v>
      </c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 t="str">
        <f>"403.29"</f>
        <v>403.29</v>
      </c>
      <c r="Y795" s="18"/>
      <c r="Z795" s="18"/>
      <c r="AA795" s="18"/>
      <c r="AB795" s="18"/>
      <c r="AC795" s="18" t="str">
        <f>"308.14"</f>
        <v>308.14</v>
      </c>
      <c r="AD795" s="18" t="str">
        <f>"325.24"</f>
        <v>325.24</v>
      </c>
      <c r="AE795" s="18"/>
      <c r="AF795" s="18"/>
      <c r="AG795" s="18"/>
      <c r="AH795" s="18"/>
      <c r="AI795" s="18"/>
    </row>
    <row r="796" spans="1:35">
      <c r="A796" s="14">
        <v>794</v>
      </c>
      <c r="B796" s="14">
        <v>8442</v>
      </c>
      <c r="C796" s="14" t="s">
        <v>975</v>
      </c>
      <c r="D796" s="14" t="s">
        <v>148</v>
      </c>
      <c r="E796" s="15" t="str">
        <f>"277.07"</f>
        <v>277.07</v>
      </c>
      <c r="F796" s="15"/>
      <c r="G796" s="16" t="str">
        <f>"317.07"</f>
        <v>317.07</v>
      </c>
      <c r="H796" s="17" t="s">
        <v>48</v>
      </c>
      <c r="I796" s="18">
        <v>1</v>
      </c>
      <c r="J796" s="18">
        <v>2016</v>
      </c>
      <c r="K796" s="18" t="str">
        <f>"277.07"</f>
        <v>277.07</v>
      </c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</row>
    <row r="797" spans="1:35">
      <c r="A797" s="14">
        <v>795</v>
      </c>
      <c r="B797" s="14">
        <v>5717</v>
      </c>
      <c r="C797" s="14" t="s">
        <v>976</v>
      </c>
      <c r="D797" s="14" t="s">
        <v>76</v>
      </c>
      <c r="E797" s="15" t="str">
        <f>"276.35"</f>
        <v>276.35</v>
      </c>
      <c r="F797" s="15"/>
      <c r="G797" s="16" t="str">
        <f>"317.09"</f>
        <v>317.09</v>
      </c>
      <c r="H797" s="17" t="s">
        <v>54</v>
      </c>
      <c r="I797" s="18">
        <v>2</v>
      </c>
      <c r="J797" s="18">
        <v>2016</v>
      </c>
      <c r="K797" s="18" t="str">
        <f>"276.35"</f>
        <v>276.35</v>
      </c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 t="str">
        <f>"277.09"</f>
        <v>277.09</v>
      </c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</row>
    <row r="798" spans="1:35">
      <c r="A798" s="14">
        <v>796</v>
      </c>
      <c r="B798" s="14">
        <v>10194</v>
      </c>
      <c r="C798" s="14" t="s">
        <v>977</v>
      </c>
      <c r="D798" s="14" t="s">
        <v>98</v>
      </c>
      <c r="E798" s="15" t="str">
        <f>"295.17"</f>
        <v>295.17</v>
      </c>
      <c r="F798" s="15"/>
      <c r="G798" s="16" t="str">
        <f>"317.35"</f>
        <v>317.35</v>
      </c>
      <c r="H798" s="17" t="s">
        <v>54</v>
      </c>
      <c r="I798" s="18">
        <v>2</v>
      </c>
      <c r="J798" s="18">
        <v>2016</v>
      </c>
      <c r="K798" s="18" t="str">
        <f>"312.98"</f>
        <v>312.98</v>
      </c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 t="str">
        <f>"277.35"</f>
        <v>277.35</v>
      </c>
      <c r="AA798" s="18"/>
      <c r="AB798" s="18"/>
      <c r="AC798" s="18"/>
      <c r="AD798" s="18"/>
      <c r="AE798" s="18"/>
      <c r="AF798" s="18"/>
      <c r="AG798" s="18"/>
      <c r="AH798" s="18"/>
      <c r="AI798" s="18"/>
    </row>
    <row r="799" spans="1:35">
      <c r="A799" s="14">
        <v>797</v>
      </c>
      <c r="B799" s="14">
        <v>10803</v>
      </c>
      <c r="C799" s="14" t="s">
        <v>978</v>
      </c>
      <c r="D799" s="14" t="s">
        <v>98</v>
      </c>
      <c r="E799" s="15" t="str">
        <f>"317.38"</f>
        <v>317.38</v>
      </c>
      <c r="F799" s="15"/>
      <c r="G799" s="16" t="str">
        <f>"317.38"</f>
        <v>317.38</v>
      </c>
      <c r="H799" s="17"/>
      <c r="I799" s="18">
        <v>5</v>
      </c>
      <c r="J799" s="18">
        <v>2016</v>
      </c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 t="str">
        <f>"255.87"</f>
        <v>255.87</v>
      </c>
      <c r="AA799" s="18"/>
      <c r="AB799" s="18"/>
      <c r="AC799" s="18"/>
      <c r="AD799" s="18"/>
      <c r="AE799" s="18"/>
      <c r="AF799" s="18"/>
      <c r="AG799" s="18"/>
      <c r="AH799" s="18"/>
      <c r="AI799" s="18" t="str">
        <f>"378.89"</f>
        <v>378.89</v>
      </c>
    </row>
    <row r="800" spans="1:35">
      <c r="A800" s="14">
        <v>798</v>
      </c>
      <c r="B800" s="14">
        <v>4325</v>
      </c>
      <c r="C800" s="14" t="s">
        <v>979</v>
      </c>
      <c r="D800" s="14" t="s">
        <v>646</v>
      </c>
      <c r="E800" s="15" t="str">
        <f>"229.77"</f>
        <v>229.77</v>
      </c>
      <c r="F800" s="15"/>
      <c r="G800" s="16" t="str">
        <f>"317.42"</f>
        <v>317.42</v>
      </c>
      <c r="H800" s="17" t="s">
        <v>54</v>
      </c>
      <c r="I800" s="18">
        <v>2</v>
      </c>
      <c r="J800" s="18">
        <v>2016</v>
      </c>
      <c r="K800" s="18" t="str">
        <f>"229.77"</f>
        <v>229.77</v>
      </c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 t="str">
        <f>"277.42"</f>
        <v>277.42</v>
      </c>
      <c r="AH800" s="18"/>
      <c r="AI800" s="18"/>
    </row>
    <row r="801" spans="1:35">
      <c r="A801" s="14">
        <v>799</v>
      </c>
      <c r="B801" s="14">
        <v>10591</v>
      </c>
      <c r="C801" s="14" t="s">
        <v>980</v>
      </c>
      <c r="D801" s="14" t="s">
        <v>76</v>
      </c>
      <c r="E801" s="15" t="str">
        <f>"317.57"</f>
        <v>317.57</v>
      </c>
      <c r="F801" s="15"/>
      <c r="G801" s="16" t="str">
        <f>"317.57"</f>
        <v>317.57</v>
      </c>
      <c r="H801" s="17"/>
      <c r="I801" s="18">
        <v>3</v>
      </c>
      <c r="J801" s="18">
        <v>2016</v>
      </c>
      <c r="K801" s="18" t="str">
        <f>"347.60"</f>
        <v>347.60</v>
      </c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 t="str">
        <f>"321.41"</f>
        <v>321.41</v>
      </c>
      <c r="Y801" s="18" t="str">
        <f>"313.72"</f>
        <v>313.72</v>
      </c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</row>
    <row r="802" spans="1:35">
      <c r="A802" s="14">
        <v>800</v>
      </c>
      <c r="B802" s="14">
        <v>2706</v>
      </c>
      <c r="C802" s="14" t="s">
        <v>981</v>
      </c>
      <c r="D802" s="14" t="s">
        <v>62</v>
      </c>
      <c r="E802" s="15" t="str">
        <f>"196.20"</f>
        <v>196.20</v>
      </c>
      <c r="F802" s="15"/>
      <c r="G802" s="16" t="str">
        <f>"317.67"</f>
        <v>317.67</v>
      </c>
      <c r="H802" s="17" t="s">
        <v>54</v>
      </c>
      <c r="I802" s="18">
        <v>2</v>
      </c>
      <c r="J802" s="18">
        <v>2016</v>
      </c>
      <c r="K802" s="18" t="str">
        <f>"196.20"</f>
        <v>196.20</v>
      </c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 t="str">
        <f>"277.67"</f>
        <v>277.67</v>
      </c>
      <c r="AB802" s="18"/>
      <c r="AC802" s="18"/>
      <c r="AD802" s="18"/>
      <c r="AE802" s="18"/>
      <c r="AF802" s="18"/>
      <c r="AG802" s="18"/>
      <c r="AH802" s="18"/>
      <c r="AI802" s="18"/>
    </row>
    <row r="803" spans="1:35">
      <c r="A803" s="14">
        <v>801</v>
      </c>
      <c r="B803" s="14">
        <v>10451</v>
      </c>
      <c r="C803" s="14" t="s">
        <v>982</v>
      </c>
      <c r="D803" s="14" t="s">
        <v>98</v>
      </c>
      <c r="E803" s="15" t="str">
        <f>"318.23"</f>
        <v>318.23</v>
      </c>
      <c r="F803" s="15"/>
      <c r="G803" s="16" t="str">
        <f>"318.23"</f>
        <v>318.23</v>
      </c>
      <c r="H803" s="17"/>
      <c r="I803" s="18">
        <v>3</v>
      </c>
      <c r="J803" s="18">
        <v>2016</v>
      </c>
      <c r="K803" s="18" t="str">
        <f>"767.80"</f>
        <v>767.80</v>
      </c>
      <c r="L803" s="18"/>
      <c r="M803" s="18"/>
      <c r="N803" s="18"/>
      <c r="O803" s="18"/>
      <c r="P803" s="18"/>
      <c r="Q803" s="18"/>
      <c r="R803" s="18"/>
      <c r="S803" s="18"/>
      <c r="T803" s="18"/>
      <c r="U803" s="18" t="str">
        <f>"412.13"</f>
        <v>412.13</v>
      </c>
      <c r="V803" s="18"/>
      <c r="W803" s="18"/>
      <c r="X803" s="18"/>
      <c r="Y803" s="18"/>
      <c r="Z803" s="18" t="str">
        <f>"224.33"</f>
        <v>224.33</v>
      </c>
      <c r="AA803" s="18"/>
      <c r="AB803" s="18"/>
      <c r="AC803" s="18"/>
      <c r="AD803" s="18"/>
      <c r="AE803" s="18"/>
      <c r="AF803" s="18"/>
      <c r="AG803" s="18"/>
      <c r="AH803" s="18"/>
      <c r="AI803" s="18"/>
    </row>
    <row r="804" spans="1:35">
      <c r="A804" s="14">
        <v>802</v>
      </c>
      <c r="B804" s="14">
        <v>2146</v>
      </c>
      <c r="C804" s="14" t="s">
        <v>983</v>
      </c>
      <c r="D804" s="14" t="s">
        <v>393</v>
      </c>
      <c r="E804" s="15" t="str">
        <f>"278.95"</f>
        <v>278.95</v>
      </c>
      <c r="F804" s="15"/>
      <c r="G804" s="16" t="str">
        <f>"318.95"</f>
        <v>318.95</v>
      </c>
      <c r="H804" s="17" t="s">
        <v>48</v>
      </c>
      <c r="I804" s="18">
        <v>1</v>
      </c>
      <c r="J804" s="18">
        <v>2016</v>
      </c>
      <c r="K804" s="18" t="str">
        <f>"278.95"</f>
        <v>278.95</v>
      </c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</row>
    <row r="805" spans="1:35">
      <c r="A805" s="14">
        <v>803</v>
      </c>
      <c r="B805" s="14">
        <v>10340</v>
      </c>
      <c r="C805" s="14" t="s">
        <v>984</v>
      </c>
      <c r="D805" s="14" t="s">
        <v>76</v>
      </c>
      <c r="E805" s="15" t="str">
        <f>"319.12"</f>
        <v>319.12</v>
      </c>
      <c r="F805" s="15"/>
      <c r="G805" s="16" t="str">
        <f>"319.12"</f>
        <v>319.12</v>
      </c>
      <c r="H805" s="17"/>
      <c r="I805" s="18">
        <v>3</v>
      </c>
      <c r="J805" s="18">
        <v>2016</v>
      </c>
      <c r="K805" s="18" t="str">
        <f>"377.24"</f>
        <v>377.24</v>
      </c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 t="str">
        <f>"312.77"</f>
        <v>312.77</v>
      </c>
      <c r="AD805" s="18" t="str">
        <f>"325.46"</f>
        <v>325.46</v>
      </c>
      <c r="AE805" s="18"/>
      <c r="AF805" s="18"/>
      <c r="AG805" s="18"/>
      <c r="AH805" s="18"/>
      <c r="AI805" s="18"/>
    </row>
    <row r="806" spans="1:35">
      <c r="A806" s="14">
        <v>804</v>
      </c>
      <c r="B806" s="14">
        <v>2507</v>
      </c>
      <c r="C806" s="14" t="s">
        <v>985</v>
      </c>
      <c r="D806" s="14" t="s">
        <v>251</v>
      </c>
      <c r="E806" s="15" t="str">
        <f>"258.58"</f>
        <v>258.58</v>
      </c>
      <c r="F806" s="15"/>
      <c r="G806" s="16" t="str">
        <f>"319.37"</f>
        <v>319.37</v>
      </c>
      <c r="H806" s="17" t="s">
        <v>54</v>
      </c>
      <c r="I806" s="18">
        <v>2</v>
      </c>
      <c r="J806" s="18">
        <v>2016</v>
      </c>
      <c r="K806" s="18" t="str">
        <f>"258.58"</f>
        <v>258.58</v>
      </c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 t="str">
        <f>"279.37"</f>
        <v>279.37</v>
      </c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</row>
    <row r="807" spans="1:35">
      <c r="A807" s="14">
        <v>805</v>
      </c>
      <c r="B807" s="14">
        <v>10589</v>
      </c>
      <c r="C807" s="14" t="s">
        <v>986</v>
      </c>
      <c r="D807" s="14" t="s">
        <v>76</v>
      </c>
      <c r="E807" s="15" t="str">
        <f>"319.40"</f>
        <v>319.40</v>
      </c>
      <c r="F807" s="15"/>
      <c r="G807" s="16" t="str">
        <f>"319.40"</f>
        <v>319.40</v>
      </c>
      <c r="H807" s="17"/>
      <c r="I807" s="18">
        <v>3</v>
      </c>
      <c r="J807" s="18">
        <v>2016</v>
      </c>
      <c r="K807" s="18" t="str">
        <f>"375.13"</f>
        <v>375.13</v>
      </c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 t="str">
        <f>"306.68"</f>
        <v>306.68</v>
      </c>
      <c r="Y807" s="18" t="str">
        <f>"332.12"</f>
        <v>332.12</v>
      </c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</row>
    <row r="808" spans="1:35">
      <c r="A808" s="14">
        <v>806</v>
      </c>
      <c r="B808" s="14">
        <v>11039</v>
      </c>
      <c r="C808" s="14" t="s">
        <v>987</v>
      </c>
      <c r="D808" s="14" t="s">
        <v>148</v>
      </c>
      <c r="E808" s="15" t="str">
        <f>"319.47"</f>
        <v>319.47</v>
      </c>
      <c r="F808" s="15"/>
      <c r="G808" s="16" t="str">
        <f>"319.47"</f>
        <v>319.47</v>
      </c>
      <c r="H808" s="17" t="s">
        <v>54</v>
      </c>
      <c r="I808" s="18">
        <v>4</v>
      </c>
      <c r="J808" s="18">
        <v>2016</v>
      </c>
      <c r="K808" s="18"/>
      <c r="L808" s="18"/>
      <c r="M808" s="18"/>
      <c r="N808" s="18"/>
      <c r="O808" s="18"/>
      <c r="P808" s="18" t="str">
        <f>"279.47"</f>
        <v>279.47</v>
      </c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</row>
    <row r="809" spans="1:35">
      <c r="A809" s="14">
        <v>807</v>
      </c>
      <c r="B809" s="14">
        <v>10188</v>
      </c>
      <c r="C809" s="14" t="s">
        <v>988</v>
      </c>
      <c r="D809" s="14" t="s">
        <v>98</v>
      </c>
      <c r="E809" s="15" t="str">
        <f>"461.86"</f>
        <v>461.86</v>
      </c>
      <c r="F809" s="15"/>
      <c r="G809" s="16" t="str">
        <f>"319.64"</f>
        <v>319.64</v>
      </c>
      <c r="H809" s="17" t="s">
        <v>54</v>
      </c>
      <c r="I809" s="18">
        <v>2</v>
      </c>
      <c r="J809" s="18">
        <v>2016</v>
      </c>
      <c r="K809" s="18" t="str">
        <f>"644.07"</f>
        <v>644.07</v>
      </c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 t="str">
        <f>"279.64"</f>
        <v>279.64</v>
      </c>
      <c r="AA809" s="18"/>
      <c r="AB809" s="18"/>
      <c r="AC809" s="18"/>
      <c r="AD809" s="18"/>
      <c r="AE809" s="18"/>
      <c r="AF809" s="18"/>
      <c r="AG809" s="18"/>
      <c r="AH809" s="18"/>
      <c r="AI809" s="18"/>
    </row>
    <row r="810" spans="1:35">
      <c r="A810" s="14">
        <v>808</v>
      </c>
      <c r="B810" s="14">
        <v>8449</v>
      </c>
      <c r="C810" s="14" t="s">
        <v>989</v>
      </c>
      <c r="D810" s="14" t="s">
        <v>76</v>
      </c>
      <c r="E810" s="15" t="str">
        <f>"226.35"</f>
        <v>226.35</v>
      </c>
      <c r="F810" s="15"/>
      <c r="G810" s="16" t="str">
        <f>"320.58"</f>
        <v>320.58</v>
      </c>
      <c r="H810" s="17"/>
      <c r="I810" s="18">
        <v>3</v>
      </c>
      <c r="J810" s="18">
        <v>2016</v>
      </c>
      <c r="K810" s="18" t="str">
        <f>"226.35"</f>
        <v>226.35</v>
      </c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 t="str">
        <f>"304.52"</f>
        <v>304.52</v>
      </c>
      <c r="Y810" s="18" t="str">
        <f>"336.64"</f>
        <v>336.64</v>
      </c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</row>
    <row r="811" spans="1:35">
      <c r="A811" s="14">
        <v>809</v>
      </c>
      <c r="B811" s="14">
        <v>2530</v>
      </c>
      <c r="C811" s="14" t="s">
        <v>990</v>
      </c>
      <c r="D811" s="14" t="s">
        <v>878</v>
      </c>
      <c r="E811" s="15" t="str">
        <f>"280.93"</f>
        <v>280.93</v>
      </c>
      <c r="F811" s="15"/>
      <c r="G811" s="16" t="str">
        <f>"320.93"</f>
        <v>320.93</v>
      </c>
      <c r="H811" s="17" t="s">
        <v>48</v>
      </c>
      <c r="I811" s="18">
        <v>1</v>
      </c>
      <c r="J811" s="18">
        <v>2016</v>
      </c>
      <c r="K811" s="18" t="str">
        <f>"280.93"</f>
        <v>280.93</v>
      </c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</row>
    <row r="812" spans="1:35">
      <c r="A812" s="14">
        <v>810</v>
      </c>
      <c r="B812" s="14">
        <v>10297</v>
      </c>
      <c r="C812" s="14" t="s">
        <v>991</v>
      </c>
      <c r="D812" s="14" t="s">
        <v>148</v>
      </c>
      <c r="E812" s="15" t="str">
        <f>"301.84"</f>
        <v>301.84</v>
      </c>
      <c r="F812" s="15"/>
      <c r="G812" s="16" t="str">
        <f>"321.00"</f>
        <v>321.00</v>
      </c>
      <c r="H812" s="17" t="s">
        <v>54</v>
      </c>
      <c r="I812" s="18">
        <v>2</v>
      </c>
      <c r="J812" s="18">
        <v>2016</v>
      </c>
      <c r="K812" s="18" t="str">
        <f>"322.67"</f>
        <v>322.67</v>
      </c>
      <c r="L812" s="18"/>
      <c r="M812" s="18"/>
      <c r="N812" s="18"/>
      <c r="O812" s="18"/>
      <c r="P812" s="18" t="str">
        <f>"281.00"</f>
        <v>281.00</v>
      </c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</row>
    <row r="813" spans="1:35">
      <c r="A813" s="14">
        <v>811</v>
      </c>
      <c r="B813" s="14">
        <v>10445</v>
      </c>
      <c r="C813" s="14" t="s">
        <v>992</v>
      </c>
      <c r="D813" s="14" t="s">
        <v>98</v>
      </c>
      <c r="E813" s="15" t="str">
        <f>"321.08"</f>
        <v>321.08</v>
      </c>
      <c r="F813" s="15"/>
      <c r="G813" s="16" t="str">
        <f>"321.08"</f>
        <v>321.08</v>
      </c>
      <c r="H813" s="17"/>
      <c r="I813" s="18">
        <v>5</v>
      </c>
      <c r="J813" s="18">
        <v>2016</v>
      </c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 t="str">
        <f>"413.26"</f>
        <v>413.26</v>
      </c>
      <c r="V813" s="18"/>
      <c r="W813" s="18"/>
      <c r="X813" s="18"/>
      <c r="Y813" s="18"/>
      <c r="Z813" s="18" t="str">
        <f>"228.90"</f>
        <v>228.90</v>
      </c>
      <c r="AA813" s="18"/>
      <c r="AB813" s="18"/>
      <c r="AC813" s="18"/>
      <c r="AD813" s="18"/>
      <c r="AE813" s="18"/>
      <c r="AF813" s="18"/>
      <c r="AG813" s="18"/>
      <c r="AH813" s="18"/>
      <c r="AI813" s="18"/>
    </row>
    <row r="814" spans="1:35">
      <c r="A814" s="14">
        <v>812</v>
      </c>
      <c r="B814" s="14">
        <v>10415</v>
      </c>
      <c r="C814" s="14" t="s">
        <v>993</v>
      </c>
      <c r="D814" s="14" t="s">
        <v>98</v>
      </c>
      <c r="E814" s="15" t="str">
        <f>"322.62"</f>
        <v>322.62</v>
      </c>
      <c r="F814" s="15"/>
      <c r="G814" s="16" t="str">
        <f>"322.62"</f>
        <v>322.62</v>
      </c>
      <c r="H814" s="17"/>
      <c r="I814" s="18">
        <v>3</v>
      </c>
      <c r="J814" s="18">
        <v>2016</v>
      </c>
      <c r="K814" s="18" t="str">
        <f>"410.79"</f>
        <v>410.79</v>
      </c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 t="str">
        <f>"330.37"</f>
        <v>330.37</v>
      </c>
      <c r="AA814" s="18"/>
      <c r="AB814" s="18"/>
      <c r="AC814" s="18"/>
      <c r="AD814" s="18"/>
      <c r="AE814" s="18"/>
      <c r="AF814" s="18"/>
      <c r="AG814" s="18" t="str">
        <f>"314.86"</f>
        <v>314.86</v>
      </c>
      <c r="AH814" s="18"/>
      <c r="AI814" s="18" t="str">
        <f>"372.96"</f>
        <v>372.96</v>
      </c>
    </row>
    <row r="815" spans="1:35">
      <c r="A815" s="14">
        <v>813</v>
      </c>
      <c r="B815" s="14">
        <v>5344</v>
      </c>
      <c r="C815" s="14" t="s">
        <v>994</v>
      </c>
      <c r="D815" s="14" t="s">
        <v>107</v>
      </c>
      <c r="E815" s="15" t="str">
        <f>"282.64"</f>
        <v>282.64</v>
      </c>
      <c r="F815" s="15"/>
      <c r="G815" s="16" t="str">
        <f>"322.64"</f>
        <v>322.64</v>
      </c>
      <c r="H815" s="17" t="s">
        <v>48</v>
      </c>
      <c r="I815" s="18">
        <v>1</v>
      </c>
      <c r="J815" s="18">
        <v>2016</v>
      </c>
      <c r="K815" s="18" t="str">
        <f>"282.64"</f>
        <v>282.64</v>
      </c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</row>
    <row r="816" spans="1:35">
      <c r="A816" s="14">
        <v>814</v>
      </c>
      <c r="B816" s="14">
        <v>10689</v>
      </c>
      <c r="C816" s="14" t="s">
        <v>995</v>
      </c>
      <c r="D816" s="14" t="s">
        <v>39</v>
      </c>
      <c r="E816" s="15" t="str">
        <f>"282.79"</f>
        <v>282.79</v>
      </c>
      <c r="F816" s="15"/>
      <c r="G816" s="16" t="str">
        <f>"322.79"</f>
        <v>322.79</v>
      </c>
      <c r="H816" s="17" t="s">
        <v>48</v>
      </c>
      <c r="I816" s="18">
        <v>1</v>
      </c>
      <c r="J816" s="18">
        <v>2016</v>
      </c>
      <c r="K816" s="18" t="str">
        <f>"282.79"</f>
        <v>282.79</v>
      </c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</row>
    <row r="817" spans="1:35">
      <c r="A817" s="14">
        <v>815</v>
      </c>
      <c r="B817" s="14">
        <v>1306</v>
      </c>
      <c r="C817" s="14" t="s">
        <v>996</v>
      </c>
      <c r="D817" s="14" t="s">
        <v>153</v>
      </c>
      <c r="E817" s="15" t="str">
        <f>"283.46"</f>
        <v>283.46</v>
      </c>
      <c r="F817" s="15"/>
      <c r="G817" s="16" t="str">
        <f>"323.46"</f>
        <v>323.46</v>
      </c>
      <c r="H817" s="17" t="s">
        <v>48</v>
      </c>
      <c r="I817" s="18">
        <v>1</v>
      </c>
      <c r="J817" s="18">
        <v>2016</v>
      </c>
      <c r="K817" s="18" t="str">
        <f>"283.46"</f>
        <v>283.46</v>
      </c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</row>
    <row r="818" spans="1:35">
      <c r="A818" s="14">
        <v>816</v>
      </c>
      <c r="B818" s="14">
        <v>10147</v>
      </c>
      <c r="C818" s="14" t="s">
        <v>997</v>
      </c>
      <c r="D818" s="14" t="s">
        <v>98</v>
      </c>
      <c r="E818" s="15" t="str">
        <f>"324.20"</f>
        <v>324.20</v>
      </c>
      <c r="F818" s="15"/>
      <c r="G818" s="16" t="str">
        <f>"324.20"</f>
        <v>324.20</v>
      </c>
      <c r="H818" s="17"/>
      <c r="I818" s="18">
        <v>3</v>
      </c>
      <c r="J818" s="18">
        <v>2016</v>
      </c>
      <c r="K818" s="18" t="str">
        <f>"465.80"</f>
        <v>465.80</v>
      </c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 t="str">
        <f>"273.70"</f>
        <v>273.70</v>
      </c>
      <c r="AA818" s="18"/>
      <c r="AB818" s="18"/>
      <c r="AC818" s="18"/>
      <c r="AD818" s="18"/>
      <c r="AE818" s="18"/>
      <c r="AF818" s="18"/>
      <c r="AG818" s="18"/>
      <c r="AH818" s="18"/>
      <c r="AI818" s="18" t="str">
        <f>"374.70"</f>
        <v>374.70</v>
      </c>
    </row>
    <row r="819" spans="1:35">
      <c r="A819" s="14">
        <v>817</v>
      </c>
      <c r="B819" s="14">
        <v>10424</v>
      </c>
      <c r="C819" s="14" t="s">
        <v>998</v>
      </c>
      <c r="D819" s="14" t="s">
        <v>98</v>
      </c>
      <c r="E819" s="15" t="str">
        <f>"391.88"</f>
        <v>391.88</v>
      </c>
      <c r="F819" s="15"/>
      <c r="G819" s="16" t="str">
        <f>"324.67"</f>
        <v>324.67</v>
      </c>
      <c r="H819" s="17" t="s">
        <v>54</v>
      </c>
      <c r="I819" s="18">
        <v>2</v>
      </c>
      <c r="J819" s="18">
        <v>2016</v>
      </c>
      <c r="K819" s="18" t="str">
        <f>"499.08"</f>
        <v>499.08</v>
      </c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 t="str">
        <f>"284.67"</f>
        <v>284.67</v>
      </c>
      <c r="AA819" s="18"/>
      <c r="AB819" s="18"/>
      <c r="AC819" s="18"/>
      <c r="AD819" s="18"/>
      <c r="AE819" s="18"/>
      <c r="AF819" s="18"/>
      <c r="AG819" s="18"/>
      <c r="AH819" s="18"/>
      <c r="AI819" s="18"/>
    </row>
    <row r="820" spans="1:35">
      <c r="A820" s="14">
        <v>818</v>
      </c>
      <c r="B820" s="14">
        <v>10691</v>
      </c>
      <c r="C820" s="14" t="s">
        <v>999</v>
      </c>
      <c r="D820" s="14" t="s">
        <v>39</v>
      </c>
      <c r="E820" s="15" t="str">
        <f>"380.27"</f>
        <v>380.27</v>
      </c>
      <c r="F820" s="15"/>
      <c r="G820" s="16" t="str">
        <f>"325.43"</f>
        <v>325.43</v>
      </c>
      <c r="H820" s="17" t="s">
        <v>54</v>
      </c>
      <c r="I820" s="18">
        <v>2</v>
      </c>
      <c r="J820" s="18">
        <v>2016</v>
      </c>
      <c r="K820" s="18" t="str">
        <f>"475.11"</f>
        <v>475.11</v>
      </c>
      <c r="L820" s="18"/>
      <c r="M820" s="18"/>
      <c r="N820" s="18"/>
      <c r="O820" s="18"/>
      <c r="P820" s="18" t="str">
        <f>"285.43"</f>
        <v>285.43</v>
      </c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</row>
    <row r="821" spans="1:35">
      <c r="A821" s="14">
        <v>819</v>
      </c>
      <c r="B821" s="14">
        <v>10170</v>
      </c>
      <c r="C821" s="14" t="s">
        <v>1000</v>
      </c>
      <c r="D821" s="14" t="s">
        <v>98</v>
      </c>
      <c r="E821" s="15" t="str">
        <f>"410.82"</f>
        <v>410.82</v>
      </c>
      <c r="F821" s="15"/>
      <c r="G821" s="16" t="str">
        <f>"325.58"</f>
        <v>325.58</v>
      </c>
      <c r="H821" s="17" t="s">
        <v>54</v>
      </c>
      <c r="I821" s="18">
        <v>2</v>
      </c>
      <c r="J821" s="18">
        <v>2016</v>
      </c>
      <c r="K821" s="18" t="str">
        <f>"536.06"</f>
        <v>536.06</v>
      </c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 t="str">
        <f>"285.58"</f>
        <v>285.58</v>
      </c>
      <c r="AA821" s="18"/>
      <c r="AB821" s="18"/>
      <c r="AC821" s="18"/>
      <c r="AD821" s="18"/>
      <c r="AE821" s="18"/>
      <c r="AF821" s="18"/>
      <c r="AG821" s="18"/>
      <c r="AH821" s="18"/>
      <c r="AI821" s="18"/>
    </row>
    <row r="822" spans="1:35">
      <c r="A822" s="14">
        <v>820</v>
      </c>
      <c r="B822" s="14">
        <v>10963</v>
      </c>
      <c r="C822" s="14" t="s">
        <v>1001</v>
      </c>
      <c r="D822" s="14" t="s">
        <v>112</v>
      </c>
      <c r="E822" s="15" t="str">
        <f>"325.91"</f>
        <v>325.91</v>
      </c>
      <c r="F822" s="15"/>
      <c r="G822" s="16" t="str">
        <f>"325.91"</f>
        <v>325.91</v>
      </c>
      <c r="H822" s="17" t="s">
        <v>54</v>
      </c>
      <c r="I822" s="18">
        <v>4</v>
      </c>
      <c r="J822" s="18">
        <v>2016</v>
      </c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 t="str">
        <f>"285.91"</f>
        <v>285.91</v>
      </c>
      <c r="AB822" s="18"/>
      <c r="AC822" s="18"/>
      <c r="AD822" s="18"/>
      <c r="AE822" s="18"/>
      <c r="AF822" s="18"/>
      <c r="AG822" s="18"/>
      <c r="AH822" s="18"/>
      <c r="AI822" s="18"/>
    </row>
    <row r="823" spans="1:35">
      <c r="A823" s="14">
        <v>821</v>
      </c>
      <c r="B823" s="14">
        <v>7651</v>
      </c>
      <c r="C823" s="14" t="s">
        <v>1002</v>
      </c>
      <c r="D823" s="14" t="s">
        <v>299</v>
      </c>
      <c r="E823" s="15" t="str">
        <f>"341.60"</f>
        <v>341.60</v>
      </c>
      <c r="F823" s="15"/>
      <c r="G823" s="16" t="str">
        <f>"326.22"</f>
        <v>326.22</v>
      </c>
      <c r="H823" s="17" t="s">
        <v>54</v>
      </c>
      <c r="I823" s="18">
        <v>2</v>
      </c>
      <c r="J823" s="18">
        <v>2016</v>
      </c>
      <c r="K823" s="18" t="str">
        <f>"396.97"</f>
        <v>396.97</v>
      </c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 t="str">
        <f>"286.22"</f>
        <v>286.22</v>
      </c>
      <c r="AC823" s="18"/>
      <c r="AD823" s="18"/>
      <c r="AE823" s="18"/>
      <c r="AF823" s="18"/>
      <c r="AG823" s="18"/>
      <c r="AH823" s="18"/>
      <c r="AI823" s="18"/>
    </row>
    <row r="824" spans="1:35">
      <c r="A824" s="14">
        <v>822</v>
      </c>
      <c r="B824" s="14">
        <v>10982</v>
      </c>
      <c r="C824" s="14" t="s">
        <v>957</v>
      </c>
      <c r="D824" s="14" t="s">
        <v>786</v>
      </c>
      <c r="E824" s="15" t="str">
        <f>"326.25"</f>
        <v>326.25</v>
      </c>
      <c r="F824" s="15"/>
      <c r="G824" s="16" t="str">
        <f>"326.25"</f>
        <v>326.25</v>
      </c>
      <c r="H824" s="17"/>
      <c r="I824" s="18">
        <v>5</v>
      </c>
      <c r="J824" s="18">
        <v>2016</v>
      </c>
      <c r="K824" s="18"/>
      <c r="L824" s="18"/>
      <c r="M824" s="18"/>
      <c r="N824" s="18"/>
      <c r="O824" s="18"/>
      <c r="P824" s="18"/>
      <c r="Q824" s="18" t="str">
        <f>"273.20"</f>
        <v>273.20</v>
      </c>
      <c r="R824" s="18"/>
      <c r="S824" s="18"/>
      <c r="T824" s="18"/>
      <c r="U824" s="18" t="str">
        <f>"379.30"</f>
        <v>379.30</v>
      </c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</row>
    <row r="825" spans="1:35">
      <c r="A825" s="14">
        <v>823</v>
      </c>
      <c r="B825" s="14">
        <v>7046</v>
      </c>
      <c r="C825" s="14" t="s">
        <v>1003</v>
      </c>
      <c r="D825" s="14" t="s">
        <v>1004</v>
      </c>
      <c r="E825" s="15" t="str">
        <f>"287.05"</f>
        <v>287.05</v>
      </c>
      <c r="F825" s="15"/>
      <c r="G825" s="16" t="str">
        <f>"327.05"</f>
        <v>327.05</v>
      </c>
      <c r="H825" s="17" t="s">
        <v>48</v>
      </c>
      <c r="I825" s="18">
        <v>1</v>
      </c>
      <c r="J825" s="18">
        <v>2016</v>
      </c>
      <c r="K825" s="18" t="str">
        <f>"287.05"</f>
        <v>287.05</v>
      </c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</row>
    <row r="826" spans="1:35">
      <c r="A826" s="14">
        <v>824</v>
      </c>
      <c r="B826" s="14">
        <v>10220</v>
      </c>
      <c r="C826" s="14" t="s">
        <v>1005</v>
      </c>
      <c r="D826" s="14" t="s">
        <v>76</v>
      </c>
      <c r="E826" s="15" t="str">
        <f>"328.24"</f>
        <v>328.24</v>
      </c>
      <c r="F826" s="15"/>
      <c r="G826" s="16" t="str">
        <f>"328.24"</f>
        <v>328.24</v>
      </c>
      <c r="H826" s="17"/>
      <c r="I826" s="18">
        <v>3</v>
      </c>
      <c r="J826" s="18">
        <v>2016</v>
      </c>
      <c r="K826" s="18" t="str">
        <f>"442.24"</f>
        <v>442.24</v>
      </c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 t="str">
        <f>"332.90"</f>
        <v>332.90</v>
      </c>
      <c r="Y826" s="18" t="str">
        <f>"323.58"</f>
        <v>323.58</v>
      </c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</row>
    <row r="827" spans="1:35">
      <c r="A827" s="14">
        <v>825</v>
      </c>
      <c r="B827" s="14">
        <v>5492</v>
      </c>
      <c r="C827" s="14" t="s">
        <v>1006</v>
      </c>
      <c r="D827" s="14" t="s">
        <v>76</v>
      </c>
      <c r="E827" s="15" t="str">
        <f>"328.89"</f>
        <v>328.89</v>
      </c>
      <c r="F827" s="15"/>
      <c r="G827" s="16" t="str">
        <f>"328.89"</f>
        <v>328.89</v>
      </c>
      <c r="H827" s="17"/>
      <c r="I827" s="18">
        <v>3</v>
      </c>
      <c r="J827" s="18">
        <v>2016</v>
      </c>
      <c r="K827" s="18" t="str">
        <f>"341.90"</f>
        <v>341.90</v>
      </c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 t="str">
        <f>"347.76"</f>
        <v>347.76</v>
      </c>
      <c r="Y827" s="18"/>
      <c r="Z827" s="18"/>
      <c r="AA827" s="18"/>
      <c r="AB827" s="18"/>
      <c r="AC827" s="18" t="str">
        <f>"340.67"</f>
        <v>340.67</v>
      </c>
      <c r="AD827" s="18" t="str">
        <f>"317.10"</f>
        <v>317.10</v>
      </c>
      <c r="AE827" s="18"/>
      <c r="AF827" s="18"/>
      <c r="AG827" s="18"/>
      <c r="AH827" s="18" t="str">
        <f>"375.02"</f>
        <v>375.02</v>
      </c>
      <c r="AI827" s="18"/>
    </row>
    <row r="828" spans="1:35">
      <c r="A828" s="14">
        <v>826</v>
      </c>
      <c r="B828" s="14">
        <v>10190</v>
      </c>
      <c r="C828" s="14" t="s">
        <v>1007</v>
      </c>
      <c r="D828" s="14" t="s">
        <v>98</v>
      </c>
      <c r="E828" s="15" t="str">
        <f>"501.59"</f>
        <v>501.59</v>
      </c>
      <c r="F828" s="15"/>
      <c r="G828" s="16" t="str">
        <f>"329.69"</f>
        <v>329.69</v>
      </c>
      <c r="H828" s="17" t="s">
        <v>54</v>
      </c>
      <c r="I828" s="18">
        <v>2</v>
      </c>
      <c r="J828" s="18">
        <v>2016</v>
      </c>
      <c r="K828" s="18" t="str">
        <f>"713.48"</f>
        <v>713.48</v>
      </c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 t="str">
        <f>"289.69"</f>
        <v>289.69</v>
      </c>
      <c r="AA828" s="18"/>
      <c r="AB828" s="18"/>
      <c r="AC828" s="18"/>
      <c r="AD828" s="18"/>
      <c r="AE828" s="18"/>
      <c r="AF828" s="18"/>
      <c r="AG828" s="18"/>
      <c r="AH828" s="18"/>
      <c r="AI828" s="18"/>
    </row>
    <row r="829" spans="1:35">
      <c r="A829" s="14">
        <v>827</v>
      </c>
      <c r="B829" s="14">
        <v>10727</v>
      </c>
      <c r="C829" s="14" t="s">
        <v>1008</v>
      </c>
      <c r="D829" s="14" t="s">
        <v>98</v>
      </c>
      <c r="E829" s="15" t="str">
        <f>"330.82"</f>
        <v>330.82</v>
      </c>
      <c r="F829" s="15"/>
      <c r="G829" s="16" t="str">
        <f>"330.82"</f>
        <v>330.82</v>
      </c>
      <c r="H829" s="17"/>
      <c r="I829" s="18">
        <v>5</v>
      </c>
      <c r="J829" s="18">
        <v>2016</v>
      </c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 t="str">
        <f>"292.44"</f>
        <v>292.44</v>
      </c>
      <c r="AA829" s="18"/>
      <c r="AB829" s="18"/>
      <c r="AC829" s="18"/>
      <c r="AD829" s="18"/>
      <c r="AE829" s="18"/>
      <c r="AF829" s="18"/>
      <c r="AG829" s="18"/>
      <c r="AH829" s="18"/>
      <c r="AI829" s="18" t="str">
        <f>"369.20"</f>
        <v>369.20</v>
      </c>
    </row>
    <row r="830" spans="1:35">
      <c r="A830" s="14">
        <v>828</v>
      </c>
      <c r="B830" s="14">
        <v>10600</v>
      </c>
      <c r="C830" s="14" t="s">
        <v>1009</v>
      </c>
      <c r="D830" s="14" t="s">
        <v>76</v>
      </c>
      <c r="E830" s="15" t="str">
        <f>"330.92"</f>
        <v>330.92</v>
      </c>
      <c r="F830" s="15"/>
      <c r="G830" s="16" t="str">
        <f>"330.92"</f>
        <v>330.92</v>
      </c>
      <c r="H830" s="17"/>
      <c r="I830" s="18">
        <v>3</v>
      </c>
      <c r="J830" s="18">
        <v>2016</v>
      </c>
      <c r="K830" s="18" t="str">
        <f>"405.84"</f>
        <v>405.84</v>
      </c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 t="str">
        <f>"369.51"</f>
        <v>369.51</v>
      </c>
      <c r="Y830" s="18" t="str">
        <f>"382.27"</f>
        <v>382.27</v>
      </c>
      <c r="Z830" s="18"/>
      <c r="AA830" s="18"/>
      <c r="AB830" s="18"/>
      <c r="AC830" s="18" t="str">
        <f>"337.14"</f>
        <v>337.14</v>
      </c>
      <c r="AD830" s="18" t="str">
        <f>"324.70"</f>
        <v>324.70</v>
      </c>
      <c r="AE830" s="18"/>
      <c r="AF830" s="18"/>
      <c r="AG830" s="18"/>
      <c r="AH830" s="18"/>
      <c r="AI830" s="18"/>
    </row>
    <row r="831" spans="1:35">
      <c r="A831" s="14">
        <v>829</v>
      </c>
      <c r="B831" s="14">
        <v>1707</v>
      </c>
      <c r="C831" s="14" t="s">
        <v>1010</v>
      </c>
      <c r="D831" s="14" t="s">
        <v>76</v>
      </c>
      <c r="E831" s="15" t="str">
        <f>"291.16"</f>
        <v>291.16</v>
      </c>
      <c r="F831" s="15"/>
      <c r="G831" s="16" t="str">
        <f>"331.16"</f>
        <v>331.16</v>
      </c>
      <c r="H831" s="17" t="s">
        <v>48</v>
      </c>
      <c r="I831" s="18">
        <v>1</v>
      </c>
      <c r="J831" s="18">
        <v>2016</v>
      </c>
      <c r="K831" s="18" t="str">
        <f>"291.16"</f>
        <v>291.16</v>
      </c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</row>
    <row r="832" spans="1:35">
      <c r="A832" s="14">
        <v>830</v>
      </c>
      <c r="B832" s="14">
        <v>6707</v>
      </c>
      <c r="C832" s="14" t="s">
        <v>1011</v>
      </c>
      <c r="D832" s="14" t="s">
        <v>41</v>
      </c>
      <c r="E832" s="15" t="str">
        <f>"291.17"</f>
        <v>291.17</v>
      </c>
      <c r="F832" s="15"/>
      <c r="G832" s="16" t="str">
        <f>"331.17"</f>
        <v>331.17</v>
      </c>
      <c r="H832" s="17" t="s">
        <v>48</v>
      </c>
      <c r="I832" s="18">
        <v>1</v>
      </c>
      <c r="J832" s="18">
        <v>2016</v>
      </c>
      <c r="K832" s="18" t="str">
        <f>"291.17"</f>
        <v>291.17</v>
      </c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</row>
    <row r="833" spans="1:35">
      <c r="A833" s="14">
        <v>831</v>
      </c>
      <c r="B833" s="14">
        <v>6478</v>
      </c>
      <c r="C833" s="14" t="s">
        <v>1012</v>
      </c>
      <c r="D833" s="14" t="s">
        <v>109</v>
      </c>
      <c r="E833" s="15" t="str">
        <f>"291.48"</f>
        <v>291.48</v>
      </c>
      <c r="F833" s="15"/>
      <c r="G833" s="16" t="str">
        <f>"331.48"</f>
        <v>331.48</v>
      </c>
      <c r="H833" s="17" t="s">
        <v>48</v>
      </c>
      <c r="I833" s="18">
        <v>1</v>
      </c>
      <c r="J833" s="18">
        <v>2016</v>
      </c>
      <c r="K833" s="18" t="str">
        <f>"291.48"</f>
        <v>291.48</v>
      </c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</row>
    <row r="834" spans="1:35">
      <c r="A834" s="14">
        <v>832</v>
      </c>
      <c r="B834" s="14">
        <v>2325</v>
      </c>
      <c r="C834" s="14" t="s">
        <v>1013</v>
      </c>
      <c r="D834" s="14" t="s">
        <v>76</v>
      </c>
      <c r="E834" s="15" t="str">
        <f>"331.93"</f>
        <v>331.93</v>
      </c>
      <c r="F834" s="15"/>
      <c r="G834" s="16" t="str">
        <f>"331.93"</f>
        <v>331.93</v>
      </c>
      <c r="H834" s="17"/>
      <c r="I834" s="18">
        <v>3</v>
      </c>
      <c r="J834" s="18">
        <v>2016</v>
      </c>
      <c r="K834" s="18" t="str">
        <f>"379.79"</f>
        <v>379.79</v>
      </c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 t="str">
        <f>"321.28"</f>
        <v>321.28</v>
      </c>
      <c r="Y834" s="18" t="str">
        <f>"342.57"</f>
        <v>342.57</v>
      </c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</row>
    <row r="835" spans="1:35">
      <c r="A835" s="14">
        <v>833</v>
      </c>
      <c r="B835" s="14">
        <v>2450</v>
      </c>
      <c r="C835" s="14" t="s">
        <v>1014</v>
      </c>
      <c r="D835" s="14" t="s">
        <v>337</v>
      </c>
      <c r="E835" s="15" t="str">
        <f>"292.06"</f>
        <v>292.06</v>
      </c>
      <c r="F835" s="15"/>
      <c r="G835" s="16" t="str">
        <f>"332.06"</f>
        <v>332.06</v>
      </c>
      <c r="H835" s="17" t="s">
        <v>48</v>
      </c>
      <c r="I835" s="18">
        <v>1</v>
      </c>
      <c r="J835" s="18">
        <v>2016</v>
      </c>
      <c r="K835" s="18" t="str">
        <f>"292.06"</f>
        <v>292.06</v>
      </c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</row>
    <row r="836" spans="1:35">
      <c r="A836" s="14">
        <v>834</v>
      </c>
      <c r="B836" s="14">
        <v>10163</v>
      </c>
      <c r="C836" s="14" t="s">
        <v>1015</v>
      </c>
      <c r="D836" s="14" t="s">
        <v>98</v>
      </c>
      <c r="E836" s="15" t="str">
        <f>"319.07"</f>
        <v>319.07</v>
      </c>
      <c r="F836" s="15"/>
      <c r="G836" s="16" t="str">
        <f>"332.26"</f>
        <v>332.26</v>
      </c>
      <c r="H836" s="17"/>
      <c r="I836" s="18">
        <v>3</v>
      </c>
      <c r="J836" s="18">
        <v>2016</v>
      </c>
      <c r="K836" s="18" t="str">
        <f>"348.89"</f>
        <v>348.89</v>
      </c>
      <c r="L836" s="18"/>
      <c r="M836" s="18"/>
      <c r="N836" s="18"/>
      <c r="O836" s="18"/>
      <c r="P836" s="18"/>
      <c r="Q836" s="18"/>
      <c r="R836" s="18"/>
      <c r="S836" s="18"/>
      <c r="T836" s="18"/>
      <c r="U836" s="18" t="str">
        <f>"375.28"</f>
        <v>375.28</v>
      </c>
      <c r="V836" s="18"/>
      <c r="W836" s="18"/>
      <c r="X836" s="18"/>
      <c r="Y836" s="18"/>
      <c r="Z836" s="18" t="str">
        <f>"289.24"</f>
        <v>289.24</v>
      </c>
      <c r="AA836" s="18"/>
      <c r="AB836" s="18"/>
      <c r="AC836" s="18"/>
      <c r="AD836" s="18"/>
      <c r="AE836" s="18"/>
      <c r="AF836" s="18"/>
      <c r="AG836" s="18"/>
      <c r="AH836" s="18"/>
      <c r="AI836" s="18"/>
    </row>
    <row r="837" spans="1:35">
      <c r="A837" s="14">
        <v>835</v>
      </c>
      <c r="B837" s="14">
        <v>4873</v>
      </c>
      <c r="C837" s="14" t="s">
        <v>1016</v>
      </c>
      <c r="D837" s="14" t="s">
        <v>395</v>
      </c>
      <c r="E837" s="15" t="str">
        <f>"192.52"</f>
        <v>192.52</v>
      </c>
      <c r="F837" s="15"/>
      <c r="G837" s="16" t="str">
        <f>"332.59"</f>
        <v>332.59</v>
      </c>
      <c r="H837" s="17" t="s">
        <v>54</v>
      </c>
      <c r="I837" s="18">
        <v>2</v>
      </c>
      <c r="J837" s="18">
        <v>2016</v>
      </c>
      <c r="K837" s="18" t="str">
        <f>"192.52"</f>
        <v>192.52</v>
      </c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 t="str">
        <f>"292.59"</f>
        <v>292.59</v>
      </c>
      <c r="AC837" s="18"/>
      <c r="AD837" s="18"/>
      <c r="AE837" s="18"/>
      <c r="AF837" s="18"/>
      <c r="AG837" s="18"/>
      <c r="AH837" s="18"/>
      <c r="AI837" s="18"/>
    </row>
    <row r="838" spans="1:35">
      <c r="A838" s="14">
        <v>836</v>
      </c>
      <c r="B838" s="14">
        <v>9929</v>
      </c>
      <c r="C838" s="14" t="s">
        <v>1017</v>
      </c>
      <c r="D838" s="14" t="s">
        <v>354</v>
      </c>
      <c r="E838" s="15" t="str">
        <f>"292.69"</f>
        <v>292.69</v>
      </c>
      <c r="F838" s="15"/>
      <c r="G838" s="16" t="str">
        <f>"332.69"</f>
        <v>332.69</v>
      </c>
      <c r="H838" s="17" t="s">
        <v>48</v>
      </c>
      <c r="I838" s="18">
        <v>1</v>
      </c>
      <c r="J838" s="18">
        <v>2016</v>
      </c>
      <c r="K838" s="18" t="str">
        <f>"292.69"</f>
        <v>292.69</v>
      </c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</row>
    <row r="839" spans="1:35">
      <c r="A839" s="14">
        <v>837</v>
      </c>
      <c r="B839" s="14">
        <v>10202</v>
      </c>
      <c r="C839" s="14" t="s">
        <v>1018</v>
      </c>
      <c r="D839" s="14" t="s">
        <v>98</v>
      </c>
      <c r="E839" s="15" t="str">
        <f>"332.89"</f>
        <v>332.89</v>
      </c>
      <c r="F839" s="15"/>
      <c r="G839" s="16" t="str">
        <f>"332.89"</f>
        <v>332.89</v>
      </c>
      <c r="H839" s="17" t="s">
        <v>54</v>
      </c>
      <c r="I839" s="18">
        <v>4</v>
      </c>
      <c r="J839" s="18">
        <v>2016</v>
      </c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 t="str">
        <f>"292.89"</f>
        <v>292.89</v>
      </c>
      <c r="AA839" s="18"/>
      <c r="AB839" s="18"/>
      <c r="AC839" s="18"/>
      <c r="AD839" s="18"/>
      <c r="AE839" s="18"/>
      <c r="AF839" s="18"/>
      <c r="AG839" s="18"/>
      <c r="AH839" s="18"/>
      <c r="AI839" s="18"/>
    </row>
    <row r="840" spans="1:35">
      <c r="A840" s="14">
        <v>838</v>
      </c>
      <c r="B840" s="14">
        <v>8317</v>
      </c>
      <c r="C840" s="14" t="s">
        <v>1019</v>
      </c>
      <c r="D840" s="14" t="s">
        <v>816</v>
      </c>
      <c r="E840" s="15" t="str">
        <f>"293.40"</f>
        <v>293.40</v>
      </c>
      <c r="F840" s="15"/>
      <c r="G840" s="16" t="str">
        <f>"333.40"</f>
        <v>333.40</v>
      </c>
      <c r="H840" s="17" t="s">
        <v>48</v>
      </c>
      <c r="I840" s="18">
        <v>1</v>
      </c>
      <c r="J840" s="18">
        <v>2016</v>
      </c>
      <c r="K840" s="18" t="str">
        <f>"293.40"</f>
        <v>293.40</v>
      </c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</row>
    <row r="841" spans="1:35">
      <c r="A841" s="14">
        <v>839</v>
      </c>
      <c r="B841" s="14">
        <v>10993</v>
      </c>
      <c r="C841" s="14" t="s">
        <v>1020</v>
      </c>
      <c r="D841" s="14" t="s">
        <v>242</v>
      </c>
      <c r="E841" s="15" t="str">
        <f>"333.47"</f>
        <v>333.47</v>
      </c>
      <c r="F841" s="15"/>
      <c r="G841" s="16" t="str">
        <f>"333.47"</f>
        <v>333.47</v>
      </c>
      <c r="H841" s="17" t="s">
        <v>54</v>
      </c>
      <c r="I841" s="18">
        <v>4</v>
      </c>
      <c r="J841" s="18">
        <v>2016</v>
      </c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 t="str">
        <f>"293.47"</f>
        <v>293.47</v>
      </c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</row>
    <row r="842" spans="1:35">
      <c r="A842" s="14">
        <v>840</v>
      </c>
      <c r="B842" s="14">
        <v>6100</v>
      </c>
      <c r="C842" s="14" t="s">
        <v>1021</v>
      </c>
      <c r="D842" s="14" t="s">
        <v>62</v>
      </c>
      <c r="E842" s="15" t="str">
        <f>"278.67"</f>
        <v>278.67</v>
      </c>
      <c r="F842" s="15"/>
      <c r="G842" s="16" t="str">
        <f>"334.27"</f>
        <v>334.27</v>
      </c>
      <c r="H842" s="17"/>
      <c r="I842" s="18">
        <v>3</v>
      </c>
      <c r="J842" s="18">
        <v>2016</v>
      </c>
      <c r="K842" s="18" t="str">
        <f>"278.67"</f>
        <v>278.67</v>
      </c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 t="str">
        <f>"280.00"</f>
        <v>280.00</v>
      </c>
      <c r="X842" s="18"/>
      <c r="Y842" s="18"/>
      <c r="Z842" s="18"/>
      <c r="AA842" s="18"/>
      <c r="AB842" s="18" t="str">
        <f>"388.54"</f>
        <v>388.54</v>
      </c>
      <c r="AC842" s="18"/>
      <c r="AD842" s="18"/>
      <c r="AE842" s="18"/>
      <c r="AF842" s="18"/>
      <c r="AG842" s="18"/>
      <c r="AH842" s="18"/>
      <c r="AI842" s="18"/>
    </row>
    <row r="843" spans="1:35">
      <c r="A843" s="14">
        <v>841</v>
      </c>
      <c r="B843" s="14">
        <v>10167</v>
      </c>
      <c r="C843" s="14" t="s">
        <v>1022</v>
      </c>
      <c r="D843" s="14" t="s">
        <v>98</v>
      </c>
      <c r="E843" s="15" t="str">
        <f>"374.73"</f>
        <v>374.73</v>
      </c>
      <c r="F843" s="15"/>
      <c r="G843" s="16" t="str">
        <f>"334.72"</f>
        <v>334.72</v>
      </c>
      <c r="H843" s="17" t="s">
        <v>54</v>
      </c>
      <c r="I843" s="18">
        <v>2</v>
      </c>
      <c r="J843" s="18">
        <v>2016</v>
      </c>
      <c r="K843" s="18" t="str">
        <f>"454.74"</f>
        <v>454.74</v>
      </c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 t="str">
        <f>"294.72"</f>
        <v>294.72</v>
      </c>
      <c r="AA843" s="18"/>
      <c r="AB843" s="18"/>
      <c r="AC843" s="18"/>
      <c r="AD843" s="18"/>
      <c r="AE843" s="18"/>
      <c r="AF843" s="18"/>
      <c r="AG843" s="18"/>
      <c r="AH843" s="18"/>
      <c r="AI843" s="18"/>
    </row>
    <row r="844" spans="1:35">
      <c r="A844" s="14">
        <v>842</v>
      </c>
      <c r="B844" s="14">
        <v>10593</v>
      </c>
      <c r="C844" s="14" t="s">
        <v>1023</v>
      </c>
      <c r="D844" s="14" t="s">
        <v>76</v>
      </c>
      <c r="E844" s="15" t="str">
        <f>"313.53"</f>
        <v>313.53</v>
      </c>
      <c r="F844" s="15"/>
      <c r="G844" s="16" t="str">
        <f>"334.85"</f>
        <v>334.85</v>
      </c>
      <c r="H844" s="17"/>
      <c r="I844" s="18">
        <v>3</v>
      </c>
      <c r="J844" s="18">
        <v>2016</v>
      </c>
      <c r="K844" s="18" t="str">
        <f>"313.53"</f>
        <v>313.53</v>
      </c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 t="str">
        <f>"339.79"</f>
        <v>339.79</v>
      </c>
      <c r="Y844" s="18" t="str">
        <f>"329.91"</f>
        <v>329.91</v>
      </c>
      <c r="Z844" s="18"/>
      <c r="AA844" s="18"/>
      <c r="AB844" s="18"/>
      <c r="AC844" s="18"/>
      <c r="AD844" s="18"/>
      <c r="AE844" s="18"/>
      <c r="AF844" s="18"/>
      <c r="AG844" s="18"/>
      <c r="AH844" s="18" t="str">
        <f>"353.94"</f>
        <v>353.94</v>
      </c>
      <c r="AI844" s="18"/>
    </row>
    <row r="845" spans="1:35">
      <c r="A845" s="14">
        <v>843</v>
      </c>
      <c r="B845" s="14">
        <v>2283</v>
      </c>
      <c r="C845" s="14" t="s">
        <v>1024</v>
      </c>
      <c r="D845" s="14" t="s">
        <v>76</v>
      </c>
      <c r="E845" s="15" t="str">
        <f>"335.68"</f>
        <v>335.68</v>
      </c>
      <c r="F845" s="15"/>
      <c r="G845" s="16" t="str">
        <f>"335.68"</f>
        <v>335.68</v>
      </c>
      <c r="H845" s="17"/>
      <c r="I845" s="18">
        <v>3</v>
      </c>
      <c r="J845" s="18">
        <v>2016</v>
      </c>
      <c r="K845" s="18" t="str">
        <f>"371.18"</f>
        <v>371.18</v>
      </c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 t="str">
        <f>"381.54"</f>
        <v>381.54</v>
      </c>
      <c r="Y845" s="18"/>
      <c r="Z845" s="18"/>
      <c r="AA845" s="18"/>
      <c r="AB845" s="18"/>
      <c r="AC845" s="18" t="str">
        <f>"321.48"</f>
        <v>321.48</v>
      </c>
      <c r="AD845" s="18" t="str">
        <f>"349.88"</f>
        <v>349.88</v>
      </c>
      <c r="AE845" s="18"/>
      <c r="AF845" s="18"/>
      <c r="AG845" s="18"/>
      <c r="AH845" s="18"/>
      <c r="AI845" s="18"/>
    </row>
    <row r="846" spans="1:35">
      <c r="A846" s="14">
        <v>844</v>
      </c>
      <c r="B846" s="14">
        <v>10554</v>
      </c>
      <c r="C846" s="14" t="s">
        <v>1025</v>
      </c>
      <c r="D846" s="14" t="s">
        <v>76</v>
      </c>
      <c r="E846" s="15" t="str">
        <f>"336.08"</f>
        <v>336.08</v>
      </c>
      <c r="F846" s="15"/>
      <c r="G846" s="16" t="str">
        <f>"336.08"</f>
        <v>336.08</v>
      </c>
      <c r="H846" s="17"/>
      <c r="I846" s="18">
        <v>3</v>
      </c>
      <c r="J846" s="18">
        <v>2016</v>
      </c>
      <c r="K846" s="18" t="str">
        <f>"487.52"</f>
        <v>487.52</v>
      </c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 t="str">
        <f>"349.24"</f>
        <v>349.24</v>
      </c>
      <c r="Y846" s="18" t="str">
        <f>"402.08"</f>
        <v>402.08</v>
      </c>
      <c r="Z846" s="18"/>
      <c r="AA846" s="18"/>
      <c r="AB846" s="18"/>
      <c r="AC846" s="18" t="str">
        <f>"322.92"</f>
        <v>322.92</v>
      </c>
      <c r="AD846" s="18"/>
      <c r="AE846" s="18"/>
      <c r="AF846" s="18"/>
      <c r="AG846" s="18"/>
      <c r="AH846" s="18"/>
      <c r="AI846" s="18"/>
    </row>
    <row r="847" spans="1:35">
      <c r="A847" s="14">
        <v>845</v>
      </c>
      <c r="B847" s="14">
        <v>10021</v>
      </c>
      <c r="C847" s="14" t="s">
        <v>1026</v>
      </c>
      <c r="D847" s="14" t="s">
        <v>76</v>
      </c>
      <c r="E847" s="15" t="str">
        <f>"321.62"</f>
        <v>321.62</v>
      </c>
      <c r="F847" s="15"/>
      <c r="G847" s="16" t="str">
        <f>"336.54"</f>
        <v>336.54</v>
      </c>
      <c r="H847" s="17"/>
      <c r="I847" s="18">
        <v>3</v>
      </c>
      <c r="J847" s="18">
        <v>2016</v>
      </c>
      <c r="K847" s="18" t="str">
        <f>"321.62"</f>
        <v>321.62</v>
      </c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 t="str">
        <f>"345.19"</f>
        <v>345.19</v>
      </c>
      <c r="Y847" s="18" t="str">
        <f>"426.50"</f>
        <v>426.50</v>
      </c>
      <c r="Z847" s="18"/>
      <c r="AA847" s="18"/>
      <c r="AB847" s="18"/>
      <c r="AC847" s="18" t="str">
        <f>"327.88"</f>
        <v>327.88</v>
      </c>
      <c r="AD847" s="18" t="str">
        <f>"364.53"</f>
        <v>364.53</v>
      </c>
      <c r="AE847" s="18"/>
      <c r="AF847" s="18"/>
      <c r="AG847" s="18"/>
      <c r="AH847" s="18"/>
      <c r="AI847" s="18"/>
    </row>
    <row r="848" spans="1:35">
      <c r="A848" s="14">
        <v>846</v>
      </c>
      <c r="B848" s="14">
        <v>10165</v>
      </c>
      <c r="C848" s="14" t="s">
        <v>1027</v>
      </c>
      <c r="D848" s="14" t="s">
        <v>98</v>
      </c>
      <c r="E848" s="15" t="str">
        <f>"337.67"</f>
        <v>337.67</v>
      </c>
      <c r="F848" s="15"/>
      <c r="G848" s="16" t="str">
        <f>"337.67"</f>
        <v>337.67</v>
      </c>
      <c r="H848" s="17"/>
      <c r="I848" s="18">
        <v>3</v>
      </c>
      <c r="J848" s="18">
        <v>2016</v>
      </c>
      <c r="K848" s="18" t="str">
        <f>"547.39"</f>
        <v>547.39</v>
      </c>
      <c r="L848" s="18"/>
      <c r="M848" s="18"/>
      <c r="N848" s="18"/>
      <c r="O848" s="18"/>
      <c r="P848" s="18"/>
      <c r="Q848" s="18"/>
      <c r="R848" s="18"/>
      <c r="S848" s="18"/>
      <c r="T848" s="18"/>
      <c r="U848" s="18" t="str">
        <f>"444.60"</f>
        <v>444.60</v>
      </c>
      <c r="V848" s="18"/>
      <c r="W848" s="18"/>
      <c r="X848" s="18"/>
      <c r="Y848" s="18"/>
      <c r="Z848" s="18" t="str">
        <f>"230.73"</f>
        <v>230.73</v>
      </c>
      <c r="AA848" s="18"/>
      <c r="AB848" s="18"/>
      <c r="AC848" s="18"/>
      <c r="AD848" s="18"/>
      <c r="AE848" s="18"/>
      <c r="AF848" s="18"/>
      <c r="AG848" s="18"/>
      <c r="AH848" s="18"/>
      <c r="AI848" s="18"/>
    </row>
    <row r="849" spans="1:35">
      <c r="A849" s="14">
        <v>847</v>
      </c>
      <c r="B849" s="14">
        <v>1789</v>
      </c>
      <c r="C849" s="14" t="s">
        <v>1028</v>
      </c>
      <c r="D849" s="14" t="s">
        <v>222</v>
      </c>
      <c r="E849" s="15" t="str">
        <f>"298.78"</f>
        <v>298.78</v>
      </c>
      <c r="F849" s="15"/>
      <c r="G849" s="16" t="str">
        <f>"338.78"</f>
        <v>338.78</v>
      </c>
      <c r="H849" s="17" t="s">
        <v>48</v>
      </c>
      <c r="I849" s="18">
        <v>1</v>
      </c>
      <c r="J849" s="18">
        <v>2016</v>
      </c>
      <c r="K849" s="18" t="str">
        <f>"298.78"</f>
        <v>298.78</v>
      </c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</row>
    <row r="850" spans="1:35">
      <c r="A850" s="14">
        <v>848</v>
      </c>
      <c r="B850" s="14">
        <v>6548</v>
      </c>
      <c r="C850" s="14" t="s">
        <v>1029</v>
      </c>
      <c r="D850" s="14" t="s">
        <v>47</v>
      </c>
      <c r="E850" s="15" t="str">
        <f>"298.98"</f>
        <v>298.98</v>
      </c>
      <c r="F850" s="15"/>
      <c r="G850" s="16" t="str">
        <f>"338.98"</f>
        <v>338.98</v>
      </c>
      <c r="H850" s="17" t="s">
        <v>48</v>
      </c>
      <c r="I850" s="18">
        <v>1</v>
      </c>
      <c r="J850" s="18">
        <v>2016</v>
      </c>
      <c r="K850" s="18" t="str">
        <f>"298.98"</f>
        <v>298.98</v>
      </c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</row>
    <row r="851" spans="1:35">
      <c r="A851" s="14">
        <v>849</v>
      </c>
      <c r="B851" s="14">
        <v>10657</v>
      </c>
      <c r="C851" s="14" t="s">
        <v>1030</v>
      </c>
      <c r="D851" s="14" t="s">
        <v>39</v>
      </c>
      <c r="E851" s="15" t="str">
        <f>"352.58"</f>
        <v>352.58</v>
      </c>
      <c r="F851" s="15"/>
      <c r="G851" s="16" t="str">
        <f>"339.96"</f>
        <v>339.96</v>
      </c>
      <c r="H851" s="17" t="s">
        <v>54</v>
      </c>
      <c r="I851" s="18">
        <v>2</v>
      </c>
      <c r="J851" s="18">
        <v>2016</v>
      </c>
      <c r="K851" s="18" t="str">
        <f>"405.20"</f>
        <v>405.20</v>
      </c>
      <c r="L851" s="18"/>
      <c r="M851" s="18"/>
      <c r="N851" s="18"/>
      <c r="O851" s="18"/>
      <c r="P851" s="18"/>
      <c r="Q851" s="18"/>
      <c r="R851" s="18" t="str">
        <f>"299.96"</f>
        <v>299.96</v>
      </c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</row>
    <row r="852" spans="1:35">
      <c r="A852" s="14">
        <v>850</v>
      </c>
      <c r="B852" s="14">
        <v>10070</v>
      </c>
      <c r="C852" s="14" t="s">
        <v>1031</v>
      </c>
      <c r="D852" s="14" t="s">
        <v>76</v>
      </c>
      <c r="E852" s="15" t="str">
        <f>"300.02"</f>
        <v>300.02</v>
      </c>
      <c r="F852" s="15"/>
      <c r="G852" s="16" t="str">
        <f>"340.02"</f>
        <v>340.02</v>
      </c>
      <c r="H852" s="17" t="s">
        <v>48</v>
      </c>
      <c r="I852" s="18">
        <v>1</v>
      </c>
      <c r="J852" s="18">
        <v>2016</v>
      </c>
      <c r="K852" s="18" t="str">
        <f>"300.02"</f>
        <v>300.02</v>
      </c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</row>
    <row r="853" spans="1:35">
      <c r="A853" s="14">
        <v>851</v>
      </c>
      <c r="B853" s="14">
        <v>4114</v>
      </c>
      <c r="C853" s="14" t="s">
        <v>1032</v>
      </c>
      <c r="D853" s="14" t="s">
        <v>717</v>
      </c>
      <c r="E853" s="15" t="str">
        <f>"340.77"</f>
        <v>340.77</v>
      </c>
      <c r="F853" s="15"/>
      <c r="G853" s="16" t="str">
        <f>"340.77"</f>
        <v>340.77</v>
      </c>
      <c r="H853" s="17"/>
      <c r="I853" s="18">
        <v>5</v>
      </c>
      <c r="J853" s="18">
        <v>2016</v>
      </c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 t="str">
        <f>"373.23"</f>
        <v>373.23</v>
      </c>
      <c r="W853" s="18"/>
      <c r="X853" s="18"/>
      <c r="Y853" s="18"/>
      <c r="Z853" s="18"/>
      <c r="AA853" s="18"/>
      <c r="AB853" s="18"/>
      <c r="AC853" s="18"/>
      <c r="AD853" s="18"/>
      <c r="AE853" s="18" t="str">
        <f>"308.31"</f>
        <v>308.31</v>
      </c>
      <c r="AF853" s="18"/>
      <c r="AG853" s="18"/>
      <c r="AH853" s="18"/>
      <c r="AI853" s="18"/>
    </row>
    <row r="854" spans="1:35">
      <c r="A854" s="14">
        <v>852</v>
      </c>
      <c r="B854" s="14">
        <v>10499</v>
      </c>
      <c r="C854" s="14" t="s">
        <v>1033</v>
      </c>
      <c r="D854" s="14" t="s">
        <v>98</v>
      </c>
      <c r="E854" s="15" t="str">
        <f>"271.03"</f>
        <v>271.03</v>
      </c>
      <c r="F854" s="15"/>
      <c r="G854" s="16" t="str">
        <f>"341.08"</f>
        <v>341.08</v>
      </c>
      <c r="H854" s="17" t="s">
        <v>54</v>
      </c>
      <c r="I854" s="18">
        <v>2</v>
      </c>
      <c r="J854" s="18">
        <v>2016</v>
      </c>
      <c r="K854" s="18" t="str">
        <f>"271.03"</f>
        <v>271.03</v>
      </c>
      <c r="L854" s="18"/>
      <c r="M854" s="18"/>
      <c r="N854" s="18"/>
      <c r="O854" s="18"/>
      <c r="P854" s="18"/>
      <c r="Q854" s="18"/>
      <c r="R854" s="18"/>
      <c r="S854" s="18"/>
      <c r="T854" s="18"/>
      <c r="U854" s="18" t="str">
        <f>"301.08"</f>
        <v>301.08</v>
      </c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</row>
    <row r="855" spans="1:35">
      <c r="A855" s="14">
        <v>853</v>
      </c>
      <c r="B855" s="14">
        <v>2271</v>
      </c>
      <c r="C855" s="14" t="s">
        <v>1034</v>
      </c>
      <c r="D855" s="14" t="s">
        <v>76</v>
      </c>
      <c r="E855" s="15" t="str">
        <f>"272.58"</f>
        <v>272.58</v>
      </c>
      <c r="F855" s="15"/>
      <c r="G855" s="16" t="str">
        <f>"342.09"</f>
        <v>342.09</v>
      </c>
      <c r="H855" s="17"/>
      <c r="I855" s="18">
        <v>3</v>
      </c>
      <c r="J855" s="18">
        <v>2016</v>
      </c>
      <c r="K855" s="18" t="str">
        <f>"272.58"</f>
        <v>272.58</v>
      </c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 t="str">
        <f>"386.13"</f>
        <v>386.13</v>
      </c>
      <c r="Y855" s="18"/>
      <c r="Z855" s="18"/>
      <c r="AA855" s="18"/>
      <c r="AB855" s="18"/>
      <c r="AC855" s="18" t="str">
        <f>"336.15"</f>
        <v>336.15</v>
      </c>
      <c r="AD855" s="18" t="str">
        <f>"348.03"</f>
        <v>348.03</v>
      </c>
      <c r="AE855" s="18" t="str">
        <f>"385.73"</f>
        <v>385.73</v>
      </c>
      <c r="AF855" s="18" t="str">
        <f>"368.08"</f>
        <v>368.08</v>
      </c>
      <c r="AG855" s="18"/>
      <c r="AH855" s="18" t="str">
        <f>"349.13"</f>
        <v>349.13</v>
      </c>
      <c r="AI855" s="18"/>
    </row>
    <row r="856" spans="1:35">
      <c r="A856" s="14">
        <v>854</v>
      </c>
      <c r="B856" s="14">
        <v>10588</v>
      </c>
      <c r="C856" s="14" t="s">
        <v>1035</v>
      </c>
      <c r="D856" s="14" t="s">
        <v>76</v>
      </c>
      <c r="E856" s="15" t="str">
        <f>"342.14"</f>
        <v>342.14</v>
      </c>
      <c r="F856" s="15"/>
      <c r="G856" s="16" t="str">
        <f>"342.14"</f>
        <v>342.14</v>
      </c>
      <c r="H856" s="17"/>
      <c r="I856" s="18">
        <v>3</v>
      </c>
      <c r="J856" s="18">
        <v>2016</v>
      </c>
      <c r="K856" s="18" t="str">
        <f>"491.55"</f>
        <v>491.55</v>
      </c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 t="str">
        <f>"374.38"</f>
        <v>374.38</v>
      </c>
      <c r="Y856" s="18"/>
      <c r="Z856" s="18"/>
      <c r="AA856" s="18"/>
      <c r="AB856" s="18"/>
      <c r="AC856" s="18" t="str">
        <f>"309.90"</f>
        <v>309.90</v>
      </c>
      <c r="AD856" s="18"/>
      <c r="AE856" s="18"/>
      <c r="AF856" s="18"/>
      <c r="AG856" s="18"/>
      <c r="AH856" s="18"/>
      <c r="AI856" s="18"/>
    </row>
    <row r="857" spans="1:35">
      <c r="A857" s="14">
        <v>855</v>
      </c>
      <c r="B857" s="14">
        <v>10408</v>
      </c>
      <c r="C857" s="14" t="s">
        <v>1036</v>
      </c>
      <c r="D857" s="14" t="s">
        <v>98</v>
      </c>
      <c r="E857" s="15" t="str">
        <f>"302.63"</f>
        <v>302.63</v>
      </c>
      <c r="F857" s="15"/>
      <c r="G857" s="16" t="str">
        <f>"343.04"</f>
        <v>343.04</v>
      </c>
      <c r="H857" s="17"/>
      <c r="I857" s="18">
        <v>3</v>
      </c>
      <c r="J857" s="18">
        <v>2016</v>
      </c>
      <c r="K857" s="18" t="str">
        <f>"302.63"</f>
        <v>302.63</v>
      </c>
      <c r="L857" s="18"/>
      <c r="M857" s="18"/>
      <c r="N857" s="18"/>
      <c r="O857" s="18"/>
      <c r="P857" s="18"/>
      <c r="Q857" s="18"/>
      <c r="R857" s="18"/>
      <c r="S857" s="18"/>
      <c r="T857" s="18"/>
      <c r="U857" s="18" t="str">
        <f>"382.27"</f>
        <v>382.27</v>
      </c>
      <c r="V857" s="18"/>
      <c r="W857" s="18"/>
      <c r="X857" s="18"/>
      <c r="Y857" s="18"/>
      <c r="Z857" s="18" t="str">
        <f>"374.71"</f>
        <v>374.71</v>
      </c>
      <c r="AA857" s="18"/>
      <c r="AB857" s="18"/>
      <c r="AC857" s="18"/>
      <c r="AD857" s="18"/>
      <c r="AE857" s="18"/>
      <c r="AF857" s="18"/>
      <c r="AG857" s="18"/>
      <c r="AH857" s="18"/>
      <c r="AI857" s="18" t="str">
        <f>"311.37"</f>
        <v>311.37</v>
      </c>
    </row>
    <row r="858" spans="1:35">
      <c r="A858" s="14">
        <v>856</v>
      </c>
      <c r="B858" s="14">
        <v>10239</v>
      </c>
      <c r="C858" s="14" t="s">
        <v>1037</v>
      </c>
      <c r="D858" s="14" t="s">
        <v>41</v>
      </c>
      <c r="E858" s="15" t="str">
        <f>"235.79"</f>
        <v>235.79</v>
      </c>
      <c r="F858" s="15"/>
      <c r="G858" s="16" t="str">
        <f>"343.97"</f>
        <v>343.97</v>
      </c>
      <c r="H858" s="17" t="s">
        <v>54</v>
      </c>
      <c r="I858" s="18">
        <v>2</v>
      </c>
      <c r="J858" s="18">
        <v>2016</v>
      </c>
      <c r="K858" s="18" t="str">
        <f>"235.79"</f>
        <v>235.79</v>
      </c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 t="str">
        <f>"303.97"</f>
        <v>303.97</v>
      </c>
      <c r="AC858" s="18"/>
      <c r="AD858" s="18"/>
      <c r="AE858" s="18"/>
      <c r="AF858" s="18"/>
      <c r="AG858" s="18"/>
      <c r="AH858" s="18"/>
      <c r="AI858" s="18"/>
    </row>
    <row r="859" spans="1:35">
      <c r="A859" s="14">
        <v>857</v>
      </c>
      <c r="B859" s="14">
        <v>531</v>
      </c>
      <c r="C859" s="14" t="s">
        <v>1038</v>
      </c>
      <c r="D859" s="14" t="s">
        <v>53</v>
      </c>
      <c r="E859" s="15" t="str">
        <f>"344.48"</f>
        <v>344.48</v>
      </c>
      <c r="F859" s="15"/>
      <c r="G859" s="16" t="str">
        <f>"344.48"</f>
        <v>344.48</v>
      </c>
      <c r="H859" s="17" t="s">
        <v>54</v>
      </c>
      <c r="I859" s="18">
        <v>4</v>
      </c>
      <c r="J859" s="18">
        <v>2016</v>
      </c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 t="str">
        <f>"304.48"</f>
        <v>304.48</v>
      </c>
      <c r="AB859" s="18"/>
      <c r="AC859" s="18"/>
      <c r="AD859" s="18"/>
      <c r="AE859" s="18"/>
      <c r="AF859" s="18"/>
      <c r="AG859" s="18"/>
      <c r="AH859" s="18"/>
      <c r="AI859" s="18"/>
    </row>
    <row r="860" spans="1:35">
      <c r="A860" s="14">
        <v>858</v>
      </c>
      <c r="B860" s="14">
        <v>2831</v>
      </c>
      <c r="C860" s="14" t="s">
        <v>1039</v>
      </c>
      <c r="D860" s="14" t="s">
        <v>225</v>
      </c>
      <c r="E860" s="15" t="str">
        <f>"315.86"</f>
        <v>315.86</v>
      </c>
      <c r="F860" s="15"/>
      <c r="G860" s="16" t="str">
        <f>"344.75"</f>
        <v>344.75</v>
      </c>
      <c r="H860" s="17"/>
      <c r="I860" s="18">
        <v>3</v>
      </c>
      <c r="J860" s="18">
        <v>2016</v>
      </c>
      <c r="K860" s="18" t="str">
        <f>"333.19"</f>
        <v>333.19</v>
      </c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 t="str">
        <f>"298.52"</f>
        <v>298.52</v>
      </c>
      <c r="X860" s="18"/>
      <c r="Y860" s="18"/>
      <c r="Z860" s="18"/>
      <c r="AA860" s="18"/>
      <c r="AB860" s="18" t="str">
        <f>"390.98"</f>
        <v>390.98</v>
      </c>
      <c r="AC860" s="18"/>
      <c r="AD860" s="18"/>
      <c r="AE860" s="18"/>
      <c r="AF860" s="18"/>
      <c r="AG860" s="18"/>
      <c r="AH860" s="18"/>
      <c r="AI860" s="18"/>
    </row>
    <row r="861" spans="1:35">
      <c r="A861" s="14">
        <v>859</v>
      </c>
      <c r="B861" s="14">
        <v>5733</v>
      </c>
      <c r="C861" s="14" t="s">
        <v>1040</v>
      </c>
      <c r="D861" s="14" t="s">
        <v>289</v>
      </c>
      <c r="E861" s="15" t="str">
        <f>"306.78"</f>
        <v>306.78</v>
      </c>
      <c r="F861" s="15"/>
      <c r="G861" s="16" t="str">
        <f>"346.78"</f>
        <v>346.78</v>
      </c>
      <c r="H861" s="17" t="s">
        <v>48</v>
      </c>
      <c r="I861" s="18">
        <v>1</v>
      </c>
      <c r="J861" s="18">
        <v>2016</v>
      </c>
      <c r="K861" s="18" t="str">
        <f>"306.78"</f>
        <v>306.78</v>
      </c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</row>
    <row r="862" spans="1:35">
      <c r="A862" s="14">
        <v>860</v>
      </c>
      <c r="B862" s="14">
        <v>10454</v>
      </c>
      <c r="C862" s="14" t="s">
        <v>1041</v>
      </c>
      <c r="D862" s="14" t="s">
        <v>98</v>
      </c>
      <c r="E862" s="15" t="str">
        <f>"347.53"</f>
        <v>347.53</v>
      </c>
      <c r="F862" s="15"/>
      <c r="G862" s="16" t="str">
        <f>"347.53"</f>
        <v>347.53</v>
      </c>
      <c r="H862" s="17"/>
      <c r="I862" s="18">
        <v>3</v>
      </c>
      <c r="J862" s="18">
        <v>2016</v>
      </c>
      <c r="K862" s="18" t="str">
        <f>"578.74"</f>
        <v>578.74</v>
      </c>
      <c r="L862" s="18"/>
      <c r="M862" s="18"/>
      <c r="N862" s="18"/>
      <c r="O862" s="18"/>
      <c r="P862" s="18"/>
      <c r="Q862" s="18"/>
      <c r="R862" s="18"/>
      <c r="S862" s="18"/>
      <c r="T862" s="18"/>
      <c r="U862" s="18" t="str">
        <f>"416.79"</f>
        <v>416.79</v>
      </c>
      <c r="V862" s="18"/>
      <c r="W862" s="18"/>
      <c r="X862" s="18"/>
      <c r="Y862" s="18"/>
      <c r="Z862" s="18" t="str">
        <f>"278.27"</f>
        <v>278.27</v>
      </c>
      <c r="AA862" s="18"/>
      <c r="AB862" s="18"/>
      <c r="AC862" s="18"/>
      <c r="AD862" s="18"/>
      <c r="AE862" s="18"/>
      <c r="AF862" s="18"/>
      <c r="AG862" s="18"/>
      <c r="AH862" s="18"/>
      <c r="AI862" s="18"/>
    </row>
    <row r="863" spans="1:35">
      <c r="A863" s="14">
        <v>861</v>
      </c>
      <c r="B863" s="14">
        <v>10459</v>
      </c>
      <c r="C863" s="14" t="s">
        <v>1042</v>
      </c>
      <c r="D863" s="14" t="s">
        <v>98</v>
      </c>
      <c r="E863" s="15" t="str">
        <f>"347.58"</f>
        <v>347.58</v>
      </c>
      <c r="F863" s="15"/>
      <c r="G863" s="16" t="str">
        <f>"347.58"</f>
        <v>347.58</v>
      </c>
      <c r="H863" s="17"/>
      <c r="I863" s="18">
        <v>3</v>
      </c>
      <c r="J863" s="18">
        <v>2016</v>
      </c>
      <c r="K863" s="18" t="str">
        <f>"521.07"</f>
        <v>521.07</v>
      </c>
      <c r="L863" s="18"/>
      <c r="M863" s="18"/>
      <c r="N863" s="18"/>
      <c r="O863" s="18"/>
      <c r="P863" s="18"/>
      <c r="Q863" s="18"/>
      <c r="R863" s="18"/>
      <c r="S863" s="18"/>
      <c r="T863" s="18"/>
      <c r="U863" s="18" t="str">
        <f>"423.28"</f>
        <v>423.28</v>
      </c>
      <c r="V863" s="18"/>
      <c r="W863" s="18"/>
      <c r="X863" s="18"/>
      <c r="Y863" s="18"/>
      <c r="Z863" s="18" t="str">
        <f>"271.87"</f>
        <v>271.87</v>
      </c>
      <c r="AA863" s="18"/>
      <c r="AB863" s="18"/>
      <c r="AC863" s="18"/>
      <c r="AD863" s="18"/>
      <c r="AE863" s="18"/>
      <c r="AF863" s="18"/>
      <c r="AG863" s="18"/>
      <c r="AH863" s="18"/>
      <c r="AI863" s="18"/>
    </row>
    <row r="864" spans="1:35">
      <c r="A864" s="14">
        <v>862</v>
      </c>
      <c r="B864" s="14">
        <v>3398</v>
      </c>
      <c r="C864" s="14" t="s">
        <v>1043</v>
      </c>
      <c r="D864" s="14" t="s">
        <v>911</v>
      </c>
      <c r="E864" s="15" t="str">
        <f>"338.13"</f>
        <v>338.13</v>
      </c>
      <c r="F864" s="15"/>
      <c r="G864" s="16" t="str">
        <f>"347.78"</f>
        <v>347.78</v>
      </c>
      <c r="H864" s="17"/>
      <c r="I864" s="18">
        <v>3</v>
      </c>
      <c r="J864" s="18">
        <v>2016</v>
      </c>
      <c r="K864" s="18" t="str">
        <f>"370.99"</f>
        <v>370.99</v>
      </c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 t="str">
        <f>"305.26"</f>
        <v>305.26</v>
      </c>
      <c r="X864" s="18"/>
      <c r="Y864" s="18"/>
      <c r="Z864" s="18"/>
      <c r="AA864" s="18"/>
      <c r="AB864" s="18" t="str">
        <f>"390.30"</f>
        <v>390.30</v>
      </c>
      <c r="AC864" s="18"/>
      <c r="AD864" s="18"/>
      <c r="AE864" s="18"/>
      <c r="AF864" s="18"/>
      <c r="AG864" s="18"/>
      <c r="AH864" s="18"/>
      <c r="AI864" s="18"/>
    </row>
    <row r="865" spans="1:35">
      <c r="A865" s="14">
        <v>863</v>
      </c>
      <c r="B865" s="14">
        <v>5821</v>
      </c>
      <c r="C865" s="14" t="s">
        <v>1044</v>
      </c>
      <c r="D865" s="14" t="s">
        <v>114</v>
      </c>
      <c r="E865" s="15" t="str">
        <f>"348.36"</f>
        <v>348.36</v>
      </c>
      <c r="F865" s="15"/>
      <c r="G865" s="16" t="str">
        <f>"348.36"</f>
        <v>348.36</v>
      </c>
      <c r="H865" s="17" t="s">
        <v>54</v>
      </c>
      <c r="I865" s="18">
        <v>4</v>
      </c>
      <c r="J865" s="18">
        <v>2016</v>
      </c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 t="str">
        <f>"308.36"</f>
        <v>308.36</v>
      </c>
      <c r="AB865" s="18"/>
      <c r="AC865" s="18"/>
      <c r="AD865" s="18"/>
      <c r="AE865" s="18"/>
      <c r="AF865" s="18"/>
      <c r="AG865" s="18"/>
      <c r="AH865" s="18"/>
      <c r="AI865" s="18"/>
    </row>
    <row r="866" spans="1:35">
      <c r="A866" s="14">
        <v>864</v>
      </c>
      <c r="B866" s="14">
        <v>5772</v>
      </c>
      <c r="C866" s="14" t="s">
        <v>1045</v>
      </c>
      <c r="D866" s="14" t="s">
        <v>424</v>
      </c>
      <c r="E866" s="15" t="str">
        <f>"308.45"</f>
        <v>308.45</v>
      </c>
      <c r="F866" s="15"/>
      <c r="G866" s="16" t="str">
        <f>"348.45"</f>
        <v>348.45</v>
      </c>
      <c r="H866" s="17" t="s">
        <v>48</v>
      </c>
      <c r="I866" s="18">
        <v>1</v>
      </c>
      <c r="J866" s="18">
        <v>2016</v>
      </c>
      <c r="K866" s="18" t="str">
        <f>"308.45"</f>
        <v>308.45</v>
      </c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</row>
    <row r="867" spans="1:35">
      <c r="A867" s="14">
        <v>865</v>
      </c>
      <c r="B867" s="14">
        <v>9958</v>
      </c>
      <c r="C867" s="14" t="s">
        <v>1046</v>
      </c>
      <c r="D867" s="14" t="s">
        <v>98</v>
      </c>
      <c r="E867" s="15" t="str">
        <f>"348.82"</f>
        <v>348.82</v>
      </c>
      <c r="F867" s="15"/>
      <c r="G867" s="16" t="str">
        <f>"348.82"</f>
        <v>348.82</v>
      </c>
      <c r="H867" s="17"/>
      <c r="I867" s="18">
        <v>3</v>
      </c>
      <c r="J867" s="18">
        <v>2016</v>
      </c>
      <c r="K867" s="18" t="str">
        <f>"418.94"</f>
        <v>418.94</v>
      </c>
      <c r="L867" s="18"/>
      <c r="M867" s="18"/>
      <c r="N867" s="18"/>
      <c r="O867" s="18"/>
      <c r="P867" s="18"/>
      <c r="Q867" s="18"/>
      <c r="R867" s="18"/>
      <c r="S867" s="18"/>
      <c r="T867" s="18"/>
      <c r="U867" s="18" t="str">
        <f>"524.87"</f>
        <v>524.87</v>
      </c>
      <c r="V867" s="18"/>
      <c r="W867" s="18"/>
      <c r="X867" s="18"/>
      <c r="Y867" s="18"/>
      <c r="Z867" s="18" t="str">
        <f>"314.83"</f>
        <v>314.83</v>
      </c>
      <c r="AA867" s="18"/>
      <c r="AB867" s="18"/>
      <c r="AC867" s="18"/>
      <c r="AD867" s="18"/>
      <c r="AE867" s="18"/>
      <c r="AF867" s="18"/>
      <c r="AG867" s="18" t="str">
        <f>"446.19"</f>
        <v>446.19</v>
      </c>
      <c r="AH867" s="18"/>
      <c r="AI867" s="18" t="str">
        <f>"382.80"</f>
        <v>382.80</v>
      </c>
    </row>
    <row r="868" spans="1:35">
      <c r="A868" s="14">
        <v>866</v>
      </c>
      <c r="B868" s="14">
        <v>10656</v>
      </c>
      <c r="C868" s="14" t="s">
        <v>1047</v>
      </c>
      <c r="D868" s="14" t="s">
        <v>39</v>
      </c>
      <c r="E868" s="15" t="str">
        <f>"331.53"</f>
        <v>331.53</v>
      </c>
      <c r="F868" s="15"/>
      <c r="G868" s="16" t="str">
        <f>"349.57"</f>
        <v>349.57</v>
      </c>
      <c r="H868" s="17"/>
      <c r="I868" s="18">
        <v>3</v>
      </c>
      <c r="J868" s="18">
        <v>2016</v>
      </c>
      <c r="K868" s="18" t="str">
        <f>"384.73"</f>
        <v>384.73</v>
      </c>
      <c r="L868" s="18"/>
      <c r="M868" s="18"/>
      <c r="N868" s="18"/>
      <c r="O868" s="18"/>
      <c r="P868" s="18" t="str">
        <f>"420.81"</f>
        <v>420.81</v>
      </c>
      <c r="Q868" s="18"/>
      <c r="R868" s="18" t="str">
        <f>"278.33"</f>
        <v>278.33</v>
      </c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</row>
    <row r="869" spans="1:35">
      <c r="A869" s="14">
        <v>867</v>
      </c>
      <c r="B869" s="14">
        <v>4892</v>
      </c>
      <c r="C869" s="14" t="s">
        <v>1048</v>
      </c>
      <c r="D869" s="14" t="s">
        <v>103</v>
      </c>
      <c r="E869" s="15" t="str">
        <f>"338.32"</f>
        <v>338.32</v>
      </c>
      <c r="F869" s="15"/>
      <c r="G869" s="16" t="str">
        <f>"349.73"</f>
        <v>349.73</v>
      </c>
      <c r="H869" s="17" t="s">
        <v>54</v>
      </c>
      <c r="I869" s="18">
        <v>2</v>
      </c>
      <c r="J869" s="18">
        <v>2016</v>
      </c>
      <c r="K869" s="18" t="str">
        <f>"366.90"</f>
        <v>366.90</v>
      </c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 t="str">
        <f>"309.73"</f>
        <v>309.73</v>
      </c>
      <c r="AI869" s="18"/>
    </row>
    <row r="870" spans="1:35">
      <c r="A870" s="14">
        <v>868</v>
      </c>
      <c r="B870" s="14">
        <v>2452</v>
      </c>
      <c r="C870" s="14" t="s">
        <v>1049</v>
      </c>
      <c r="D870" s="14" t="s">
        <v>337</v>
      </c>
      <c r="E870" s="15" t="str">
        <f>"311.28"</f>
        <v>311.28</v>
      </c>
      <c r="F870" s="15"/>
      <c r="G870" s="16" t="str">
        <f>"351.28"</f>
        <v>351.28</v>
      </c>
      <c r="H870" s="17" t="s">
        <v>48</v>
      </c>
      <c r="I870" s="18">
        <v>1</v>
      </c>
      <c r="J870" s="18">
        <v>2016</v>
      </c>
      <c r="K870" s="18" t="str">
        <f>"311.28"</f>
        <v>311.28</v>
      </c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</row>
    <row r="871" spans="1:35">
      <c r="A871" s="14">
        <v>869</v>
      </c>
      <c r="B871" s="14">
        <v>9469</v>
      </c>
      <c r="C871" s="14" t="s">
        <v>1050</v>
      </c>
      <c r="D871" s="14" t="s">
        <v>107</v>
      </c>
      <c r="E871" s="15" t="str">
        <f>"271.40"</f>
        <v>271.40</v>
      </c>
      <c r="F871" s="15"/>
      <c r="G871" s="16" t="str">
        <f>"351.51"</f>
        <v>351.51</v>
      </c>
      <c r="H871" s="17" t="s">
        <v>54</v>
      </c>
      <c r="I871" s="18">
        <v>2</v>
      </c>
      <c r="J871" s="18">
        <v>2016</v>
      </c>
      <c r="K871" s="18" t="str">
        <f>"271.40"</f>
        <v>271.40</v>
      </c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 t="str">
        <f>"311.51"</f>
        <v>311.51</v>
      </c>
      <c r="AH871" s="18"/>
      <c r="AI871" s="18"/>
    </row>
    <row r="872" spans="1:35">
      <c r="A872" s="14">
        <v>870</v>
      </c>
      <c r="B872" s="14">
        <v>8505</v>
      </c>
      <c r="C872" s="14" t="s">
        <v>1051</v>
      </c>
      <c r="D872" s="14" t="s">
        <v>76</v>
      </c>
      <c r="E872" s="15" t="str">
        <f>"347.44"</f>
        <v>347.44</v>
      </c>
      <c r="F872" s="15"/>
      <c r="G872" s="16" t="str">
        <f>"351.66"</f>
        <v>351.66</v>
      </c>
      <c r="H872" s="17"/>
      <c r="I872" s="18">
        <v>3</v>
      </c>
      <c r="J872" s="18">
        <v>2016</v>
      </c>
      <c r="K872" s="18" t="str">
        <f>"371.29"</f>
        <v>371.29</v>
      </c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 t="str">
        <f>"380.73"</f>
        <v>380.73</v>
      </c>
      <c r="Y872" s="18"/>
      <c r="Z872" s="18"/>
      <c r="AA872" s="18"/>
      <c r="AB872" s="18"/>
      <c r="AC872" s="18" t="str">
        <f>"323.58"</f>
        <v>323.58</v>
      </c>
      <c r="AD872" s="18" t="str">
        <f>"379.73"</f>
        <v>379.73</v>
      </c>
      <c r="AE872" s="18"/>
      <c r="AF872" s="18"/>
      <c r="AG872" s="18"/>
      <c r="AH872" s="18"/>
      <c r="AI872" s="18"/>
    </row>
    <row r="873" spans="1:35">
      <c r="A873" s="14">
        <v>871</v>
      </c>
      <c r="B873" s="14">
        <v>7778</v>
      </c>
      <c r="C873" s="14" t="s">
        <v>1052</v>
      </c>
      <c r="D873" s="14" t="s">
        <v>81</v>
      </c>
      <c r="E873" s="15" t="str">
        <f>"351.93"</f>
        <v>351.93</v>
      </c>
      <c r="F873" s="15"/>
      <c r="G873" s="16" t="str">
        <f>"351.93"</f>
        <v>351.93</v>
      </c>
      <c r="H873" s="17" t="s">
        <v>54</v>
      </c>
      <c r="I873" s="18">
        <v>4</v>
      </c>
      <c r="J873" s="18">
        <v>2016</v>
      </c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 t="str">
        <f>"311.93"</f>
        <v>311.93</v>
      </c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</row>
    <row r="874" spans="1:35">
      <c r="A874" s="14">
        <v>872</v>
      </c>
      <c r="B874" s="14">
        <v>778</v>
      </c>
      <c r="C874" s="14" t="s">
        <v>1053</v>
      </c>
      <c r="D874" s="14" t="s">
        <v>1054</v>
      </c>
      <c r="E874" s="15" t="str">
        <f>"311.97"</f>
        <v>311.97</v>
      </c>
      <c r="F874" s="15"/>
      <c r="G874" s="16" t="str">
        <f>"351.97"</f>
        <v>351.97</v>
      </c>
      <c r="H874" s="17" t="s">
        <v>48</v>
      </c>
      <c r="I874" s="18">
        <v>1</v>
      </c>
      <c r="J874" s="18">
        <v>2016</v>
      </c>
      <c r="K874" s="18" t="str">
        <f>"311.97"</f>
        <v>311.97</v>
      </c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</row>
    <row r="875" spans="1:35">
      <c r="A875" s="14">
        <v>873</v>
      </c>
      <c r="B875" s="14">
        <v>2175</v>
      </c>
      <c r="C875" s="14" t="s">
        <v>1055</v>
      </c>
      <c r="D875" s="14" t="s">
        <v>76</v>
      </c>
      <c r="E875" s="15" t="str">
        <f>"352.08"</f>
        <v>352.08</v>
      </c>
      <c r="F875" s="15"/>
      <c r="G875" s="16" t="str">
        <f>"352.08"</f>
        <v>352.08</v>
      </c>
      <c r="H875" s="17"/>
      <c r="I875" s="18">
        <v>3</v>
      </c>
      <c r="J875" s="18">
        <v>2016</v>
      </c>
      <c r="K875" s="18" t="str">
        <f>"456.86"</f>
        <v>456.86</v>
      </c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 t="str">
        <f>"404.64"</f>
        <v>404.64</v>
      </c>
      <c r="Y875" s="18"/>
      <c r="Z875" s="18"/>
      <c r="AA875" s="18"/>
      <c r="AB875" s="18"/>
      <c r="AC875" s="18" t="str">
        <f>"342.44"</f>
        <v>342.44</v>
      </c>
      <c r="AD875" s="18" t="str">
        <f>"361.71"</f>
        <v>361.71</v>
      </c>
      <c r="AE875" s="18"/>
      <c r="AF875" s="18"/>
      <c r="AG875" s="18"/>
      <c r="AH875" s="18" t="str">
        <f>"481.94"</f>
        <v>481.94</v>
      </c>
      <c r="AI875" s="18"/>
    </row>
    <row r="876" spans="1:35">
      <c r="A876" s="14">
        <v>874</v>
      </c>
      <c r="B876" s="14">
        <v>10479</v>
      </c>
      <c r="C876" s="14" t="s">
        <v>1056</v>
      </c>
      <c r="D876" s="14" t="s">
        <v>98</v>
      </c>
      <c r="E876" s="15" t="str">
        <f>"352.09"</f>
        <v>352.09</v>
      </c>
      <c r="F876" s="15"/>
      <c r="G876" s="16" t="str">
        <f>"352.09"</f>
        <v>352.09</v>
      </c>
      <c r="H876" s="17"/>
      <c r="I876" s="18">
        <v>3</v>
      </c>
      <c r="J876" s="18">
        <v>2016</v>
      </c>
      <c r="K876" s="18" t="str">
        <f>"455.98"</f>
        <v>455.98</v>
      </c>
      <c r="L876" s="18"/>
      <c r="M876" s="18"/>
      <c r="N876" s="18"/>
      <c r="O876" s="18"/>
      <c r="P876" s="18"/>
      <c r="Q876" s="18"/>
      <c r="R876" s="18"/>
      <c r="S876" s="18"/>
      <c r="T876" s="18"/>
      <c r="U876" s="18" t="str">
        <f>"402.60"</f>
        <v>402.60</v>
      </c>
      <c r="V876" s="18"/>
      <c r="W876" s="18"/>
      <c r="X876" s="18"/>
      <c r="Y876" s="18"/>
      <c r="Z876" s="18" t="str">
        <f>"301.58"</f>
        <v>301.58</v>
      </c>
      <c r="AA876" s="18"/>
      <c r="AB876" s="18"/>
      <c r="AC876" s="18"/>
      <c r="AD876" s="18"/>
      <c r="AE876" s="18"/>
      <c r="AF876" s="18"/>
      <c r="AG876" s="18"/>
      <c r="AH876" s="18"/>
      <c r="AI876" s="18"/>
    </row>
    <row r="877" spans="1:35">
      <c r="A877" s="14">
        <v>875</v>
      </c>
      <c r="B877" s="14">
        <v>10871</v>
      </c>
      <c r="C877" s="14" t="s">
        <v>1057</v>
      </c>
      <c r="D877" s="14" t="s">
        <v>76</v>
      </c>
      <c r="E877" s="15" t="str">
        <f>"352.37"</f>
        <v>352.37</v>
      </c>
      <c r="F877" s="15"/>
      <c r="G877" s="16" t="str">
        <f>"352.37"</f>
        <v>352.37</v>
      </c>
      <c r="H877" s="17"/>
      <c r="I877" s="18">
        <v>5</v>
      </c>
      <c r="J877" s="18">
        <v>2016</v>
      </c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 t="str">
        <f>"526.65"</f>
        <v>526.65</v>
      </c>
      <c r="Y877" s="18"/>
      <c r="Z877" s="18"/>
      <c r="AA877" s="18"/>
      <c r="AB877" s="18"/>
      <c r="AC877" s="18" t="str">
        <f>"378.72"</f>
        <v>378.72</v>
      </c>
      <c r="AD877" s="18"/>
      <c r="AE877" s="18"/>
      <c r="AF877" s="18"/>
      <c r="AG877" s="18"/>
      <c r="AH877" s="18" t="str">
        <f>"326.01"</f>
        <v>326.01</v>
      </c>
      <c r="AI877" s="18"/>
    </row>
    <row r="878" spans="1:35">
      <c r="A878" s="14">
        <v>876</v>
      </c>
      <c r="B878" s="14">
        <v>10140</v>
      </c>
      <c r="C878" s="14" t="s">
        <v>1058</v>
      </c>
      <c r="D878" s="14" t="s">
        <v>98</v>
      </c>
      <c r="E878" s="15" t="str">
        <f>"375.73"</f>
        <v>375.73</v>
      </c>
      <c r="F878" s="15"/>
      <c r="G878" s="16" t="str">
        <f>"352.55"</f>
        <v>352.55</v>
      </c>
      <c r="H878" s="17" t="s">
        <v>54</v>
      </c>
      <c r="I878" s="18">
        <v>2</v>
      </c>
      <c r="J878" s="18">
        <v>2016</v>
      </c>
      <c r="K878" s="18" t="str">
        <f>"438.90"</f>
        <v>438.90</v>
      </c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 t="str">
        <f>"312.55"</f>
        <v>312.55</v>
      </c>
      <c r="AA878" s="18"/>
      <c r="AB878" s="18"/>
      <c r="AC878" s="18"/>
      <c r="AD878" s="18"/>
      <c r="AE878" s="18"/>
      <c r="AF878" s="18"/>
      <c r="AG878" s="18"/>
      <c r="AH878" s="18"/>
      <c r="AI878" s="18"/>
    </row>
    <row r="879" spans="1:35">
      <c r="A879" s="14">
        <v>877</v>
      </c>
      <c r="B879" s="14">
        <v>10148</v>
      </c>
      <c r="C879" s="14" t="s">
        <v>1059</v>
      </c>
      <c r="D879" s="14" t="s">
        <v>98</v>
      </c>
      <c r="E879" s="15" t="str">
        <f>"401.81"</f>
        <v>401.81</v>
      </c>
      <c r="F879" s="15"/>
      <c r="G879" s="16" t="str">
        <f>"352.55"</f>
        <v>352.55</v>
      </c>
      <c r="H879" s="17" t="s">
        <v>54</v>
      </c>
      <c r="I879" s="18">
        <v>2</v>
      </c>
      <c r="J879" s="18">
        <v>2016</v>
      </c>
      <c r="K879" s="18" t="str">
        <f>"491.06"</f>
        <v>491.06</v>
      </c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 t="str">
        <f>"312.55"</f>
        <v>312.55</v>
      </c>
      <c r="AA879" s="18"/>
      <c r="AB879" s="18"/>
      <c r="AC879" s="18"/>
      <c r="AD879" s="18"/>
      <c r="AE879" s="18"/>
      <c r="AF879" s="18"/>
      <c r="AG879" s="18"/>
      <c r="AH879" s="18"/>
      <c r="AI879" s="18"/>
    </row>
    <row r="880" spans="1:35">
      <c r="A880" s="14">
        <v>878</v>
      </c>
      <c r="B880" s="14">
        <v>8645</v>
      </c>
      <c r="C880" s="14" t="s">
        <v>1060</v>
      </c>
      <c r="D880" s="14" t="s">
        <v>76</v>
      </c>
      <c r="E880" s="15" t="str">
        <f>"193.92"</f>
        <v>193.92</v>
      </c>
      <c r="F880" s="15"/>
      <c r="G880" s="16" t="str">
        <f>"352.62"</f>
        <v>352.62</v>
      </c>
      <c r="H880" s="17" t="s">
        <v>54</v>
      </c>
      <c r="I880" s="18">
        <v>2</v>
      </c>
      <c r="J880" s="18">
        <v>2016</v>
      </c>
      <c r="K880" s="18" t="str">
        <f>"193.92"</f>
        <v>193.92</v>
      </c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 t="str">
        <f>"312.62"</f>
        <v>312.62</v>
      </c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</row>
    <row r="881" spans="1:35">
      <c r="A881" s="14">
        <v>879</v>
      </c>
      <c r="B881" s="14">
        <v>10219</v>
      </c>
      <c r="C881" s="14" t="s">
        <v>1061</v>
      </c>
      <c r="D881" s="14" t="s">
        <v>76</v>
      </c>
      <c r="E881" s="15" t="str">
        <f>"313.48"</f>
        <v>313.48</v>
      </c>
      <c r="F881" s="15"/>
      <c r="G881" s="16" t="str">
        <f>"353.48"</f>
        <v>353.48</v>
      </c>
      <c r="H881" s="17" t="s">
        <v>48</v>
      </c>
      <c r="I881" s="18">
        <v>1</v>
      </c>
      <c r="J881" s="18">
        <v>2016</v>
      </c>
      <c r="K881" s="18" t="str">
        <f>"313.48"</f>
        <v>313.48</v>
      </c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</row>
    <row r="882" spans="1:35">
      <c r="A882" s="14">
        <v>880</v>
      </c>
      <c r="B882" s="14">
        <v>10364</v>
      </c>
      <c r="C882" s="14" t="s">
        <v>1062</v>
      </c>
      <c r="D882" s="14" t="s">
        <v>148</v>
      </c>
      <c r="E882" s="15" t="str">
        <f>"314.32"</f>
        <v>314.32</v>
      </c>
      <c r="F882" s="15"/>
      <c r="G882" s="16" t="str">
        <f>"354.32"</f>
        <v>354.32</v>
      </c>
      <c r="H882" s="17" t="s">
        <v>48</v>
      </c>
      <c r="I882" s="18">
        <v>1</v>
      </c>
      <c r="J882" s="18">
        <v>2016</v>
      </c>
      <c r="K882" s="18" t="str">
        <f>"314.32"</f>
        <v>314.32</v>
      </c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</row>
    <row r="883" spans="1:35">
      <c r="A883" s="14">
        <v>881</v>
      </c>
      <c r="B883" s="14">
        <v>5829</v>
      </c>
      <c r="C883" s="14" t="s">
        <v>1063</v>
      </c>
      <c r="D883" s="14" t="s">
        <v>186</v>
      </c>
      <c r="E883" s="15" t="str">
        <f>"314.41"</f>
        <v>314.41</v>
      </c>
      <c r="F883" s="15"/>
      <c r="G883" s="16" t="str">
        <f>"354.41"</f>
        <v>354.41</v>
      </c>
      <c r="H883" s="17" t="s">
        <v>48</v>
      </c>
      <c r="I883" s="18">
        <v>1</v>
      </c>
      <c r="J883" s="18">
        <v>2016</v>
      </c>
      <c r="K883" s="18" t="str">
        <f>"314.41"</f>
        <v>314.41</v>
      </c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</row>
    <row r="884" spans="1:35">
      <c r="A884" s="14">
        <v>882</v>
      </c>
      <c r="B884" s="14">
        <v>10419</v>
      </c>
      <c r="C884" s="14" t="s">
        <v>1064</v>
      </c>
      <c r="D884" s="14" t="s">
        <v>98</v>
      </c>
      <c r="E884" s="15" t="str">
        <f>"433.56"</f>
        <v>433.56</v>
      </c>
      <c r="F884" s="15"/>
      <c r="G884" s="16" t="str">
        <f>"354.83"</f>
        <v>354.83</v>
      </c>
      <c r="H884" s="17" t="s">
        <v>54</v>
      </c>
      <c r="I884" s="18">
        <v>2</v>
      </c>
      <c r="J884" s="18">
        <v>2016</v>
      </c>
      <c r="K884" s="18" t="str">
        <f>"552.29"</f>
        <v>552.29</v>
      </c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 t="str">
        <f>"314.83"</f>
        <v>314.83</v>
      </c>
      <c r="AA884" s="18"/>
      <c r="AB884" s="18"/>
      <c r="AC884" s="18"/>
      <c r="AD884" s="18"/>
      <c r="AE884" s="18"/>
      <c r="AF884" s="18"/>
      <c r="AG884" s="18"/>
      <c r="AH884" s="18"/>
      <c r="AI884" s="18"/>
    </row>
    <row r="885" spans="1:35">
      <c r="A885" s="14">
        <v>883</v>
      </c>
      <c r="B885" s="14">
        <v>11040</v>
      </c>
      <c r="C885" s="14" t="s">
        <v>1065</v>
      </c>
      <c r="D885" s="14" t="s">
        <v>148</v>
      </c>
      <c r="E885" s="15" t="str">
        <f>"354.88"</f>
        <v>354.88</v>
      </c>
      <c r="F885" s="15"/>
      <c r="G885" s="16" t="str">
        <f>"354.88"</f>
        <v>354.88</v>
      </c>
      <c r="H885" s="17" t="s">
        <v>54</v>
      </c>
      <c r="I885" s="18">
        <v>4</v>
      </c>
      <c r="J885" s="18">
        <v>2016</v>
      </c>
      <c r="K885" s="18"/>
      <c r="L885" s="18"/>
      <c r="M885" s="18"/>
      <c r="N885" s="18"/>
      <c r="O885" s="18"/>
      <c r="P885" s="18"/>
      <c r="Q885" s="18"/>
      <c r="R885" s="18" t="str">
        <f>"314.88"</f>
        <v>314.88</v>
      </c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</row>
    <row r="886" spans="1:35">
      <c r="A886" s="14">
        <v>884</v>
      </c>
      <c r="B886" s="14">
        <v>10502</v>
      </c>
      <c r="C886" s="14" t="s">
        <v>1066</v>
      </c>
      <c r="D886" s="14" t="s">
        <v>98</v>
      </c>
      <c r="E886" s="15" t="str">
        <f>"315.22"</f>
        <v>315.22</v>
      </c>
      <c r="F886" s="15"/>
      <c r="G886" s="16" t="str">
        <f>"355.22"</f>
        <v>355.22</v>
      </c>
      <c r="H886" s="17" t="s">
        <v>48</v>
      </c>
      <c r="I886" s="18">
        <v>1</v>
      </c>
      <c r="J886" s="18">
        <v>2016</v>
      </c>
      <c r="K886" s="18" t="str">
        <f>"315.22"</f>
        <v>315.22</v>
      </c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</row>
    <row r="887" spans="1:35">
      <c r="A887" s="14">
        <v>885</v>
      </c>
      <c r="B887" s="14">
        <v>3106</v>
      </c>
      <c r="C887" s="14" t="s">
        <v>1067</v>
      </c>
      <c r="D887" s="14" t="s">
        <v>139</v>
      </c>
      <c r="E887" s="15" t="str">
        <f>"315.66"</f>
        <v>315.66</v>
      </c>
      <c r="F887" s="15"/>
      <c r="G887" s="16" t="str">
        <f>"355.66"</f>
        <v>355.66</v>
      </c>
      <c r="H887" s="17" t="s">
        <v>48</v>
      </c>
      <c r="I887" s="18">
        <v>1</v>
      </c>
      <c r="J887" s="18">
        <v>2016</v>
      </c>
      <c r="K887" s="18" t="str">
        <f>"315.66"</f>
        <v>315.66</v>
      </c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</row>
    <row r="888" spans="1:35">
      <c r="A888" s="14">
        <v>886</v>
      </c>
      <c r="B888" s="14">
        <v>6414</v>
      </c>
      <c r="C888" s="14" t="s">
        <v>1068</v>
      </c>
      <c r="D888" s="14" t="s">
        <v>651</v>
      </c>
      <c r="E888" s="15" t="str">
        <f>"289.49"</f>
        <v>289.49</v>
      </c>
      <c r="F888" s="15"/>
      <c r="G888" s="16" t="str">
        <f>"356.31"</f>
        <v>356.31</v>
      </c>
      <c r="H888" s="17" t="s">
        <v>54</v>
      </c>
      <c r="I888" s="18">
        <v>2</v>
      </c>
      <c r="J888" s="18">
        <v>2016</v>
      </c>
      <c r="K888" s="18" t="str">
        <f>"289.49"</f>
        <v>289.49</v>
      </c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 t="str">
        <f>"316.31"</f>
        <v>316.31</v>
      </c>
      <c r="AC888" s="18"/>
      <c r="AD888" s="18"/>
      <c r="AE888" s="18"/>
      <c r="AF888" s="18"/>
      <c r="AG888" s="18"/>
      <c r="AH888" s="18"/>
      <c r="AI888" s="18"/>
    </row>
    <row r="889" spans="1:35">
      <c r="A889" s="14">
        <v>887</v>
      </c>
      <c r="B889" s="14">
        <v>10461</v>
      </c>
      <c r="C889" s="14" t="s">
        <v>1069</v>
      </c>
      <c r="D889" s="14" t="s">
        <v>98</v>
      </c>
      <c r="E889" s="15" t="str">
        <f>"357.12"</f>
        <v>357.12</v>
      </c>
      <c r="F889" s="15"/>
      <c r="G889" s="16" t="str">
        <f>"357.12"</f>
        <v>357.12</v>
      </c>
      <c r="H889" s="17" t="s">
        <v>54</v>
      </c>
      <c r="I889" s="18">
        <v>4</v>
      </c>
      <c r="J889" s="18">
        <v>2016</v>
      </c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 t="str">
        <f>"317.12"</f>
        <v>317.12</v>
      </c>
      <c r="AA889" s="18"/>
      <c r="AB889" s="18"/>
      <c r="AC889" s="18"/>
      <c r="AD889" s="18"/>
      <c r="AE889" s="18"/>
      <c r="AF889" s="18"/>
      <c r="AG889" s="18"/>
      <c r="AH889" s="18"/>
      <c r="AI889" s="18"/>
    </row>
    <row r="890" spans="1:35">
      <c r="A890" s="14">
        <v>888</v>
      </c>
      <c r="B890" s="14">
        <v>3104</v>
      </c>
      <c r="C890" s="14" t="s">
        <v>1070</v>
      </c>
      <c r="D890" s="14" t="s">
        <v>66</v>
      </c>
      <c r="E890" s="15" t="str">
        <f>"317.15"</f>
        <v>317.15</v>
      </c>
      <c r="F890" s="15"/>
      <c r="G890" s="16" t="str">
        <f>"357.15"</f>
        <v>357.15</v>
      </c>
      <c r="H890" s="17" t="s">
        <v>48</v>
      </c>
      <c r="I890" s="18">
        <v>1</v>
      </c>
      <c r="J890" s="18">
        <v>2016</v>
      </c>
      <c r="K890" s="18" t="str">
        <f>"317.15"</f>
        <v>317.15</v>
      </c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</row>
    <row r="891" spans="1:35">
      <c r="A891" s="14">
        <v>889</v>
      </c>
      <c r="B891" s="14">
        <v>9341</v>
      </c>
      <c r="C891" s="14" t="s">
        <v>1071</v>
      </c>
      <c r="D891" s="14" t="s">
        <v>198</v>
      </c>
      <c r="E891" s="15" t="str">
        <f>"357.87"</f>
        <v>357.87</v>
      </c>
      <c r="F891" s="15"/>
      <c r="G891" s="16" t="str">
        <f>"357.87"</f>
        <v>357.87</v>
      </c>
      <c r="H891" s="17" t="s">
        <v>54</v>
      </c>
      <c r="I891" s="18">
        <v>4</v>
      </c>
      <c r="J891" s="18">
        <v>2016</v>
      </c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 t="str">
        <f>"317.87"</f>
        <v>317.87</v>
      </c>
      <c r="AI891" s="18"/>
    </row>
    <row r="892" spans="1:35">
      <c r="A892" s="14">
        <v>890</v>
      </c>
      <c r="B892" s="14">
        <v>5190</v>
      </c>
      <c r="C892" s="14" t="s">
        <v>1072</v>
      </c>
      <c r="D892" s="14" t="s">
        <v>251</v>
      </c>
      <c r="E892" s="15" t="str">
        <f>"318.64"</f>
        <v>318.64</v>
      </c>
      <c r="F892" s="15"/>
      <c r="G892" s="16" t="str">
        <f>"358.64"</f>
        <v>358.64</v>
      </c>
      <c r="H892" s="17" t="s">
        <v>48</v>
      </c>
      <c r="I892" s="18">
        <v>1</v>
      </c>
      <c r="J892" s="18">
        <v>2016</v>
      </c>
      <c r="K892" s="18" t="str">
        <f>"318.64"</f>
        <v>318.64</v>
      </c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</row>
    <row r="893" spans="1:35">
      <c r="A893" s="14">
        <v>891</v>
      </c>
      <c r="B893" s="14">
        <v>10274</v>
      </c>
      <c r="C893" s="14" t="s">
        <v>1073</v>
      </c>
      <c r="D893" s="14" t="s">
        <v>148</v>
      </c>
      <c r="E893" s="15" t="str">
        <f>"359.22"</f>
        <v>359.22</v>
      </c>
      <c r="F893" s="15"/>
      <c r="G893" s="16" t="str">
        <f>"359.22"</f>
        <v>359.22</v>
      </c>
      <c r="H893" s="17"/>
      <c r="I893" s="18">
        <v>3</v>
      </c>
      <c r="J893" s="18">
        <v>2016</v>
      </c>
      <c r="K893" s="18" t="str">
        <f>"664.72"</f>
        <v>664.72</v>
      </c>
      <c r="L893" s="18"/>
      <c r="M893" s="18"/>
      <c r="N893" s="18"/>
      <c r="O893" s="18"/>
      <c r="P893" s="18" t="str">
        <f>"432.90"</f>
        <v>432.90</v>
      </c>
      <c r="Q893" s="18"/>
      <c r="R893" s="18" t="str">
        <f>"285.54"</f>
        <v>285.54</v>
      </c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</row>
    <row r="894" spans="1:35">
      <c r="A894" s="14">
        <v>892</v>
      </c>
      <c r="B894" s="14">
        <v>10592</v>
      </c>
      <c r="C894" s="14" t="s">
        <v>1074</v>
      </c>
      <c r="D894" s="14" t="s">
        <v>76</v>
      </c>
      <c r="E894" s="15" t="str">
        <f>"359.41"</f>
        <v>359.41</v>
      </c>
      <c r="F894" s="15"/>
      <c r="G894" s="16" t="str">
        <f>"359.41"</f>
        <v>359.41</v>
      </c>
      <c r="H894" s="17"/>
      <c r="I894" s="18">
        <v>3</v>
      </c>
      <c r="J894" s="18">
        <v>2016</v>
      </c>
      <c r="K894" s="18" t="str">
        <f>"479.25"</f>
        <v>479.25</v>
      </c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 t="str">
        <f>"420.86"</f>
        <v>420.86</v>
      </c>
      <c r="Y894" s="18"/>
      <c r="Z894" s="18"/>
      <c r="AA894" s="18"/>
      <c r="AB894" s="18"/>
      <c r="AC894" s="18" t="str">
        <f>"342.77"</f>
        <v>342.77</v>
      </c>
      <c r="AD894" s="18" t="str">
        <f>"376.04"</f>
        <v>376.04</v>
      </c>
      <c r="AE894" s="18"/>
      <c r="AF894" s="18"/>
      <c r="AG894" s="18"/>
      <c r="AH894" s="18"/>
      <c r="AI894" s="18"/>
    </row>
    <row r="895" spans="1:35">
      <c r="A895" s="14">
        <v>893</v>
      </c>
      <c r="B895" s="14">
        <v>10722</v>
      </c>
      <c r="C895" s="14" t="s">
        <v>1075</v>
      </c>
      <c r="D895" s="14" t="s">
        <v>98</v>
      </c>
      <c r="E895" s="15" t="str">
        <f>"359.85"</f>
        <v>359.85</v>
      </c>
      <c r="F895" s="15"/>
      <c r="G895" s="16" t="str">
        <f>"359.85"</f>
        <v>359.85</v>
      </c>
      <c r="H895" s="17"/>
      <c r="I895" s="18">
        <v>5</v>
      </c>
      <c r="J895" s="18">
        <v>2016</v>
      </c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 t="str">
        <f>"373.34"</f>
        <v>373.34</v>
      </c>
      <c r="AA895" s="18"/>
      <c r="AB895" s="18"/>
      <c r="AC895" s="18"/>
      <c r="AD895" s="18"/>
      <c r="AE895" s="18"/>
      <c r="AF895" s="18"/>
      <c r="AG895" s="18" t="str">
        <f>"373.83"</f>
        <v>373.83</v>
      </c>
      <c r="AH895" s="18"/>
      <c r="AI895" s="18" t="str">
        <f>"346.36"</f>
        <v>346.36</v>
      </c>
    </row>
    <row r="896" spans="1:35">
      <c r="A896" s="14">
        <v>894</v>
      </c>
      <c r="B896" s="14">
        <v>3722</v>
      </c>
      <c r="C896" s="14" t="s">
        <v>1076</v>
      </c>
      <c r="D896" s="14" t="s">
        <v>240</v>
      </c>
      <c r="E896" s="15" t="str">
        <f>"360.31"</f>
        <v>360.31</v>
      </c>
      <c r="F896" s="15"/>
      <c r="G896" s="16" t="str">
        <f>"360.31"</f>
        <v>360.31</v>
      </c>
      <c r="H896" s="17" t="s">
        <v>54</v>
      </c>
      <c r="I896" s="18">
        <v>4</v>
      </c>
      <c r="J896" s="18">
        <v>2016</v>
      </c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 t="str">
        <f>"320.31"</f>
        <v>320.31</v>
      </c>
      <c r="AB896" s="18"/>
      <c r="AC896" s="18"/>
      <c r="AD896" s="18"/>
      <c r="AE896" s="18"/>
      <c r="AF896" s="18"/>
      <c r="AG896" s="18"/>
      <c r="AH896" s="18"/>
      <c r="AI896" s="18"/>
    </row>
    <row r="897" spans="1:35">
      <c r="A897" s="14">
        <v>895</v>
      </c>
      <c r="B897" s="14">
        <v>6585</v>
      </c>
      <c r="C897" s="14" t="s">
        <v>1077</v>
      </c>
      <c r="D897" s="14" t="s">
        <v>179</v>
      </c>
      <c r="E897" s="15" t="str">
        <f>"320.55"</f>
        <v>320.55</v>
      </c>
      <c r="F897" s="15"/>
      <c r="G897" s="16" t="str">
        <f>"360.55"</f>
        <v>360.55</v>
      </c>
      <c r="H897" s="17" t="s">
        <v>48</v>
      </c>
      <c r="I897" s="18">
        <v>1</v>
      </c>
      <c r="J897" s="18">
        <v>2016</v>
      </c>
      <c r="K897" s="18" t="str">
        <f>"320.55"</f>
        <v>320.55</v>
      </c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</row>
    <row r="898" spans="1:35">
      <c r="A898" s="14">
        <v>896</v>
      </c>
      <c r="B898" s="14">
        <v>8457</v>
      </c>
      <c r="C898" s="14" t="s">
        <v>1078</v>
      </c>
      <c r="D898" s="14" t="s">
        <v>76</v>
      </c>
      <c r="E898" s="15" t="str">
        <f>"361.28"</f>
        <v>361.28</v>
      </c>
      <c r="F898" s="15"/>
      <c r="G898" s="16" t="str">
        <f>"361.28"</f>
        <v>361.28</v>
      </c>
      <c r="H898" s="17"/>
      <c r="I898" s="18">
        <v>3</v>
      </c>
      <c r="J898" s="18">
        <v>2016</v>
      </c>
      <c r="K898" s="18" t="str">
        <f>"467.11"</f>
        <v>467.11</v>
      </c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 t="str">
        <f>"454.09"</f>
        <v>454.09</v>
      </c>
      <c r="Y898" s="18"/>
      <c r="Z898" s="18"/>
      <c r="AA898" s="18"/>
      <c r="AB898" s="18"/>
      <c r="AC898" s="18" t="str">
        <f>"333.50"</f>
        <v>333.50</v>
      </c>
      <c r="AD898" s="18" t="str">
        <f>"389.06"</f>
        <v>389.06</v>
      </c>
      <c r="AE898" s="18"/>
      <c r="AF898" s="18"/>
      <c r="AG898" s="18"/>
      <c r="AH898" s="18"/>
      <c r="AI898" s="18"/>
    </row>
    <row r="899" spans="1:35">
      <c r="A899" s="14">
        <v>897</v>
      </c>
      <c r="B899" s="14">
        <v>7173</v>
      </c>
      <c r="C899" s="14" t="s">
        <v>1079</v>
      </c>
      <c r="D899" s="14" t="s">
        <v>112</v>
      </c>
      <c r="E899" s="15" t="str">
        <f>"234.21"</f>
        <v>234.21</v>
      </c>
      <c r="F899" s="15"/>
      <c r="G899" s="16" t="str">
        <f>"362.27"</f>
        <v>362.27</v>
      </c>
      <c r="H899" s="17" t="s">
        <v>54</v>
      </c>
      <c r="I899" s="18">
        <v>2</v>
      </c>
      <c r="J899" s="18">
        <v>2016</v>
      </c>
      <c r="K899" s="18" t="str">
        <f>"234.21"</f>
        <v>234.21</v>
      </c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 t="str">
        <f>"322.27"</f>
        <v>322.27</v>
      </c>
      <c r="AC899" s="18"/>
      <c r="AD899" s="18"/>
      <c r="AE899" s="18"/>
      <c r="AF899" s="18"/>
      <c r="AG899" s="18"/>
      <c r="AH899" s="18"/>
      <c r="AI899" s="18"/>
    </row>
    <row r="900" spans="1:35">
      <c r="A900" s="14">
        <v>898</v>
      </c>
      <c r="B900" s="14">
        <v>10402</v>
      </c>
      <c r="C900" s="14" t="s">
        <v>1080</v>
      </c>
      <c r="D900" s="14" t="s">
        <v>98</v>
      </c>
      <c r="E900" s="15" t="str">
        <f>"362.68"</f>
        <v>362.68</v>
      </c>
      <c r="F900" s="15"/>
      <c r="G900" s="16" t="str">
        <f>"362.68"</f>
        <v>362.68</v>
      </c>
      <c r="H900" s="17"/>
      <c r="I900" s="18">
        <v>5</v>
      </c>
      <c r="J900" s="18">
        <v>2016</v>
      </c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 t="str">
        <f>"370.60"</f>
        <v>370.60</v>
      </c>
      <c r="AA900" s="18"/>
      <c r="AB900" s="18"/>
      <c r="AC900" s="18"/>
      <c r="AD900" s="18"/>
      <c r="AE900" s="18"/>
      <c r="AF900" s="18"/>
      <c r="AG900" s="18"/>
      <c r="AH900" s="18"/>
      <c r="AI900" s="18" t="str">
        <f>"354.75"</f>
        <v>354.75</v>
      </c>
    </row>
    <row r="901" spans="1:35">
      <c r="A901" s="14">
        <v>899</v>
      </c>
      <c r="B901" s="14">
        <v>10191</v>
      </c>
      <c r="C901" s="14" t="s">
        <v>1081</v>
      </c>
      <c r="D901" s="14" t="s">
        <v>76</v>
      </c>
      <c r="E901" s="15" t="str">
        <f>"363.05"</f>
        <v>363.05</v>
      </c>
      <c r="F901" s="15"/>
      <c r="G901" s="16" t="str">
        <f>"363.05"</f>
        <v>363.05</v>
      </c>
      <c r="H901" s="17"/>
      <c r="I901" s="18">
        <v>3</v>
      </c>
      <c r="J901" s="18">
        <v>2016</v>
      </c>
      <c r="K901" s="18" t="str">
        <f>"886.20"</f>
        <v>886.20</v>
      </c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 t="str">
        <f>"484.77"</f>
        <v>484.77</v>
      </c>
      <c r="Y901" s="18"/>
      <c r="Z901" s="18"/>
      <c r="AA901" s="18"/>
      <c r="AB901" s="18"/>
      <c r="AC901" s="18" t="str">
        <f>"350.16"</f>
        <v>350.16</v>
      </c>
      <c r="AD901" s="18" t="str">
        <f>"375.93"</f>
        <v>375.93</v>
      </c>
      <c r="AE901" s="18"/>
      <c r="AF901" s="18"/>
      <c r="AG901" s="18"/>
      <c r="AH901" s="18"/>
      <c r="AI901" s="18"/>
    </row>
    <row r="902" spans="1:35">
      <c r="A902" s="14">
        <v>900</v>
      </c>
      <c r="B902" s="14">
        <v>8643</v>
      </c>
      <c r="C902" s="14" t="s">
        <v>1082</v>
      </c>
      <c r="D902" s="14" t="s">
        <v>76</v>
      </c>
      <c r="E902" s="15" t="str">
        <f>"363.25"</f>
        <v>363.25</v>
      </c>
      <c r="F902" s="15"/>
      <c r="G902" s="16" t="str">
        <f>"363.25"</f>
        <v>363.25</v>
      </c>
      <c r="H902" s="17"/>
      <c r="I902" s="18">
        <v>3</v>
      </c>
      <c r="J902" s="18">
        <v>2016</v>
      </c>
      <c r="K902" s="18" t="str">
        <f>"391.26"</f>
        <v>391.26</v>
      </c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 t="str">
        <f>"358.70"</f>
        <v>358.70</v>
      </c>
      <c r="Y902" s="18" t="str">
        <f>"367.80"</f>
        <v>367.80</v>
      </c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</row>
    <row r="903" spans="1:35">
      <c r="A903" s="14">
        <v>901</v>
      </c>
      <c r="B903" s="14">
        <v>8393</v>
      </c>
      <c r="C903" s="14" t="s">
        <v>1083</v>
      </c>
      <c r="D903" s="14" t="s">
        <v>248</v>
      </c>
      <c r="E903" s="15" t="str">
        <f>"323.89"</f>
        <v>323.89</v>
      </c>
      <c r="F903" s="15"/>
      <c r="G903" s="16" t="str">
        <f>"363.89"</f>
        <v>363.89</v>
      </c>
      <c r="H903" s="17" t="s">
        <v>48</v>
      </c>
      <c r="I903" s="18">
        <v>1</v>
      </c>
      <c r="J903" s="18">
        <v>2016</v>
      </c>
      <c r="K903" s="18" t="str">
        <f>"323.89"</f>
        <v>323.89</v>
      </c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</row>
    <row r="904" spans="1:35">
      <c r="A904" s="14">
        <v>902</v>
      </c>
      <c r="B904" s="14">
        <v>10114</v>
      </c>
      <c r="C904" s="14" t="s">
        <v>1084</v>
      </c>
      <c r="D904" s="14" t="s">
        <v>98</v>
      </c>
      <c r="E904" s="15" t="str">
        <f>"364.34"</f>
        <v>364.34</v>
      </c>
      <c r="F904" s="15"/>
      <c r="G904" s="16" t="str">
        <f>"364.34"</f>
        <v>364.34</v>
      </c>
      <c r="H904" s="17"/>
      <c r="I904" s="18">
        <v>3</v>
      </c>
      <c r="J904" s="18">
        <v>2016</v>
      </c>
      <c r="K904" s="18" t="str">
        <f>"686.36"</f>
        <v>686.36</v>
      </c>
      <c r="L904" s="18"/>
      <c r="M904" s="18"/>
      <c r="N904" s="18"/>
      <c r="O904" s="18"/>
      <c r="P904" s="18"/>
      <c r="Q904" s="18" t="str">
        <f>"425.35"</f>
        <v>425.35</v>
      </c>
      <c r="R904" s="18"/>
      <c r="S904" s="18"/>
      <c r="T904" s="18"/>
      <c r="U904" s="18"/>
      <c r="V904" s="18"/>
      <c r="W904" s="18"/>
      <c r="X904" s="18"/>
      <c r="Y904" s="18"/>
      <c r="Z904" s="18" t="str">
        <f>"342.26"</f>
        <v>342.26</v>
      </c>
      <c r="AA904" s="18"/>
      <c r="AB904" s="18"/>
      <c r="AC904" s="18"/>
      <c r="AD904" s="18"/>
      <c r="AE904" s="18"/>
      <c r="AF904" s="18"/>
      <c r="AG904" s="18"/>
      <c r="AH904" s="18"/>
      <c r="AI904" s="18" t="str">
        <f>"386.41"</f>
        <v>386.41</v>
      </c>
    </row>
    <row r="905" spans="1:35">
      <c r="A905" s="14">
        <v>903</v>
      </c>
      <c r="B905" s="14">
        <v>3269</v>
      </c>
      <c r="C905" s="14" t="s">
        <v>1085</v>
      </c>
      <c r="D905" s="14" t="s">
        <v>500</v>
      </c>
      <c r="E905" s="15" t="str">
        <f>"212.49"</f>
        <v>212.49</v>
      </c>
      <c r="F905" s="15"/>
      <c r="G905" s="16" t="str">
        <f>"365.52"</f>
        <v>365.52</v>
      </c>
      <c r="H905" s="17" t="s">
        <v>54</v>
      </c>
      <c r="I905" s="18">
        <v>2</v>
      </c>
      <c r="J905" s="18">
        <v>2016</v>
      </c>
      <c r="K905" s="18" t="str">
        <f>"212.49"</f>
        <v>212.49</v>
      </c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 t="str">
        <f>"325.52"</f>
        <v>325.52</v>
      </c>
      <c r="AC905" s="18"/>
      <c r="AD905" s="18"/>
      <c r="AE905" s="18"/>
      <c r="AF905" s="18"/>
      <c r="AG905" s="18"/>
      <c r="AH905" s="18"/>
      <c r="AI905" s="18"/>
    </row>
    <row r="906" spans="1:35">
      <c r="A906" s="14">
        <v>904</v>
      </c>
      <c r="B906" s="14">
        <v>4296</v>
      </c>
      <c r="C906" s="14" t="s">
        <v>1086</v>
      </c>
      <c r="D906" s="14" t="s">
        <v>1087</v>
      </c>
      <c r="E906" s="15" t="str">
        <f>"325.59"</f>
        <v>325.59</v>
      </c>
      <c r="F906" s="15"/>
      <c r="G906" s="16" t="str">
        <f>"365.59"</f>
        <v>365.59</v>
      </c>
      <c r="H906" s="17" t="s">
        <v>48</v>
      </c>
      <c r="I906" s="18">
        <v>1</v>
      </c>
      <c r="J906" s="18">
        <v>2016</v>
      </c>
      <c r="K906" s="18" t="str">
        <f>"325.59"</f>
        <v>325.59</v>
      </c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</row>
    <row r="907" spans="1:35">
      <c r="A907" s="14">
        <v>905</v>
      </c>
      <c r="B907" s="14">
        <v>2577</v>
      </c>
      <c r="C907" s="14" t="s">
        <v>1088</v>
      </c>
      <c r="D907" s="14" t="s">
        <v>586</v>
      </c>
      <c r="E907" s="15" t="str">
        <f>"365.82"</f>
        <v>365.82</v>
      </c>
      <c r="F907" s="15"/>
      <c r="G907" s="16" t="str">
        <f>"365.82"</f>
        <v>365.82</v>
      </c>
      <c r="H907" s="17" t="s">
        <v>54</v>
      </c>
      <c r="I907" s="18">
        <v>4</v>
      </c>
      <c r="J907" s="18">
        <v>2016</v>
      </c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 t="str">
        <f>"325.82"</f>
        <v>325.82</v>
      </c>
      <c r="AI907" s="18"/>
    </row>
    <row r="908" spans="1:35">
      <c r="A908" s="14">
        <v>906</v>
      </c>
      <c r="B908" s="14">
        <v>10455</v>
      </c>
      <c r="C908" s="14" t="s">
        <v>1089</v>
      </c>
      <c r="D908" s="14" t="s">
        <v>98</v>
      </c>
      <c r="E908" s="15" t="str">
        <f>"423.28"</f>
        <v>423.28</v>
      </c>
      <c r="F908" s="15"/>
      <c r="G908" s="16" t="str">
        <f>"367.17"</f>
        <v>367.17</v>
      </c>
      <c r="H908" s="17" t="s">
        <v>54</v>
      </c>
      <c r="I908" s="18">
        <v>2</v>
      </c>
      <c r="J908" s="18">
        <v>2016</v>
      </c>
      <c r="K908" s="18" t="str">
        <f>"519.39"</f>
        <v>519.39</v>
      </c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 t="str">
        <f>"327.17"</f>
        <v>327.17</v>
      </c>
      <c r="AA908" s="18"/>
      <c r="AB908" s="18"/>
      <c r="AC908" s="18"/>
      <c r="AD908" s="18"/>
      <c r="AE908" s="18"/>
      <c r="AF908" s="18"/>
      <c r="AG908" s="18"/>
      <c r="AH908" s="18"/>
      <c r="AI908" s="18"/>
    </row>
    <row r="909" spans="1:35">
      <c r="A909" s="14">
        <v>907</v>
      </c>
      <c r="B909" s="14">
        <v>10403</v>
      </c>
      <c r="C909" s="14" t="s">
        <v>1090</v>
      </c>
      <c r="D909" s="14" t="s">
        <v>98</v>
      </c>
      <c r="E909" s="15" t="str">
        <f>"481.28"</f>
        <v>481.28</v>
      </c>
      <c r="F909" s="15"/>
      <c r="G909" s="16" t="str">
        <f>"367.63"</f>
        <v>367.63</v>
      </c>
      <c r="H909" s="17" t="s">
        <v>54</v>
      </c>
      <c r="I909" s="18">
        <v>2</v>
      </c>
      <c r="J909" s="18">
        <v>2016</v>
      </c>
      <c r="K909" s="18" t="str">
        <f>"634.93"</f>
        <v>634.93</v>
      </c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 t="str">
        <f>"327.63"</f>
        <v>327.63</v>
      </c>
      <c r="AA909" s="18"/>
      <c r="AB909" s="18"/>
      <c r="AC909" s="18"/>
      <c r="AD909" s="18"/>
      <c r="AE909" s="18"/>
      <c r="AF909" s="18"/>
      <c r="AG909" s="18"/>
      <c r="AH909" s="18"/>
      <c r="AI909" s="18"/>
    </row>
    <row r="910" spans="1:35">
      <c r="A910" s="14">
        <v>908</v>
      </c>
      <c r="B910" s="14">
        <v>10435</v>
      </c>
      <c r="C910" s="14" t="s">
        <v>1091</v>
      </c>
      <c r="D910" s="14" t="s">
        <v>98</v>
      </c>
      <c r="E910" s="15" t="str">
        <f>"369.46"</f>
        <v>369.46</v>
      </c>
      <c r="F910" s="15"/>
      <c r="G910" s="16" t="str">
        <f>"369.46"</f>
        <v>369.46</v>
      </c>
      <c r="H910" s="17"/>
      <c r="I910" s="18">
        <v>5</v>
      </c>
      <c r="J910" s="18">
        <v>2016</v>
      </c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 t="str">
        <f>"339.06"</f>
        <v>339.06</v>
      </c>
      <c r="AA910" s="18"/>
      <c r="AB910" s="18"/>
      <c r="AC910" s="18"/>
      <c r="AD910" s="18"/>
      <c r="AE910" s="18"/>
      <c r="AF910" s="18"/>
      <c r="AG910" s="18"/>
      <c r="AH910" s="18"/>
      <c r="AI910" s="18" t="str">
        <f>"399.86"</f>
        <v>399.86</v>
      </c>
    </row>
    <row r="911" spans="1:35">
      <c r="A911" s="14">
        <v>909</v>
      </c>
      <c r="B911" s="14">
        <v>10843</v>
      </c>
      <c r="C911" s="14" t="s">
        <v>1092</v>
      </c>
      <c r="D911" s="14" t="s">
        <v>76</v>
      </c>
      <c r="E911" s="15" t="str">
        <f>"369.97"</f>
        <v>369.97</v>
      </c>
      <c r="F911" s="15"/>
      <c r="G911" s="16" t="str">
        <f>"369.97"</f>
        <v>369.97</v>
      </c>
      <c r="H911" s="17"/>
      <c r="I911" s="18">
        <v>5</v>
      </c>
      <c r="J911" s="18">
        <v>2016</v>
      </c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 t="str">
        <f>"403.56"</f>
        <v>403.56</v>
      </c>
      <c r="Y911" s="18"/>
      <c r="Z911" s="18"/>
      <c r="AA911" s="18"/>
      <c r="AB911" s="18"/>
      <c r="AC911" s="18" t="str">
        <f>"336.37"</f>
        <v>336.37</v>
      </c>
      <c r="AD911" s="18" t="str">
        <f>"415.87"</f>
        <v>415.87</v>
      </c>
      <c r="AE911" s="18"/>
      <c r="AF911" s="18"/>
      <c r="AG911" s="18"/>
      <c r="AH911" s="18"/>
      <c r="AI911" s="18"/>
    </row>
    <row r="912" spans="1:35">
      <c r="A912" s="14">
        <v>910</v>
      </c>
      <c r="B912" s="14">
        <v>10595</v>
      </c>
      <c r="C912" s="14" t="s">
        <v>1093</v>
      </c>
      <c r="D912" s="14" t="s">
        <v>76</v>
      </c>
      <c r="E912" s="15" t="str">
        <f>"370.17"</f>
        <v>370.17</v>
      </c>
      <c r="F912" s="15"/>
      <c r="G912" s="16" t="str">
        <f>"370.17"</f>
        <v>370.17</v>
      </c>
      <c r="H912" s="17"/>
      <c r="I912" s="18">
        <v>3</v>
      </c>
      <c r="J912" s="18">
        <v>2016</v>
      </c>
      <c r="K912" s="18" t="str">
        <f>"468.24"</f>
        <v>468.24</v>
      </c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 t="str">
        <f>"386.54"</f>
        <v>386.54</v>
      </c>
      <c r="Y912" s="18"/>
      <c r="Z912" s="18"/>
      <c r="AA912" s="18"/>
      <c r="AB912" s="18"/>
      <c r="AC912" s="18" t="str">
        <f>"353.80"</f>
        <v>353.80</v>
      </c>
      <c r="AD912" s="18"/>
      <c r="AE912" s="18"/>
      <c r="AF912" s="18"/>
      <c r="AG912" s="18"/>
      <c r="AH912" s="18"/>
      <c r="AI912" s="18"/>
    </row>
    <row r="913" spans="1:35">
      <c r="A913" s="14">
        <v>911</v>
      </c>
      <c r="B913" s="14">
        <v>10482</v>
      </c>
      <c r="C913" s="14" t="s">
        <v>1094</v>
      </c>
      <c r="D913" s="14" t="s">
        <v>98</v>
      </c>
      <c r="E913" s="15" t="str">
        <f>"370.37"</f>
        <v>370.37</v>
      </c>
      <c r="F913" s="15"/>
      <c r="G913" s="16" t="str">
        <f>"370.37"</f>
        <v>370.37</v>
      </c>
      <c r="H913" s="17" t="s">
        <v>54</v>
      </c>
      <c r="I913" s="18">
        <v>4</v>
      </c>
      <c r="J913" s="18">
        <v>2016</v>
      </c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 t="str">
        <f>"330.37"</f>
        <v>330.37</v>
      </c>
      <c r="AA913" s="18"/>
      <c r="AB913" s="18"/>
      <c r="AC913" s="18"/>
      <c r="AD913" s="18"/>
      <c r="AE913" s="18"/>
      <c r="AF913" s="18"/>
      <c r="AG913" s="18"/>
      <c r="AH913" s="18"/>
      <c r="AI913" s="18"/>
    </row>
    <row r="914" spans="1:35">
      <c r="A914" s="14">
        <v>912</v>
      </c>
      <c r="B914" s="14">
        <v>2837</v>
      </c>
      <c r="C914" s="14" t="s">
        <v>1095</v>
      </c>
      <c r="D914" s="14" t="s">
        <v>410</v>
      </c>
      <c r="E914" s="15" t="str">
        <f>"331.15"</f>
        <v>331.15</v>
      </c>
      <c r="F914" s="15"/>
      <c r="G914" s="16" t="str">
        <f>"371.15"</f>
        <v>371.15</v>
      </c>
      <c r="H914" s="17" t="s">
        <v>48</v>
      </c>
      <c r="I914" s="18">
        <v>1</v>
      </c>
      <c r="J914" s="18">
        <v>2016</v>
      </c>
      <c r="K914" s="18" t="str">
        <f>"331.15"</f>
        <v>331.15</v>
      </c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</row>
    <row r="915" spans="1:35">
      <c r="A915" s="14">
        <v>913</v>
      </c>
      <c r="B915" s="14">
        <v>5071</v>
      </c>
      <c r="C915" s="14" t="s">
        <v>1096</v>
      </c>
      <c r="D915" s="14" t="s">
        <v>858</v>
      </c>
      <c r="E915" s="15" t="str">
        <f>"301.40"</f>
        <v>301.40</v>
      </c>
      <c r="F915" s="15"/>
      <c r="G915" s="16" t="str">
        <f>"371.89"</f>
        <v>371.89</v>
      </c>
      <c r="H915" s="17"/>
      <c r="I915" s="18">
        <v>3</v>
      </c>
      <c r="J915" s="18">
        <v>2016</v>
      </c>
      <c r="K915" s="18" t="str">
        <f>"301.40"</f>
        <v>301.40</v>
      </c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 t="str">
        <f>"314.99"</f>
        <v>314.99</v>
      </c>
      <c r="X915" s="18"/>
      <c r="Y915" s="18"/>
      <c r="Z915" s="18"/>
      <c r="AA915" s="18"/>
      <c r="AB915" s="18" t="str">
        <f>"428.79"</f>
        <v>428.79</v>
      </c>
      <c r="AC915" s="18"/>
      <c r="AD915" s="18"/>
      <c r="AE915" s="18"/>
      <c r="AF915" s="18"/>
      <c r="AG915" s="18"/>
      <c r="AH915" s="18"/>
      <c r="AI915" s="18"/>
    </row>
    <row r="916" spans="1:35">
      <c r="A916" s="14">
        <v>914</v>
      </c>
      <c r="B916" s="14">
        <v>10404</v>
      </c>
      <c r="C916" s="14" t="s">
        <v>1097</v>
      </c>
      <c r="D916" s="14" t="s">
        <v>98</v>
      </c>
      <c r="E916" s="15" t="str">
        <f>"355.87"</f>
        <v>355.87</v>
      </c>
      <c r="F916" s="15"/>
      <c r="G916" s="16" t="str">
        <f>"372.64"</f>
        <v>372.64</v>
      </c>
      <c r="H916" s="17"/>
      <c r="I916" s="18">
        <v>3</v>
      </c>
      <c r="J916" s="18">
        <v>2016</v>
      </c>
      <c r="K916" s="18" t="str">
        <f>"421.58"</f>
        <v>421.58</v>
      </c>
      <c r="L916" s="18"/>
      <c r="M916" s="18"/>
      <c r="N916" s="18"/>
      <c r="O916" s="18"/>
      <c r="P916" s="18"/>
      <c r="Q916" s="18"/>
      <c r="R916" s="18"/>
      <c r="S916" s="18"/>
      <c r="T916" s="18"/>
      <c r="U916" s="18" t="str">
        <f>"455.12"</f>
        <v>455.12</v>
      </c>
      <c r="V916" s="18"/>
      <c r="W916" s="18"/>
      <c r="X916" s="18"/>
      <c r="Y916" s="18"/>
      <c r="Z916" s="18" t="str">
        <f>"290.15"</f>
        <v>290.15</v>
      </c>
      <c r="AA916" s="18"/>
      <c r="AB916" s="18"/>
      <c r="AC916" s="18"/>
      <c r="AD916" s="18"/>
      <c r="AE916" s="18"/>
      <c r="AF916" s="18"/>
      <c r="AG916" s="18"/>
      <c r="AH916" s="18"/>
      <c r="AI916" s="18"/>
    </row>
    <row r="917" spans="1:35">
      <c r="A917" s="14">
        <v>915</v>
      </c>
      <c r="B917" s="14">
        <v>10182</v>
      </c>
      <c r="C917" s="14" t="s">
        <v>1098</v>
      </c>
      <c r="D917" s="14" t="s">
        <v>98</v>
      </c>
      <c r="E917" s="15" t="str">
        <f>"376.00"</f>
        <v>376.00</v>
      </c>
      <c r="F917" s="15"/>
      <c r="G917" s="16" t="str">
        <f>"373.12"</f>
        <v>373.12</v>
      </c>
      <c r="H917" s="17" t="s">
        <v>54</v>
      </c>
      <c r="I917" s="18">
        <v>2</v>
      </c>
      <c r="J917" s="18">
        <v>2016</v>
      </c>
      <c r="K917" s="18" t="str">
        <f>"418.88"</f>
        <v>418.88</v>
      </c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 t="str">
        <f>"333.12"</f>
        <v>333.12</v>
      </c>
      <c r="AA917" s="18"/>
      <c r="AB917" s="18"/>
      <c r="AC917" s="18"/>
      <c r="AD917" s="18"/>
      <c r="AE917" s="18"/>
      <c r="AF917" s="18"/>
      <c r="AG917" s="18"/>
      <c r="AH917" s="18"/>
      <c r="AI917" s="18"/>
    </row>
    <row r="918" spans="1:35">
      <c r="A918" s="14">
        <v>916</v>
      </c>
      <c r="B918" s="14">
        <v>10556</v>
      </c>
      <c r="C918" s="14" t="s">
        <v>767</v>
      </c>
      <c r="D918" s="14" t="s">
        <v>76</v>
      </c>
      <c r="E918" s="15" t="str">
        <f>"373.45"</f>
        <v>373.45</v>
      </c>
      <c r="F918" s="15"/>
      <c r="G918" s="16" t="str">
        <f>"373.45"</f>
        <v>373.45</v>
      </c>
      <c r="H918" s="17"/>
      <c r="I918" s="18">
        <v>3</v>
      </c>
      <c r="J918" s="18">
        <v>2016</v>
      </c>
      <c r="K918" s="18" t="str">
        <f>"490.55"</f>
        <v>490.55</v>
      </c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 t="str">
        <f>"353.16"</f>
        <v>353.16</v>
      </c>
      <c r="Y918" s="18" t="str">
        <f>"393.73"</f>
        <v>393.73</v>
      </c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</row>
    <row r="919" spans="1:35">
      <c r="A919" s="14">
        <v>917</v>
      </c>
      <c r="B919" s="14">
        <v>3107</v>
      </c>
      <c r="C919" s="14" t="s">
        <v>1099</v>
      </c>
      <c r="D919" s="14" t="s">
        <v>182</v>
      </c>
      <c r="E919" s="15" t="str">
        <f>"248.54"</f>
        <v>248.54</v>
      </c>
      <c r="F919" s="15"/>
      <c r="G919" s="16" t="str">
        <f>"373.82"</f>
        <v>373.82</v>
      </c>
      <c r="H919" s="17" t="s">
        <v>54</v>
      </c>
      <c r="I919" s="18">
        <v>2</v>
      </c>
      <c r="J919" s="18">
        <v>2016</v>
      </c>
      <c r="K919" s="18" t="str">
        <f>"248.54"</f>
        <v>248.54</v>
      </c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 t="str">
        <f>"333.82"</f>
        <v>333.82</v>
      </c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</row>
    <row r="920" spans="1:35">
      <c r="A920" s="14">
        <v>918</v>
      </c>
      <c r="B920" s="14">
        <v>1917</v>
      </c>
      <c r="C920" s="14" t="s">
        <v>1100</v>
      </c>
      <c r="D920" s="14" t="s">
        <v>51</v>
      </c>
      <c r="E920" s="15" t="str">
        <f>"375.93"</f>
        <v>375.93</v>
      </c>
      <c r="F920" s="15"/>
      <c r="G920" s="16" t="str">
        <f>"373.98"</f>
        <v>373.98</v>
      </c>
      <c r="H920" s="17" t="s">
        <v>54</v>
      </c>
      <c r="I920" s="18">
        <v>2</v>
      </c>
      <c r="J920" s="18">
        <v>2016</v>
      </c>
      <c r="K920" s="18" t="str">
        <f>"417.87"</f>
        <v>417.87</v>
      </c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 t="str">
        <f>"333.98"</f>
        <v>333.98</v>
      </c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</row>
    <row r="921" spans="1:35">
      <c r="A921" s="14">
        <v>919</v>
      </c>
      <c r="B921" s="14">
        <v>10125</v>
      </c>
      <c r="C921" s="14" t="s">
        <v>1101</v>
      </c>
      <c r="D921" s="14" t="s">
        <v>98</v>
      </c>
      <c r="E921" s="15" t="str">
        <f>"438.41"</f>
        <v>438.41</v>
      </c>
      <c r="F921" s="15"/>
      <c r="G921" s="16" t="str">
        <f>"374.94"</f>
        <v>374.94</v>
      </c>
      <c r="H921" s="17" t="s">
        <v>54</v>
      </c>
      <c r="I921" s="18">
        <v>2</v>
      </c>
      <c r="J921" s="18">
        <v>2016</v>
      </c>
      <c r="K921" s="18" t="str">
        <f>"541.88"</f>
        <v>541.88</v>
      </c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 t="str">
        <f>"334.94"</f>
        <v>334.94</v>
      </c>
      <c r="AA921" s="18"/>
      <c r="AB921" s="18"/>
      <c r="AC921" s="18"/>
      <c r="AD921" s="18"/>
      <c r="AE921" s="18"/>
      <c r="AF921" s="18"/>
      <c r="AG921" s="18"/>
      <c r="AH921" s="18"/>
      <c r="AI921" s="18"/>
    </row>
    <row r="922" spans="1:35">
      <c r="A922" s="14">
        <v>920</v>
      </c>
      <c r="B922" s="14">
        <v>7299</v>
      </c>
      <c r="C922" s="14" t="s">
        <v>1102</v>
      </c>
      <c r="D922" s="14" t="s">
        <v>816</v>
      </c>
      <c r="E922" s="15" t="str">
        <f>"205.66"</f>
        <v>205.66</v>
      </c>
      <c r="F922" s="15"/>
      <c r="G922" s="16" t="str">
        <f>"375.28"</f>
        <v>375.28</v>
      </c>
      <c r="H922" s="17" t="s">
        <v>54</v>
      </c>
      <c r="I922" s="18">
        <v>2</v>
      </c>
      <c r="J922" s="18">
        <v>2016</v>
      </c>
      <c r="K922" s="18" t="str">
        <f>"205.66"</f>
        <v>205.66</v>
      </c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 t="str">
        <f>"335.28"</f>
        <v>335.28</v>
      </c>
      <c r="AC922" s="18"/>
      <c r="AD922" s="18"/>
      <c r="AE922" s="18"/>
      <c r="AF922" s="18"/>
      <c r="AG922" s="18"/>
      <c r="AH922" s="18"/>
      <c r="AI922" s="18"/>
    </row>
    <row r="923" spans="1:35">
      <c r="A923" s="14">
        <v>921</v>
      </c>
      <c r="B923" s="14">
        <v>6943</v>
      </c>
      <c r="C923" s="14" t="s">
        <v>1103</v>
      </c>
      <c r="D923" s="14" t="s">
        <v>669</v>
      </c>
      <c r="E923" s="15" t="str">
        <f>"335.77"</f>
        <v>335.77</v>
      </c>
      <c r="F923" s="15"/>
      <c r="G923" s="16" t="str">
        <f>"375.77"</f>
        <v>375.77</v>
      </c>
      <c r="H923" s="17" t="s">
        <v>48</v>
      </c>
      <c r="I923" s="18">
        <v>1</v>
      </c>
      <c r="J923" s="18">
        <v>2016</v>
      </c>
      <c r="K923" s="18" t="str">
        <f>"335.77"</f>
        <v>335.77</v>
      </c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</row>
    <row r="924" spans="1:35">
      <c r="A924" s="14">
        <v>922</v>
      </c>
      <c r="B924" s="14">
        <v>10724</v>
      </c>
      <c r="C924" s="14" t="s">
        <v>1104</v>
      </c>
      <c r="D924" s="14" t="s">
        <v>98</v>
      </c>
      <c r="E924" s="15" t="str">
        <f>"376.52"</f>
        <v>376.52</v>
      </c>
      <c r="F924" s="15"/>
      <c r="G924" s="16" t="str">
        <f>"376.52"</f>
        <v>376.52</v>
      </c>
      <c r="H924" s="17"/>
      <c r="I924" s="18">
        <v>5</v>
      </c>
      <c r="J924" s="18">
        <v>2016</v>
      </c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 t="str">
        <f>"436.84"</f>
        <v>436.84</v>
      </c>
      <c r="V924" s="18"/>
      <c r="W924" s="18"/>
      <c r="X924" s="18"/>
      <c r="Y924" s="18"/>
      <c r="Z924" s="18" t="str">
        <f>"316.20"</f>
        <v>316.20</v>
      </c>
      <c r="AA924" s="18"/>
      <c r="AB924" s="18"/>
      <c r="AC924" s="18"/>
      <c r="AD924" s="18"/>
      <c r="AE924" s="18"/>
      <c r="AF924" s="18"/>
      <c r="AG924" s="18"/>
      <c r="AH924" s="18"/>
      <c r="AI924" s="18"/>
    </row>
    <row r="925" spans="1:35">
      <c r="A925" s="14">
        <v>923</v>
      </c>
      <c r="B925" s="14">
        <v>5720</v>
      </c>
      <c r="C925" s="14" t="s">
        <v>1105</v>
      </c>
      <c r="D925" s="14" t="s">
        <v>312</v>
      </c>
      <c r="E925" s="15" t="str">
        <f>"265.70"</f>
        <v>265.70</v>
      </c>
      <c r="F925" s="15"/>
      <c r="G925" s="16" t="str">
        <f>"376.63"</f>
        <v>376.63</v>
      </c>
      <c r="H925" s="17" t="s">
        <v>54</v>
      </c>
      <c r="I925" s="18">
        <v>2</v>
      </c>
      <c r="J925" s="18">
        <v>2016</v>
      </c>
      <c r="K925" s="18" t="str">
        <f>"265.70"</f>
        <v>265.70</v>
      </c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 t="str">
        <f>"336.63"</f>
        <v>336.63</v>
      </c>
      <c r="AB925" s="18"/>
      <c r="AC925" s="18"/>
      <c r="AD925" s="18"/>
      <c r="AE925" s="18"/>
      <c r="AF925" s="18"/>
      <c r="AG925" s="18"/>
      <c r="AH925" s="18"/>
      <c r="AI925" s="18"/>
    </row>
    <row r="926" spans="1:35">
      <c r="A926" s="14">
        <v>924</v>
      </c>
      <c r="B926" s="14">
        <v>10901</v>
      </c>
      <c r="C926" s="14" t="s">
        <v>1106</v>
      </c>
      <c r="D926" s="14" t="s">
        <v>76</v>
      </c>
      <c r="E926" s="15" t="str">
        <f>"376.92"</f>
        <v>376.92</v>
      </c>
      <c r="F926" s="15"/>
      <c r="G926" s="16" t="str">
        <f>"376.92"</f>
        <v>376.92</v>
      </c>
      <c r="H926" s="17" t="s">
        <v>54</v>
      </c>
      <c r="I926" s="18">
        <v>4</v>
      </c>
      <c r="J926" s="18">
        <v>2016</v>
      </c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 t="str">
        <f>"336.92"</f>
        <v>336.92</v>
      </c>
      <c r="AI926" s="18"/>
    </row>
    <row r="927" spans="1:35">
      <c r="A927" s="14">
        <v>925</v>
      </c>
      <c r="B927" s="14">
        <v>10261</v>
      </c>
      <c r="C927" s="14" t="s">
        <v>1107</v>
      </c>
      <c r="D927" s="14" t="s">
        <v>148</v>
      </c>
      <c r="E927" s="15" t="str">
        <f>"377.88"</f>
        <v>377.88</v>
      </c>
      <c r="F927" s="15"/>
      <c r="G927" s="16" t="str">
        <f>"377.88"</f>
        <v>377.88</v>
      </c>
      <c r="H927" s="17"/>
      <c r="I927" s="18">
        <v>5</v>
      </c>
      <c r="J927" s="18">
        <v>2016</v>
      </c>
      <c r="K927" s="18"/>
      <c r="L927" s="18"/>
      <c r="M927" s="18"/>
      <c r="N927" s="18"/>
      <c r="O927" s="18"/>
      <c r="P927" s="18" t="str">
        <f>"433.92"</f>
        <v>433.92</v>
      </c>
      <c r="Q927" s="18"/>
      <c r="R927" s="18" t="str">
        <f>"321.84"</f>
        <v>321.84</v>
      </c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</row>
    <row r="928" spans="1:35">
      <c r="A928" s="14">
        <v>926</v>
      </c>
      <c r="B928" s="14">
        <v>10344</v>
      </c>
      <c r="C928" s="14" t="s">
        <v>1108</v>
      </c>
      <c r="D928" s="14" t="s">
        <v>76</v>
      </c>
      <c r="E928" s="15" t="str">
        <f>"339.48"</f>
        <v>339.48</v>
      </c>
      <c r="F928" s="15"/>
      <c r="G928" s="16" t="str">
        <f>"379.48"</f>
        <v>379.48</v>
      </c>
      <c r="H928" s="17" t="s">
        <v>48</v>
      </c>
      <c r="I928" s="18">
        <v>1</v>
      </c>
      <c r="J928" s="18">
        <v>2016</v>
      </c>
      <c r="K928" s="18" t="str">
        <f>"339.48"</f>
        <v>339.48</v>
      </c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</row>
    <row r="929" spans="1:35">
      <c r="A929" s="14">
        <v>927</v>
      </c>
      <c r="B929" s="14">
        <v>11097</v>
      </c>
      <c r="C929" s="14" t="s">
        <v>1109</v>
      </c>
      <c r="D929" s="14" t="s">
        <v>39</v>
      </c>
      <c r="E929" s="15" t="str">
        <f>"379.50"</f>
        <v>379.50</v>
      </c>
      <c r="F929" s="15"/>
      <c r="G929" s="16" t="str">
        <f>"379.50"</f>
        <v>379.50</v>
      </c>
      <c r="H929" s="17"/>
      <c r="I929" s="18">
        <v>5</v>
      </c>
      <c r="J929" s="18">
        <v>2016</v>
      </c>
      <c r="K929" s="18"/>
      <c r="L929" s="18"/>
      <c r="M929" s="18"/>
      <c r="N929" s="18"/>
      <c r="O929" s="18"/>
      <c r="P929" s="18" t="str">
        <f>"390.16"</f>
        <v>390.16</v>
      </c>
      <c r="Q929" s="18"/>
      <c r="R929" s="18" t="str">
        <f>"368.83"</f>
        <v>368.83</v>
      </c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</row>
    <row r="930" spans="1:35">
      <c r="A930" s="14">
        <v>928</v>
      </c>
      <c r="B930" s="14">
        <v>5817</v>
      </c>
      <c r="C930" s="14" t="s">
        <v>1110</v>
      </c>
      <c r="D930" s="14" t="s">
        <v>222</v>
      </c>
      <c r="E930" s="15" t="str">
        <f>"300.80"</f>
        <v>300.80</v>
      </c>
      <c r="F930" s="15"/>
      <c r="G930" s="16" t="str">
        <f>"380.37"</f>
        <v>380.37</v>
      </c>
      <c r="H930" s="17" t="s">
        <v>54</v>
      </c>
      <c r="I930" s="18">
        <v>2</v>
      </c>
      <c r="J930" s="18">
        <v>2016</v>
      </c>
      <c r="K930" s="18" t="str">
        <f>"300.80"</f>
        <v>300.80</v>
      </c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 t="str">
        <f>"340.37"</f>
        <v>340.37</v>
      </c>
      <c r="AH930" s="18"/>
      <c r="AI930" s="18"/>
    </row>
    <row r="931" spans="1:35">
      <c r="A931" s="14">
        <v>929</v>
      </c>
      <c r="B931" s="14">
        <v>2391</v>
      </c>
      <c r="C931" s="14" t="s">
        <v>1111</v>
      </c>
      <c r="D931" s="14" t="s">
        <v>76</v>
      </c>
      <c r="E931" s="15" t="str">
        <f>"358.26"</f>
        <v>358.26</v>
      </c>
      <c r="F931" s="15"/>
      <c r="G931" s="16" t="str">
        <f>"381.55"</f>
        <v>381.55</v>
      </c>
      <c r="H931" s="17"/>
      <c r="I931" s="18">
        <v>3</v>
      </c>
      <c r="J931" s="18">
        <v>2016</v>
      </c>
      <c r="K931" s="18" t="str">
        <f>"358.26"</f>
        <v>358.26</v>
      </c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 t="str">
        <f>"402.35"</f>
        <v>402.35</v>
      </c>
      <c r="Y931" s="18"/>
      <c r="Z931" s="18"/>
      <c r="AA931" s="18"/>
      <c r="AB931" s="18"/>
      <c r="AC931" s="18" t="str">
        <f>"360.74"</f>
        <v>360.74</v>
      </c>
      <c r="AD931" s="18"/>
      <c r="AE931" s="18"/>
      <c r="AF931" s="18"/>
      <c r="AG931" s="18"/>
      <c r="AH931" s="18"/>
      <c r="AI931" s="18"/>
    </row>
    <row r="932" spans="1:35">
      <c r="A932" s="14">
        <v>930</v>
      </c>
      <c r="B932" s="14">
        <v>10112</v>
      </c>
      <c r="C932" s="14" t="s">
        <v>1112</v>
      </c>
      <c r="D932" s="14" t="s">
        <v>76</v>
      </c>
      <c r="E932" s="15" t="str">
        <f>"382.03"</f>
        <v>382.03</v>
      </c>
      <c r="F932" s="15"/>
      <c r="G932" s="16" t="str">
        <f>"382.03"</f>
        <v>382.03</v>
      </c>
      <c r="H932" s="17"/>
      <c r="I932" s="18">
        <v>3</v>
      </c>
      <c r="J932" s="18">
        <v>2016</v>
      </c>
      <c r="K932" s="18" t="str">
        <f>"503.15"</f>
        <v>503.15</v>
      </c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 t="str">
        <f>"398.56"</f>
        <v>398.56</v>
      </c>
      <c r="Y932" s="18"/>
      <c r="Z932" s="18"/>
      <c r="AA932" s="18"/>
      <c r="AB932" s="18"/>
      <c r="AC932" s="18" t="str">
        <f>"365.49"</f>
        <v>365.49</v>
      </c>
      <c r="AD932" s="18"/>
      <c r="AE932" s="18"/>
      <c r="AF932" s="18"/>
      <c r="AG932" s="18"/>
      <c r="AH932" s="18"/>
      <c r="AI932" s="18"/>
    </row>
    <row r="933" spans="1:35">
      <c r="A933" s="14">
        <v>931</v>
      </c>
      <c r="B933" s="14">
        <v>10539</v>
      </c>
      <c r="C933" s="14" t="s">
        <v>1113</v>
      </c>
      <c r="D933" s="14" t="s">
        <v>76</v>
      </c>
      <c r="E933" s="15" t="str">
        <f>"382.55"</f>
        <v>382.55</v>
      </c>
      <c r="F933" s="15"/>
      <c r="G933" s="16" t="str">
        <f>"382.55"</f>
        <v>382.55</v>
      </c>
      <c r="H933" s="17"/>
      <c r="I933" s="18">
        <v>3</v>
      </c>
      <c r="J933" s="18">
        <v>2016</v>
      </c>
      <c r="K933" s="18" t="str">
        <f>"550.81"</f>
        <v>550.81</v>
      </c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 t="str">
        <f>"386.27"</f>
        <v>386.27</v>
      </c>
      <c r="Y933" s="18"/>
      <c r="Z933" s="18"/>
      <c r="AA933" s="18"/>
      <c r="AB933" s="18"/>
      <c r="AC933" s="18" t="str">
        <f>"378.83"</f>
        <v>378.83</v>
      </c>
      <c r="AD933" s="18"/>
      <c r="AE933" s="18"/>
      <c r="AF933" s="18"/>
      <c r="AG933" s="18"/>
      <c r="AH933" s="18"/>
      <c r="AI933" s="18"/>
    </row>
    <row r="934" spans="1:35">
      <c r="A934" s="14">
        <v>932</v>
      </c>
      <c r="B934" s="14">
        <v>10231</v>
      </c>
      <c r="C934" s="14" t="s">
        <v>1114</v>
      </c>
      <c r="D934" s="14" t="s">
        <v>330</v>
      </c>
      <c r="E934" s="15" t="str">
        <f>"378.51"</f>
        <v>378.51</v>
      </c>
      <c r="F934" s="15"/>
      <c r="G934" s="16" t="str">
        <f>"382.65"</f>
        <v>382.65</v>
      </c>
      <c r="H934" s="17" t="s">
        <v>54</v>
      </c>
      <c r="I934" s="18">
        <v>2</v>
      </c>
      <c r="J934" s="18">
        <v>2016</v>
      </c>
      <c r="K934" s="18" t="str">
        <f>"414.36"</f>
        <v>414.36</v>
      </c>
      <c r="L934" s="18"/>
      <c r="M934" s="18"/>
      <c r="N934" s="18"/>
      <c r="O934" s="18"/>
      <c r="P934" s="18" t="str">
        <f>"342.65"</f>
        <v>342.65</v>
      </c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</row>
    <row r="935" spans="1:35">
      <c r="A935" s="14">
        <v>933</v>
      </c>
      <c r="B935" s="14">
        <v>8066</v>
      </c>
      <c r="C935" s="14" t="s">
        <v>1115</v>
      </c>
      <c r="D935" s="14" t="s">
        <v>1116</v>
      </c>
      <c r="E935" s="15" t="str">
        <f>"383.25"</f>
        <v>383.25</v>
      </c>
      <c r="F935" s="15"/>
      <c r="G935" s="16" t="str">
        <f>"383.25"</f>
        <v>383.25</v>
      </c>
      <c r="H935" s="17" t="s">
        <v>54</v>
      </c>
      <c r="I935" s="18">
        <v>4</v>
      </c>
      <c r="J935" s="18">
        <v>2016</v>
      </c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 t="str">
        <f>"343.25"</f>
        <v>343.25</v>
      </c>
      <c r="AB935" s="18"/>
      <c r="AC935" s="18"/>
      <c r="AD935" s="18"/>
      <c r="AE935" s="18"/>
      <c r="AF935" s="18"/>
      <c r="AG935" s="18"/>
      <c r="AH935" s="18"/>
      <c r="AI935" s="18"/>
    </row>
    <row r="936" spans="1:35">
      <c r="A936" s="14">
        <v>934</v>
      </c>
      <c r="B936" s="14">
        <v>2166</v>
      </c>
      <c r="C936" s="14" t="s">
        <v>1117</v>
      </c>
      <c r="D936" s="14" t="s">
        <v>76</v>
      </c>
      <c r="E936" s="15" t="str">
        <f>"382.56"</f>
        <v>382.56</v>
      </c>
      <c r="F936" s="15"/>
      <c r="G936" s="16" t="str">
        <f>"383.69"</f>
        <v>383.69</v>
      </c>
      <c r="H936" s="17"/>
      <c r="I936" s="18">
        <v>3</v>
      </c>
      <c r="J936" s="18">
        <v>2016</v>
      </c>
      <c r="K936" s="18" t="str">
        <f>"402.38"</f>
        <v>402.38</v>
      </c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 t="str">
        <f>"404.64"</f>
        <v>404.64</v>
      </c>
      <c r="Y936" s="18"/>
      <c r="Z936" s="18"/>
      <c r="AA936" s="18"/>
      <c r="AB936" s="18"/>
      <c r="AC936" s="18" t="str">
        <f>"362.73"</f>
        <v>362.73</v>
      </c>
      <c r="AD936" s="18"/>
      <c r="AE936" s="18"/>
      <c r="AF936" s="18"/>
      <c r="AG936" s="18"/>
      <c r="AH936" s="18"/>
      <c r="AI936" s="18"/>
    </row>
    <row r="937" spans="1:35">
      <c r="A937" s="14">
        <v>935</v>
      </c>
      <c r="B937" s="14">
        <v>10568</v>
      </c>
      <c r="C937" s="14" t="s">
        <v>1118</v>
      </c>
      <c r="D937" s="14" t="s">
        <v>76</v>
      </c>
      <c r="E937" s="15" t="str">
        <f>"384.02"</f>
        <v>384.02</v>
      </c>
      <c r="F937" s="15"/>
      <c r="G937" s="16" t="str">
        <f>"384.02"</f>
        <v>384.02</v>
      </c>
      <c r="H937" s="17"/>
      <c r="I937" s="18">
        <v>3</v>
      </c>
      <c r="J937" s="18">
        <v>2016</v>
      </c>
      <c r="K937" s="18" t="str">
        <f>"437.77"</f>
        <v>437.77</v>
      </c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 t="str">
        <f>"370.59"</f>
        <v>370.59</v>
      </c>
      <c r="Y937" s="18" t="str">
        <f>"397.45"</f>
        <v>397.45</v>
      </c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</row>
    <row r="938" spans="1:35">
      <c r="A938" s="14">
        <v>936</v>
      </c>
      <c r="B938" s="14">
        <v>10567</v>
      </c>
      <c r="C938" s="14" t="s">
        <v>1119</v>
      </c>
      <c r="D938" s="14" t="s">
        <v>76</v>
      </c>
      <c r="E938" s="15" t="str">
        <f>"384.28"</f>
        <v>384.28</v>
      </c>
      <c r="F938" s="15"/>
      <c r="G938" s="16" t="str">
        <f>"384.28"</f>
        <v>384.28</v>
      </c>
      <c r="H938" s="17"/>
      <c r="I938" s="18">
        <v>3</v>
      </c>
      <c r="J938" s="18">
        <v>2016</v>
      </c>
      <c r="K938" s="18" t="str">
        <f>"443.52"</f>
        <v>443.52</v>
      </c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 t="str">
        <f>"366.27"</f>
        <v>366.27</v>
      </c>
      <c r="Y938" s="18" t="str">
        <f>"402.28"</f>
        <v>402.28</v>
      </c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</row>
    <row r="939" spans="1:35">
      <c r="A939" s="14">
        <v>937</v>
      </c>
      <c r="B939" s="14">
        <v>5151</v>
      </c>
      <c r="C939" s="14" t="s">
        <v>1120</v>
      </c>
      <c r="D939" s="14" t="s">
        <v>354</v>
      </c>
      <c r="E939" s="15" t="str">
        <f>"265.80"</f>
        <v>265.80</v>
      </c>
      <c r="F939" s="15"/>
      <c r="G939" s="16" t="str">
        <f>"384.50"</f>
        <v>384.50</v>
      </c>
      <c r="H939" s="17" t="s">
        <v>54</v>
      </c>
      <c r="I939" s="18">
        <v>2</v>
      </c>
      <c r="J939" s="18">
        <v>2016</v>
      </c>
      <c r="K939" s="18" t="str">
        <f>"265.80"</f>
        <v>265.80</v>
      </c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 t="str">
        <f>"344.50"</f>
        <v>344.50</v>
      </c>
      <c r="AI939" s="18"/>
    </row>
    <row r="940" spans="1:35">
      <c r="A940" s="14">
        <v>938</v>
      </c>
      <c r="B940" s="14">
        <v>7575</v>
      </c>
      <c r="C940" s="14" t="s">
        <v>1121</v>
      </c>
      <c r="D940" s="14" t="s">
        <v>62</v>
      </c>
      <c r="E940" s="15" t="str">
        <f>"345.35"</f>
        <v>345.35</v>
      </c>
      <c r="F940" s="15"/>
      <c r="G940" s="16" t="str">
        <f>"385.35"</f>
        <v>385.35</v>
      </c>
      <c r="H940" s="17" t="s">
        <v>48</v>
      </c>
      <c r="I940" s="18">
        <v>1</v>
      </c>
      <c r="J940" s="18">
        <v>2016</v>
      </c>
      <c r="K940" s="18" t="str">
        <f>"345.35"</f>
        <v>345.35</v>
      </c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</row>
    <row r="941" spans="1:35">
      <c r="A941" s="14">
        <v>939</v>
      </c>
      <c r="B941" s="14">
        <v>10400</v>
      </c>
      <c r="C941" s="14" t="s">
        <v>1122</v>
      </c>
      <c r="D941" s="14" t="s">
        <v>98</v>
      </c>
      <c r="E941" s="15" t="str">
        <f>"387.78"</f>
        <v>387.78</v>
      </c>
      <c r="F941" s="15"/>
      <c r="G941" s="16" t="str">
        <f>"387.78"</f>
        <v>387.78</v>
      </c>
      <c r="H941" s="17"/>
      <c r="I941" s="18">
        <v>3</v>
      </c>
      <c r="J941" s="18">
        <v>2016</v>
      </c>
      <c r="K941" s="18" t="str">
        <f>"466.07"</f>
        <v>466.07</v>
      </c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 t="str">
        <f>"374.25"</f>
        <v>374.25</v>
      </c>
      <c r="AA941" s="18"/>
      <c r="AB941" s="18"/>
      <c r="AC941" s="18"/>
      <c r="AD941" s="18"/>
      <c r="AE941" s="18"/>
      <c r="AF941" s="18"/>
      <c r="AG941" s="18"/>
      <c r="AH941" s="18"/>
      <c r="AI941" s="18" t="str">
        <f>"401.30"</f>
        <v>401.30</v>
      </c>
    </row>
    <row r="942" spans="1:35">
      <c r="A942" s="14">
        <v>940</v>
      </c>
      <c r="B942" s="14">
        <v>8151</v>
      </c>
      <c r="C942" s="14" t="s">
        <v>1123</v>
      </c>
      <c r="D942" s="14" t="s">
        <v>1124</v>
      </c>
      <c r="E942" s="15" t="str">
        <f>"350.66"</f>
        <v>350.66</v>
      </c>
      <c r="F942" s="15"/>
      <c r="G942" s="16" t="str">
        <f>"390.66"</f>
        <v>390.66</v>
      </c>
      <c r="H942" s="17" t="s">
        <v>48</v>
      </c>
      <c r="I942" s="18">
        <v>1</v>
      </c>
      <c r="J942" s="18">
        <v>2016</v>
      </c>
      <c r="K942" s="18" t="str">
        <f>"350.66"</f>
        <v>350.66</v>
      </c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</row>
    <row r="943" spans="1:35">
      <c r="A943" s="14">
        <v>941</v>
      </c>
      <c r="B943" s="14">
        <v>10390</v>
      </c>
      <c r="C943" s="14" t="s">
        <v>1125</v>
      </c>
      <c r="D943" s="14" t="s">
        <v>98</v>
      </c>
      <c r="E943" s="15" t="str">
        <f>"472.35"</f>
        <v>472.35</v>
      </c>
      <c r="F943" s="15"/>
      <c r="G943" s="16" t="str">
        <f>"390.94"</f>
        <v>390.94</v>
      </c>
      <c r="H943" s="17" t="s">
        <v>54</v>
      </c>
      <c r="I943" s="18">
        <v>2</v>
      </c>
      <c r="J943" s="18">
        <v>2016</v>
      </c>
      <c r="K943" s="18" t="str">
        <f>"593.76"</f>
        <v>593.76</v>
      </c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 t="str">
        <f>"350.94"</f>
        <v>350.94</v>
      </c>
      <c r="AA943" s="18"/>
      <c r="AB943" s="18"/>
      <c r="AC943" s="18"/>
      <c r="AD943" s="18"/>
      <c r="AE943" s="18"/>
      <c r="AF943" s="18"/>
      <c r="AG943" s="18"/>
      <c r="AH943" s="18"/>
      <c r="AI943" s="18"/>
    </row>
    <row r="944" spans="1:35">
      <c r="A944" s="14">
        <v>942</v>
      </c>
      <c r="B944" s="14">
        <v>10368</v>
      </c>
      <c r="C944" s="14" t="s">
        <v>1126</v>
      </c>
      <c r="D944" s="14" t="s">
        <v>162</v>
      </c>
      <c r="E944" s="15" t="str">
        <f>"332.01"</f>
        <v>332.01</v>
      </c>
      <c r="F944" s="15"/>
      <c r="G944" s="16" t="str">
        <f>"391.39"</f>
        <v>391.39</v>
      </c>
      <c r="H944" s="17" t="s">
        <v>54</v>
      </c>
      <c r="I944" s="18">
        <v>2</v>
      </c>
      <c r="J944" s="18">
        <v>2016</v>
      </c>
      <c r="K944" s="18" t="str">
        <f>"332.01"</f>
        <v>332.01</v>
      </c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 t="str">
        <f>"351.39"</f>
        <v>351.39</v>
      </c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</row>
    <row r="945" spans="1:35">
      <c r="A945" s="14">
        <v>943</v>
      </c>
      <c r="B945" s="14">
        <v>9992</v>
      </c>
      <c r="C945" s="14" t="s">
        <v>1127</v>
      </c>
      <c r="D945" s="14" t="s">
        <v>74</v>
      </c>
      <c r="E945" s="15" t="str">
        <f>"392.11"</f>
        <v>392.11</v>
      </c>
      <c r="F945" s="15"/>
      <c r="G945" s="16" t="str">
        <f>"392.11"</f>
        <v>392.11</v>
      </c>
      <c r="H945" s="17"/>
      <c r="I945" s="18">
        <v>3</v>
      </c>
      <c r="J945" s="18">
        <v>2016</v>
      </c>
      <c r="K945" s="18" t="str">
        <f>"518.34"</f>
        <v>518.34</v>
      </c>
      <c r="L945" s="18"/>
      <c r="M945" s="18"/>
      <c r="N945" s="18"/>
      <c r="O945" s="18"/>
      <c r="P945" s="18" t="str">
        <f>"456.40"</f>
        <v>456.40</v>
      </c>
      <c r="Q945" s="18"/>
      <c r="R945" s="18" t="str">
        <f>"327.81"</f>
        <v>327.81</v>
      </c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</row>
    <row r="946" spans="1:35">
      <c r="A946" s="14">
        <v>944</v>
      </c>
      <c r="B946" s="14">
        <v>11072</v>
      </c>
      <c r="C946" s="14" t="s">
        <v>1128</v>
      </c>
      <c r="D946" s="14" t="s">
        <v>148</v>
      </c>
      <c r="E946" s="15" t="str">
        <f>"393.71"</f>
        <v>393.71</v>
      </c>
      <c r="F946" s="15"/>
      <c r="G946" s="16" t="str">
        <f>"393.71"</f>
        <v>393.71</v>
      </c>
      <c r="H946" s="17"/>
      <c r="I946" s="18">
        <v>5</v>
      </c>
      <c r="J946" s="18">
        <v>2016</v>
      </c>
      <c r="K946" s="18"/>
      <c r="L946" s="18"/>
      <c r="M946" s="18"/>
      <c r="N946" s="18"/>
      <c r="O946" s="18"/>
      <c r="P946" s="18" t="str">
        <f>"417.57"</f>
        <v>417.57</v>
      </c>
      <c r="Q946" s="18"/>
      <c r="R946" s="18"/>
      <c r="S946" s="18"/>
      <c r="T946" s="18" t="str">
        <f>"369.84"</f>
        <v>369.84</v>
      </c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</row>
    <row r="947" spans="1:35">
      <c r="A947" s="14">
        <v>945</v>
      </c>
      <c r="B947" s="14">
        <v>6457</v>
      </c>
      <c r="C947" s="14" t="s">
        <v>1129</v>
      </c>
      <c r="D947" s="14" t="s">
        <v>393</v>
      </c>
      <c r="E947" s="15" t="str">
        <f>"353.93"</f>
        <v>353.93</v>
      </c>
      <c r="F947" s="15"/>
      <c r="G947" s="16" t="str">
        <f>"393.93"</f>
        <v>393.93</v>
      </c>
      <c r="H947" s="17" t="s">
        <v>48</v>
      </c>
      <c r="I947" s="18">
        <v>1</v>
      </c>
      <c r="J947" s="18">
        <v>2016</v>
      </c>
      <c r="K947" s="18" t="str">
        <f>"353.93"</f>
        <v>353.93</v>
      </c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</row>
    <row r="948" spans="1:35">
      <c r="A948" s="14">
        <v>946</v>
      </c>
      <c r="B948" s="14">
        <v>8088</v>
      </c>
      <c r="C948" s="14" t="s">
        <v>1130</v>
      </c>
      <c r="D948" s="14" t="s">
        <v>127</v>
      </c>
      <c r="E948" s="15" t="str">
        <f>"180.55"</f>
        <v>180.55</v>
      </c>
      <c r="F948" s="15"/>
      <c r="G948" s="16" t="str">
        <f>"394.56"</f>
        <v>394.56</v>
      </c>
      <c r="H948" s="17" t="s">
        <v>54</v>
      </c>
      <c r="I948" s="18">
        <v>2</v>
      </c>
      <c r="J948" s="18">
        <v>2016</v>
      </c>
      <c r="K948" s="18" t="str">
        <f>"180.55"</f>
        <v>180.55</v>
      </c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 t="str">
        <f>"354.56"</f>
        <v>354.56</v>
      </c>
      <c r="AB948" s="18"/>
      <c r="AC948" s="18"/>
      <c r="AD948" s="18"/>
      <c r="AE948" s="18"/>
      <c r="AF948" s="18"/>
      <c r="AG948" s="18"/>
      <c r="AH948" s="18"/>
      <c r="AI948" s="18"/>
    </row>
    <row r="949" spans="1:35">
      <c r="A949" s="14">
        <v>947</v>
      </c>
      <c r="B949" s="14">
        <v>10441</v>
      </c>
      <c r="C949" s="14" t="s">
        <v>1131</v>
      </c>
      <c r="D949" s="14" t="s">
        <v>98</v>
      </c>
      <c r="E949" s="15" t="str">
        <f>"395.27"</f>
        <v>395.27</v>
      </c>
      <c r="F949" s="15"/>
      <c r="G949" s="16" t="str">
        <f>"395.27"</f>
        <v>395.27</v>
      </c>
      <c r="H949" s="17"/>
      <c r="I949" s="18">
        <v>3</v>
      </c>
      <c r="J949" s="18">
        <v>2016</v>
      </c>
      <c r="K949" s="18" t="str">
        <f>"642.35"</f>
        <v>642.35</v>
      </c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 t="str">
        <f>"412.65"</f>
        <v>412.65</v>
      </c>
      <c r="AA949" s="18"/>
      <c r="AB949" s="18"/>
      <c r="AC949" s="18"/>
      <c r="AD949" s="18"/>
      <c r="AE949" s="18"/>
      <c r="AF949" s="18"/>
      <c r="AG949" s="18"/>
      <c r="AH949" s="18"/>
      <c r="AI949" s="18" t="str">
        <f>"377.88"</f>
        <v>377.88</v>
      </c>
    </row>
    <row r="950" spans="1:35">
      <c r="A950" s="14">
        <v>948</v>
      </c>
      <c r="B950" s="14">
        <v>10442</v>
      </c>
      <c r="C950" s="14" t="s">
        <v>1132</v>
      </c>
      <c r="D950" s="14" t="s">
        <v>98</v>
      </c>
      <c r="E950" s="15" t="str">
        <f>"395.97"</f>
        <v>395.97</v>
      </c>
      <c r="F950" s="15"/>
      <c r="G950" s="16" t="str">
        <f>"395.97"</f>
        <v>395.97</v>
      </c>
      <c r="H950" s="17" t="s">
        <v>54</v>
      </c>
      <c r="I950" s="18">
        <v>4</v>
      </c>
      <c r="J950" s="18">
        <v>2016</v>
      </c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 t="str">
        <f>"355.97"</f>
        <v>355.97</v>
      </c>
      <c r="AA950" s="18"/>
      <c r="AB950" s="18"/>
      <c r="AC950" s="18"/>
      <c r="AD950" s="18"/>
      <c r="AE950" s="18"/>
      <c r="AF950" s="18"/>
      <c r="AG950" s="18"/>
      <c r="AH950" s="18"/>
      <c r="AI950" s="18"/>
    </row>
    <row r="951" spans="1:35">
      <c r="A951" s="14">
        <v>949</v>
      </c>
      <c r="B951" s="14">
        <v>1870</v>
      </c>
      <c r="C951" s="14" t="s">
        <v>1133</v>
      </c>
      <c r="D951" s="14" t="s">
        <v>76</v>
      </c>
      <c r="E951" s="15" t="str">
        <f>"387.56"</f>
        <v>387.56</v>
      </c>
      <c r="F951" s="15"/>
      <c r="G951" s="16" t="str">
        <f>"396.88"</f>
        <v>396.88</v>
      </c>
      <c r="H951" s="17" t="s">
        <v>54</v>
      </c>
      <c r="I951" s="18">
        <v>2</v>
      </c>
      <c r="J951" s="18">
        <v>2016</v>
      </c>
      <c r="K951" s="18" t="str">
        <f>"418.23"</f>
        <v>418.23</v>
      </c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 t="str">
        <f>"356.88"</f>
        <v>356.88</v>
      </c>
      <c r="AD951" s="18"/>
      <c r="AE951" s="18"/>
      <c r="AF951" s="18"/>
      <c r="AG951" s="18"/>
      <c r="AH951" s="18"/>
      <c r="AI951" s="18"/>
    </row>
    <row r="952" spans="1:35">
      <c r="A952" s="14">
        <v>950</v>
      </c>
      <c r="B952" s="14">
        <v>10998</v>
      </c>
      <c r="C952" s="14" t="s">
        <v>1134</v>
      </c>
      <c r="D952" s="14" t="s">
        <v>39</v>
      </c>
      <c r="E952" s="15" t="str">
        <f>"396.98"</f>
        <v>396.98</v>
      </c>
      <c r="F952" s="15"/>
      <c r="G952" s="16" t="str">
        <f>"396.98"</f>
        <v>396.98</v>
      </c>
      <c r="H952" s="17" t="s">
        <v>54</v>
      </c>
      <c r="I952" s="18">
        <v>4</v>
      </c>
      <c r="J952" s="18">
        <v>2016</v>
      </c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 t="str">
        <f>"356.98"</f>
        <v>356.98</v>
      </c>
      <c r="AB952" s="18"/>
      <c r="AC952" s="18"/>
      <c r="AD952" s="18"/>
      <c r="AE952" s="18"/>
      <c r="AF952" s="18"/>
      <c r="AG952" s="18"/>
      <c r="AH952" s="18"/>
      <c r="AI952" s="18"/>
    </row>
    <row r="953" spans="1:35">
      <c r="A953" s="14">
        <v>951</v>
      </c>
      <c r="B953" s="14">
        <v>10076</v>
      </c>
      <c r="C953" s="14" t="s">
        <v>1135</v>
      </c>
      <c r="D953" s="14" t="s">
        <v>76</v>
      </c>
      <c r="E953" s="15" t="str">
        <f>"397.11"</f>
        <v>397.11</v>
      </c>
      <c r="F953" s="15"/>
      <c r="G953" s="16" t="str">
        <f>"397.11"</f>
        <v>397.11</v>
      </c>
      <c r="H953" s="17"/>
      <c r="I953" s="18">
        <v>3</v>
      </c>
      <c r="J953" s="18">
        <v>2016</v>
      </c>
      <c r="K953" s="18" t="str">
        <f>"470.40"</f>
        <v>470.40</v>
      </c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 t="str">
        <f>"433.02"</f>
        <v>433.02</v>
      </c>
      <c r="Y953" s="18"/>
      <c r="Z953" s="18"/>
      <c r="AA953" s="18"/>
      <c r="AB953" s="18"/>
      <c r="AC953" s="18" t="str">
        <f>"361.19"</f>
        <v>361.19</v>
      </c>
      <c r="AD953" s="18"/>
      <c r="AE953" s="18"/>
      <c r="AF953" s="18"/>
      <c r="AG953" s="18"/>
      <c r="AH953" s="18"/>
      <c r="AI953" s="18"/>
    </row>
    <row r="954" spans="1:35">
      <c r="A954" s="14">
        <v>952</v>
      </c>
      <c r="B954" s="14">
        <v>1264</v>
      </c>
      <c r="C954" s="14" t="s">
        <v>1136</v>
      </c>
      <c r="D954" s="14" t="s">
        <v>240</v>
      </c>
      <c r="E954" s="15" t="str">
        <f>"357.60"</f>
        <v>357.60</v>
      </c>
      <c r="F954" s="15"/>
      <c r="G954" s="16" t="str">
        <f>"397.60"</f>
        <v>397.60</v>
      </c>
      <c r="H954" s="17" t="s">
        <v>48</v>
      </c>
      <c r="I954" s="18">
        <v>1</v>
      </c>
      <c r="J954" s="18">
        <v>2016</v>
      </c>
      <c r="K954" s="18" t="str">
        <f>"357.60"</f>
        <v>357.60</v>
      </c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</row>
    <row r="955" spans="1:35">
      <c r="A955" s="14">
        <v>953</v>
      </c>
      <c r="B955" s="14">
        <v>10389</v>
      </c>
      <c r="C955" s="14" t="s">
        <v>1137</v>
      </c>
      <c r="D955" s="14" t="s">
        <v>98</v>
      </c>
      <c r="E955" s="15" t="str">
        <f>"398.64"</f>
        <v>398.64</v>
      </c>
      <c r="F955" s="15"/>
      <c r="G955" s="16" t="str">
        <f>"398.64"</f>
        <v>398.64</v>
      </c>
      <c r="H955" s="17"/>
      <c r="I955" s="18">
        <v>3</v>
      </c>
      <c r="J955" s="18">
        <v>2016</v>
      </c>
      <c r="K955" s="18" t="str">
        <f>"562.98"</f>
        <v>562.98</v>
      </c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 t="str">
        <f>"471.16"</f>
        <v>471.16</v>
      </c>
      <c r="AA955" s="18"/>
      <c r="AB955" s="18"/>
      <c r="AC955" s="18"/>
      <c r="AD955" s="18"/>
      <c r="AE955" s="18"/>
      <c r="AF955" s="18"/>
      <c r="AG955" s="18"/>
      <c r="AH955" s="18"/>
      <c r="AI955" s="18" t="str">
        <f>"326.12"</f>
        <v>326.12</v>
      </c>
    </row>
    <row r="956" spans="1:35">
      <c r="A956" s="14">
        <v>954</v>
      </c>
      <c r="B956" s="14">
        <v>4372</v>
      </c>
      <c r="C956" s="14" t="s">
        <v>1138</v>
      </c>
      <c r="D956" s="14" t="s">
        <v>89</v>
      </c>
      <c r="E956" s="15" t="str">
        <f>"337.72"</f>
        <v>337.72</v>
      </c>
      <c r="F956" s="15"/>
      <c r="G956" s="16" t="str">
        <f>"401.68"</f>
        <v>401.68</v>
      </c>
      <c r="H956" s="17"/>
      <c r="I956" s="18">
        <v>3</v>
      </c>
      <c r="J956" s="18">
        <v>2016</v>
      </c>
      <c r="K956" s="18" t="str">
        <f>"337.72"</f>
        <v>337.72</v>
      </c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 t="str">
        <f>"374.68"</f>
        <v>374.68</v>
      </c>
      <c r="AF956" s="18" t="str">
        <f>"428.68"</f>
        <v>428.68</v>
      </c>
      <c r="AG956" s="18"/>
      <c r="AH956" s="18"/>
      <c r="AI956" s="18"/>
    </row>
    <row r="957" spans="1:35">
      <c r="A957" s="14">
        <v>955</v>
      </c>
      <c r="B957" s="14">
        <v>10623</v>
      </c>
      <c r="C957" s="14" t="s">
        <v>1139</v>
      </c>
      <c r="D957" s="14" t="s">
        <v>76</v>
      </c>
      <c r="E957" s="15" t="str">
        <f>"402.08"</f>
        <v>402.08</v>
      </c>
      <c r="F957" s="15"/>
      <c r="G957" s="16" t="str">
        <f>"402.08"</f>
        <v>402.08</v>
      </c>
      <c r="H957" s="17"/>
      <c r="I957" s="18">
        <v>3</v>
      </c>
      <c r="J957" s="18">
        <v>2016</v>
      </c>
      <c r="K957" s="18" t="str">
        <f>"469.83"</f>
        <v>469.83</v>
      </c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 t="str">
        <f>"362.08"</f>
        <v>362.08</v>
      </c>
      <c r="Y957" s="18" t="str">
        <f>"442.08"</f>
        <v>442.08</v>
      </c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</row>
    <row r="958" spans="1:35">
      <c r="A958" s="14">
        <v>956</v>
      </c>
      <c r="B958" s="14">
        <v>10452</v>
      </c>
      <c r="C958" s="14" t="s">
        <v>1140</v>
      </c>
      <c r="D958" s="14" t="s">
        <v>98</v>
      </c>
      <c r="E958" s="15" t="str">
        <f>"491.65"</f>
        <v>491.65</v>
      </c>
      <c r="F958" s="15"/>
      <c r="G958" s="16" t="str">
        <f>"402.83"</f>
        <v>402.83</v>
      </c>
      <c r="H958" s="17" t="s">
        <v>54</v>
      </c>
      <c r="I958" s="18">
        <v>2</v>
      </c>
      <c r="J958" s="18">
        <v>2016</v>
      </c>
      <c r="K958" s="18" t="str">
        <f>"620.46"</f>
        <v>620.46</v>
      </c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 t="str">
        <f>"362.83"</f>
        <v>362.83</v>
      </c>
      <c r="AA958" s="18"/>
      <c r="AB958" s="18"/>
      <c r="AC958" s="18"/>
      <c r="AD958" s="18"/>
      <c r="AE958" s="18"/>
      <c r="AF958" s="18"/>
      <c r="AG958" s="18"/>
      <c r="AH958" s="18"/>
      <c r="AI958" s="18"/>
    </row>
    <row r="959" spans="1:35">
      <c r="A959" s="14">
        <v>957</v>
      </c>
      <c r="B959" s="14">
        <v>8614</v>
      </c>
      <c r="C959" s="14" t="s">
        <v>1141</v>
      </c>
      <c r="D959" s="14" t="s">
        <v>76</v>
      </c>
      <c r="E959" s="15" t="str">
        <f>"388.02"</f>
        <v>388.02</v>
      </c>
      <c r="F959" s="15"/>
      <c r="G959" s="16" t="str">
        <f>"402.84"</f>
        <v>402.84</v>
      </c>
      <c r="H959" s="17" t="s">
        <v>54</v>
      </c>
      <c r="I959" s="18">
        <v>2</v>
      </c>
      <c r="J959" s="18">
        <v>2016</v>
      </c>
      <c r="K959" s="18" t="str">
        <f>"413.20"</f>
        <v>413.20</v>
      </c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 t="str">
        <f>"362.84"</f>
        <v>362.84</v>
      </c>
      <c r="AD959" s="18"/>
      <c r="AE959" s="18"/>
      <c r="AF959" s="18"/>
      <c r="AG959" s="18"/>
      <c r="AH959" s="18"/>
      <c r="AI959" s="18"/>
    </row>
    <row r="960" spans="1:35">
      <c r="A960" s="14">
        <v>958</v>
      </c>
      <c r="B960" s="14">
        <v>8357</v>
      </c>
      <c r="C960" s="14" t="s">
        <v>1142</v>
      </c>
      <c r="D960" s="14" t="s">
        <v>330</v>
      </c>
      <c r="E960" s="15" t="str">
        <f>"403.42"</f>
        <v>403.42</v>
      </c>
      <c r="F960" s="15"/>
      <c r="G960" s="16" t="str">
        <f>"403.42"</f>
        <v>403.42</v>
      </c>
      <c r="H960" s="17"/>
      <c r="I960" s="18">
        <v>3</v>
      </c>
      <c r="J960" s="18">
        <v>2016</v>
      </c>
      <c r="K960" s="18" t="str">
        <f>"420.02"</f>
        <v>420.02</v>
      </c>
      <c r="L960" s="18"/>
      <c r="M960" s="18"/>
      <c r="N960" s="18"/>
      <c r="O960" s="18"/>
      <c r="P960" s="18" t="str">
        <f>"427.96"</f>
        <v>427.96</v>
      </c>
      <c r="Q960" s="18"/>
      <c r="R960" s="18"/>
      <c r="S960" s="18" t="str">
        <f>"396.59"</f>
        <v>396.59</v>
      </c>
      <c r="T960" s="18" t="str">
        <f>"410.25"</f>
        <v>410.25</v>
      </c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</row>
    <row r="961" spans="1:35">
      <c r="A961" s="14">
        <v>959</v>
      </c>
      <c r="B961" s="14">
        <v>7623</v>
      </c>
      <c r="C961" s="14" t="s">
        <v>1143</v>
      </c>
      <c r="D961" s="14" t="s">
        <v>1144</v>
      </c>
      <c r="E961" s="15" t="str">
        <f>"357.57"</f>
        <v>357.57</v>
      </c>
      <c r="F961" s="15"/>
      <c r="G961" s="16" t="str">
        <f>"403.79"</f>
        <v>403.79</v>
      </c>
      <c r="H961" s="17" t="s">
        <v>54</v>
      </c>
      <c r="I961" s="18">
        <v>2</v>
      </c>
      <c r="J961" s="18">
        <v>2016</v>
      </c>
      <c r="K961" s="18" t="str">
        <f>"357.57"</f>
        <v>357.57</v>
      </c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 t="str">
        <f>"363.79"</f>
        <v>363.79</v>
      </c>
      <c r="AH961" s="18"/>
      <c r="AI961" s="18"/>
    </row>
    <row r="962" spans="1:35">
      <c r="A962" s="14">
        <v>960</v>
      </c>
      <c r="B962" s="14">
        <v>4545</v>
      </c>
      <c r="C962" s="14" t="s">
        <v>1145</v>
      </c>
      <c r="D962" s="14" t="s">
        <v>222</v>
      </c>
      <c r="E962" s="15" t="str">
        <f>"403.79"</f>
        <v>403.79</v>
      </c>
      <c r="F962" s="15"/>
      <c r="G962" s="16" t="str">
        <f>"403.79"</f>
        <v>403.79</v>
      </c>
      <c r="H962" s="17" t="s">
        <v>54</v>
      </c>
      <c r="I962" s="18">
        <v>4</v>
      </c>
      <c r="J962" s="18">
        <v>2016</v>
      </c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 t="str">
        <f>"363.79"</f>
        <v>363.79</v>
      </c>
      <c r="AH962" s="18"/>
      <c r="AI962" s="18"/>
    </row>
    <row r="963" spans="1:35">
      <c r="A963" s="14">
        <v>961</v>
      </c>
      <c r="B963" s="14">
        <v>2095</v>
      </c>
      <c r="C963" s="14" t="s">
        <v>1146</v>
      </c>
      <c r="D963" s="14" t="s">
        <v>854</v>
      </c>
      <c r="E963" s="15" t="str">
        <f>"341.44"</f>
        <v>341.44</v>
      </c>
      <c r="F963" s="15"/>
      <c r="G963" s="16" t="str">
        <f>"404.28"</f>
        <v>404.28</v>
      </c>
      <c r="H963" s="17" t="s">
        <v>54</v>
      </c>
      <c r="I963" s="18">
        <v>2</v>
      </c>
      <c r="J963" s="18">
        <v>2016</v>
      </c>
      <c r="K963" s="18" t="str">
        <f>"341.44"</f>
        <v>341.44</v>
      </c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 t="str">
        <f>"364.28"</f>
        <v>364.28</v>
      </c>
      <c r="AC963" s="18"/>
      <c r="AD963" s="18"/>
      <c r="AE963" s="18"/>
      <c r="AF963" s="18"/>
      <c r="AG963" s="18"/>
      <c r="AH963" s="18"/>
      <c r="AI963" s="18"/>
    </row>
    <row r="964" spans="1:35">
      <c r="A964" s="14">
        <v>962</v>
      </c>
      <c r="B964" s="14">
        <v>10228</v>
      </c>
      <c r="C964" s="14" t="s">
        <v>1147</v>
      </c>
      <c r="D964" s="14" t="s">
        <v>330</v>
      </c>
      <c r="E964" s="15" t="str">
        <f>"405.14"</f>
        <v>405.14</v>
      </c>
      <c r="F964" s="15"/>
      <c r="G964" s="16" t="str">
        <f>"405.14"</f>
        <v>405.14</v>
      </c>
      <c r="H964" s="17"/>
      <c r="I964" s="18">
        <v>3</v>
      </c>
      <c r="J964" s="18">
        <v>2016</v>
      </c>
      <c r="K964" s="18" t="str">
        <f>"558.98"</f>
        <v>558.98</v>
      </c>
      <c r="L964" s="18"/>
      <c r="M964" s="18"/>
      <c r="N964" s="18"/>
      <c r="O964" s="18"/>
      <c r="P964" s="18" t="str">
        <f>"421.32"</f>
        <v>421.32</v>
      </c>
      <c r="Q964" s="18"/>
      <c r="R964" s="18" t="str">
        <f>"388.96"</f>
        <v>388.96</v>
      </c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</row>
    <row r="965" spans="1:35">
      <c r="A965" s="14">
        <v>963</v>
      </c>
      <c r="B965" s="14">
        <v>10761</v>
      </c>
      <c r="C965" s="14" t="s">
        <v>1148</v>
      </c>
      <c r="D965" s="14" t="s">
        <v>98</v>
      </c>
      <c r="E965" s="15" t="str">
        <f>"405.57"</f>
        <v>405.57</v>
      </c>
      <c r="F965" s="15"/>
      <c r="G965" s="16" t="str">
        <f>"405.57"</f>
        <v>405.57</v>
      </c>
      <c r="H965" s="17" t="s">
        <v>54</v>
      </c>
      <c r="I965" s="18">
        <v>4</v>
      </c>
      <c r="J965" s="18">
        <v>2016</v>
      </c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 t="str">
        <f>"365.57"</f>
        <v>365.57</v>
      </c>
      <c r="AA965" s="18"/>
      <c r="AB965" s="18"/>
      <c r="AC965" s="18"/>
      <c r="AD965" s="18"/>
      <c r="AE965" s="18"/>
      <c r="AF965" s="18"/>
      <c r="AG965" s="18"/>
      <c r="AH965" s="18"/>
      <c r="AI965" s="18"/>
    </row>
    <row r="966" spans="1:35">
      <c r="A966" s="14">
        <v>964</v>
      </c>
      <c r="B966" s="14">
        <v>1092</v>
      </c>
      <c r="C966" s="14" t="s">
        <v>1149</v>
      </c>
      <c r="D966" s="14" t="s">
        <v>816</v>
      </c>
      <c r="E966" s="15" t="str">
        <f>"266.46"</f>
        <v>266.46</v>
      </c>
      <c r="F966" s="15"/>
      <c r="G966" s="16" t="str">
        <f>"406.59"</f>
        <v>406.59</v>
      </c>
      <c r="H966" s="17" t="s">
        <v>54</v>
      </c>
      <c r="I966" s="18">
        <v>2</v>
      </c>
      <c r="J966" s="18">
        <v>2016</v>
      </c>
      <c r="K966" s="18" t="str">
        <f>"266.46"</f>
        <v>266.46</v>
      </c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 t="str">
        <f>"366.59"</f>
        <v>366.59</v>
      </c>
      <c r="AC966" s="18"/>
      <c r="AD966" s="18"/>
      <c r="AE966" s="18"/>
      <c r="AF966" s="18"/>
      <c r="AG966" s="18"/>
      <c r="AH966" s="18"/>
      <c r="AI966" s="18"/>
    </row>
    <row r="967" spans="1:35">
      <c r="A967" s="14">
        <v>965</v>
      </c>
      <c r="B967" s="14">
        <v>3924</v>
      </c>
      <c r="C967" s="14" t="s">
        <v>1150</v>
      </c>
      <c r="D967" s="14" t="s">
        <v>1151</v>
      </c>
      <c r="E967" s="15" t="str">
        <f>"324.30"</f>
        <v>324.30</v>
      </c>
      <c r="F967" s="15"/>
      <c r="G967" s="16" t="str">
        <f>"406.98"</f>
        <v>406.98</v>
      </c>
      <c r="H967" s="17"/>
      <c r="I967" s="18">
        <v>3</v>
      </c>
      <c r="J967" s="18">
        <v>2016</v>
      </c>
      <c r="K967" s="18" t="str">
        <f>"324.30"</f>
        <v>324.30</v>
      </c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 t="str">
        <f>"417.95"</f>
        <v>417.95</v>
      </c>
      <c r="AC967" s="18"/>
      <c r="AD967" s="18"/>
      <c r="AE967" s="18" t="str">
        <f>"501.15"</f>
        <v>501.15</v>
      </c>
      <c r="AF967" s="18" t="str">
        <f>"428.36"</f>
        <v>428.36</v>
      </c>
      <c r="AG967" s="18" t="str">
        <f>"396.00"</f>
        <v>396.00</v>
      </c>
      <c r="AH967" s="18"/>
      <c r="AI967" s="18"/>
    </row>
    <row r="968" spans="1:35">
      <c r="A968" s="14">
        <v>966</v>
      </c>
      <c r="B968" s="14">
        <v>3621</v>
      </c>
      <c r="C968" s="14" t="s">
        <v>1152</v>
      </c>
      <c r="D968" s="14" t="s">
        <v>580</v>
      </c>
      <c r="E968" s="15" t="str">
        <f>"408.14"</f>
        <v>408.14</v>
      </c>
      <c r="F968" s="15"/>
      <c r="G968" s="16" t="str">
        <f>"408.14"</f>
        <v>408.14</v>
      </c>
      <c r="H968" s="17"/>
      <c r="I968" s="18">
        <v>3</v>
      </c>
      <c r="J968" s="18">
        <v>2016</v>
      </c>
      <c r="K968" s="18" t="str">
        <f>"457.62"</f>
        <v>457.62</v>
      </c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 t="str">
        <f>"417.76"</f>
        <v>417.76</v>
      </c>
      <c r="X968" s="18"/>
      <c r="Y968" s="18"/>
      <c r="Z968" s="18"/>
      <c r="AA968" s="18"/>
      <c r="AB968" s="18"/>
      <c r="AC968" s="18"/>
      <c r="AD968" s="18"/>
      <c r="AE968" s="18"/>
      <c r="AF968" s="18"/>
      <c r="AG968" s="18" t="str">
        <f>"398.51"</f>
        <v>398.51</v>
      </c>
      <c r="AH968" s="18"/>
      <c r="AI968" s="18"/>
    </row>
    <row r="969" spans="1:35">
      <c r="A969" s="14">
        <v>967</v>
      </c>
      <c r="B969" s="14">
        <v>5735</v>
      </c>
      <c r="C969" s="14" t="s">
        <v>1153</v>
      </c>
      <c r="D969" s="14" t="s">
        <v>39</v>
      </c>
      <c r="E969" s="15" t="str">
        <f>"409.46"</f>
        <v>409.46</v>
      </c>
      <c r="F969" s="15"/>
      <c r="G969" s="16" t="str">
        <f>"410.40"</f>
        <v>410.40</v>
      </c>
      <c r="H969" s="17"/>
      <c r="I969" s="18">
        <v>3</v>
      </c>
      <c r="J969" s="18">
        <v>2016</v>
      </c>
      <c r="K969" s="18" t="str">
        <f>"410.23"</f>
        <v>410.23</v>
      </c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 t="str">
        <f>"637.56"</f>
        <v>637.56</v>
      </c>
      <c r="AB969" s="18"/>
      <c r="AC969" s="18"/>
      <c r="AD969" s="18"/>
      <c r="AE969" s="18"/>
      <c r="AF969" s="18"/>
      <c r="AG969" s="18" t="str">
        <f>"412.10"</f>
        <v>412.10</v>
      </c>
      <c r="AH969" s="18" t="str">
        <f>"408.69"</f>
        <v>408.69</v>
      </c>
      <c r="AI969" s="18"/>
    </row>
    <row r="970" spans="1:35">
      <c r="A970" s="14">
        <v>968</v>
      </c>
      <c r="B970" s="14">
        <v>11049</v>
      </c>
      <c r="C970" s="14" t="s">
        <v>1154</v>
      </c>
      <c r="D970" s="14" t="s">
        <v>148</v>
      </c>
      <c r="E970" s="15" t="str">
        <f>"411.45"</f>
        <v>411.45</v>
      </c>
      <c r="F970" s="15"/>
      <c r="G970" s="16" t="str">
        <f>"411.45"</f>
        <v>411.45</v>
      </c>
      <c r="H970" s="17" t="s">
        <v>54</v>
      </c>
      <c r="I970" s="18">
        <v>4</v>
      </c>
      <c r="J970" s="18">
        <v>2016</v>
      </c>
      <c r="K970" s="18"/>
      <c r="L970" s="18"/>
      <c r="M970" s="18"/>
      <c r="N970" s="18"/>
      <c r="O970" s="18"/>
      <c r="P970" s="18"/>
      <c r="Q970" s="18"/>
      <c r="R970" s="18"/>
      <c r="S970" s="18" t="str">
        <f>"371.45"</f>
        <v>371.45</v>
      </c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</row>
    <row r="971" spans="1:35">
      <c r="A971" s="14">
        <v>969</v>
      </c>
      <c r="B971" s="14">
        <v>1489</v>
      </c>
      <c r="C971" s="14" t="s">
        <v>1155</v>
      </c>
      <c r="D971" s="14" t="s">
        <v>500</v>
      </c>
      <c r="E971" s="15" t="str">
        <f>"371.58"</f>
        <v>371.58</v>
      </c>
      <c r="F971" s="15"/>
      <c r="G971" s="16" t="str">
        <f>"411.58"</f>
        <v>411.58</v>
      </c>
      <c r="H971" s="17" t="s">
        <v>48</v>
      </c>
      <c r="I971" s="18">
        <v>1</v>
      </c>
      <c r="J971" s="18">
        <v>2016</v>
      </c>
      <c r="K971" s="18" t="str">
        <f>"371.58"</f>
        <v>371.58</v>
      </c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</row>
    <row r="972" spans="1:35">
      <c r="A972" s="14">
        <v>970</v>
      </c>
      <c r="B972" s="14">
        <v>1364</v>
      </c>
      <c r="C972" s="14" t="s">
        <v>1156</v>
      </c>
      <c r="D972" s="14" t="s">
        <v>133</v>
      </c>
      <c r="E972" s="15" t="str">
        <f>"371.72"</f>
        <v>371.72</v>
      </c>
      <c r="F972" s="15"/>
      <c r="G972" s="16" t="str">
        <f>"411.72"</f>
        <v>411.72</v>
      </c>
      <c r="H972" s="17" t="s">
        <v>48</v>
      </c>
      <c r="I972" s="18">
        <v>1</v>
      </c>
      <c r="J972" s="18">
        <v>2016</v>
      </c>
      <c r="K972" s="18" t="str">
        <f>"371.72"</f>
        <v>371.72</v>
      </c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</row>
    <row r="973" spans="1:35">
      <c r="A973" s="14">
        <v>971</v>
      </c>
      <c r="B973" s="14">
        <v>10510</v>
      </c>
      <c r="C973" s="14" t="s">
        <v>1157</v>
      </c>
      <c r="D973" s="14" t="s">
        <v>39</v>
      </c>
      <c r="E973" s="15" t="str">
        <f>"412.98"</f>
        <v>412.98</v>
      </c>
      <c r="F973" s="15"/>
      <c r="G973" s="16" t="str">
        <f>"412.98"</f>
        <v>412.98</v>
      </c>
      <c r="H973" s="17"/>
      <c r="I973" s="18">
        <v>5</v>
      </c>
      <c r="J973" s="18">
        <v>2016</v>
      </c>
      <c r="K973" s="18"/>
      <c r="L973" s="18"/>
      <c r="M973" s="18"/>
      <c r="N973" s="18"/>
      <c r="O973" s="18"/>
      <c r="P973" s="18" t="str">
        <f>"489.95"</f>
        <v>489.95</v>
      </c>
      <c r="Q973" s="18"/>
      <c r="R973" s="18" t="str">
        <f>"336.01"</f>
        <v>336.01</v>
      </c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</row>
    <row r="974" spans="1:35">
      <c r="A974" s="14">
        <v>972</v>
      </c>
      <c r="B974" s="14">
        <v>10275</v>
      </c>
      <c r="C974" s="14" t="s">
        <v>1158</v>
      </c>
      <c r="D974" s="14" t="s">
        <v>1159</v>
      </c>
      <c r="E974" s="15" t="str">
        <f>"373.01"</f>
        <v>373.01</v>
      </c>
      <c r="F974" s="15"/>
      <c r="G974" s="16" t="str">
        <f>"413.01"</f>
        <v>413.01</v>
      </c>
      <c r="H974" s="17" t="s">
        <v>48</v>
      </c>
      <c r="I974" s="18">
        <v>1</v>
      </c>
      <c r="J974" s="18">
        <v>2016</v>
      </c>
      <c r="K974" s="18" t="str">
        <f>"373.01"</f>
        <v>373.01</v>
      </c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</row>
    <row r="975" spans="1:35">
      <c r="A975" s="14">
        <v>973</v>
      </c>
      <c r="B975" s="14">
        <v>1269</v>
      </c>
      <c r="C975" s="14" t="s">
        <v>1160</v>
      </c>
      <c r="D975" s="14" t="s">
        <v>148</v>
      </c>
      <c r="E975" s="15" t="str">
        <f>"373.93"</f>
        <v>373.93</v>
      </c>
      <c r="F975" s="15"/>
      <c r="G975" s="16" t="str">
        <f>"413.93"</f>
        <v>413.93</v>
      </c>
      <c r="H975" s="17" t="s">
        <v>48</v>
      </c>
      <c r="I975" s="18">
        <v>1</v>
      </c>
      <c r="J975" s="18">
        <v>2016</v>
      </c>
      <c r="K975" s="18" t="str">
        <f>"373.93"</f>
        <v>373.93</v>
      </c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</row>
    <row r="976" spans="1:35">
      <c r="A976" s="14">
        <v>974</v>
      </c>
      <c r="B976" s="14">
        <v>10870</v>
      </c>
      <c r="C976" s="14" t="s">
        <v>1161</v>
      </c>
      <c r="D976" s="14" t="s">
        <v>76</v>
      </c>
      <c r="E976" s="15" t="str">
        <f>"414.72"</f>
        <v>414.72</v>
      </c>
      <c r="F976" s="15"/>
      <c r="G976" s="16" t="str">
        <f>"414.72"</f>
        <v>414.72</v>
      </c>
      <c r="H976" s="17"/>
      <c r="I976" s="18">
        <v>5</v>
      </c>
      <c r="J976" s="18">
        <v>2016</v>
      </c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 t="str">
        <f>"463.42"</f>
        <v>463.42</v>
      </c>
      <c r="Y976" s="18"/>
      <c r="Z976" s="18"/>
      <c r="AA976" s="18"/>
      <c r="AB976" s="18"/>
      <c r="AC976" s="18" t="str">
        <f>"366.37"</f>
        <v>366.37</v>
      </c>
      <c r="AD976" s="18"/>
      <c r="AE976" s="18"/>
      <c r="AF976" s="18"/>
      <c r="AG976" s="18"/>
      <c r="AH976" s="18" t="str">
        <f>"463.07"</f>
        <v>463.07</v>
      </c>
      <c r="AI976" s="18"/>
    </row>
    <row r="977" spans="1:35">
      <c r="A977" s="14">
        <v>975</v>
      </c>
      <c r="B977" s="14">
        <v>9468</v>
      </c>
      <c r="C977" s="14" t="s">
        <v>1162</v>
      </c>
      <c r="D977" s="14" t="s">
        <v>646</v>
      </c>
      <c r="E977" s="15" t="str">
        <f>"237.21"</f>
        <v>237.21</v>
      </c>
      <c r="F977" s="15"/>
      <c r="G977" s="16" t="str">
        <f>"415.09"</f>
        <v>415.09</v>
      </c>
      <c r="H977" s="17" t="s">
        <v>54</v>
      </c>
      <c r="I977" s="18">
        <v>2</v>
      </c>
      <c r="J977" s="18">
        <v>2016</v>
      </c>
      <c r="K977" s="18" t="str">
        <f>"237.21"</f>
        <v>237.21</v>
      </c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 t="str">
        <f>"375.09"</f>
        <v>375.09</v>
      </c>
      <c r="AH977" s="18"/>
      <c r="AI977" s="18"/>
    </row>
    <row r="978" spans="1:35">
      <c r="A978" s="14">
        <v>976</v>
      </c>
      <c r="B978" s="14">
        <v>6661</v>
      </c>
      <c r="C978" s="14" t="s">
        <v>1163</v>
      </c>
      <c r="D978" s="14" t="s">
        <v>330</v>
      </c>
      <c r="E978" s="15" t="str">
        <f>"375.27"</f>
        <v>375.27</v>
      </c>
      <c r="F978" s="15"/>
      <c r="G978" s="16" t="str">
        <f>"415.27"</f>
        <v>415.27</v>
      </c>
      <c r="H978" s="17" t="s">
        <v>48</v>
      </c>
      <c r="I978" s="18">
        <v>1</v>
      </c>
      <c r="J978" s="18">
        <v>2016</v>
      </c>
      <c r="K978" s="18" t="str">
        <f>"375.27"</f>
        <v>375.27</v>
      </c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</row>
    <row r="979" spans="1:35">
      <c r="A979" s="14">
        <v>977</v>
      </c>
      <c r="B979" s="14">
        <v>1708</v>
      </c>
      <c r="C979" s="14" t="s">
        <v>1164</v>
      </c>
      <c r="D979" s="14" t="s">
        <v>76</v>
      </c>
      <c r="E979" s="15" t="str">
        <f>"375.90"</f>
        <v>375.90</v>
      </c>
      <c r="F979" s="15"/>
      <c r="G979" s="16" t="str">
        <f>"415.90"</f>
        <v>415.90</v>
      </c>
      <c r="H979" s="17" t="s">
        <v>48</v>
      </c>
      <c r="I979" s="18">
        <v>1</v>
      </c>
      <c r="J979" s="18">
        <v>2016</v>
      </c>
      <c r="K979" s="18" t="str">
        <f>"375.90"</f>
        <v>375.90</v>
      </c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</row>
    <row r="980" spans="1:35">
      <c r="A980" s="14">
        <v>978</v>
      </c>
      <c r="B980" s="14">
        <v>10166</v>
      </c>
      <c r="C980" s="14" t="s">
        <v>1165</v>
      </c>
      <c r="D980" s="14" t="s">
        <v>98</v>
      </c>
      <c r="E980" s="15" t="str">
        <f>"470.87"</f>
        <v>470.87</v>
      </c>
      <c r="F980" s="15"/>
      <c r="G980" s="16" t="str">
        <f>"416.08"</f>
        <v>416.08</v>
      </c>
      <c r="H980" s="17" t="s">
        <v>54</v>
      </c>
      <c r="I980" s="18">
        <v>2</v>
      </c>
      <c r="J980" s="18">
        <v>2016</v>
      </c>
      <c r="K980" s="18" t="str">
        <f>"565.66"</f>
        <v>565.66</v>
      </c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 t="str">
        <f>"376.08"</f>
        <v>376.08</v>
      </c>
      <c r="AA980" s="18"/>
      <c r="AB980" s="18"/>
      <c r="AC980" s="18"/>
      <c r="AD980" s="18"/>
      <c r="AE980" s="18"/>
      <c r="AF980" s="18"/>
      <c r="AG980" s="18"/>
      <c r="AH980" s="18"/>
      <c r="AI980" s="18"/>
    </row>
    <row r="981" spans="1:35">
      <c r="A981" s="14">
        <v>979</v>
      </c>
      <c r="B981" s="14">
        <v>10552</v>
      </c>
      <c r="C981" s="14" t="s">
        <v>1166</v>
      </c>
      <c r="D981" s="14" t="s">
        <v>76</v>
      </c>
      <c r="E981" s="15" t="str">
        <f>"462.87"</f>
        <v>462.87</v>
      </c>
      <c r="F981" s="15"/>
      <c r="G981" s="16" t="str">
        <f>"416.40"</f>
        <v>416.40</v>
      </c>
      <c r="H981" s="17" t="s">
        <v>54</v>
      </c>
      <c r="I981" s="18">
        <v>2</v>
      </c>
      <c r="J981" s="18">
        <v>2016</v>
      </c>
      <c r="K981" s="18" t="str">
        <f>"549.33"</f>
        <v>549.33</v>
      </c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 t="str">
        <f>"376.40"</f>
        <v>376.40</v>
      </c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</row>
    <row r="982" spans="1:35">
      <c r="A982" s="14">
        <v>980</v>
      </c>
      <c r="B982" s="14">
        <v>10787</v>
      </c>
      <c r="C982" s="14" t="s">
        <v>1167</v>
      </c>
      <c r="D982" s="14" t="s">
        <v>98</v>
      </c>
      <c r="E982" s="15" t="str">
        <f>"417.89"</f>
        <v>417.89</v>
      </c>
      <c r="F982" s="15"/>
      <c r="G982" s="16" t="str">
        <f>"417.89"</f>
        <v>417.89</v>
      </c>
      <c r="H982" s="17"/>
      <c r="I982" s="18">
        <v>5</v>
      </c>
      <c r="J982" s="18">
        <v>2016</v>
      </c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 t="str">
        <f>"489.85"</f>
        <v>489.85</v>
      </c>
      <c r="V982" s="18"/>
      <c r="W982" s="18"/>
      <c r="X982" s="18"/>
      <c r="Y982" s="18"/>
      <c r="Z982" s="18" t="str">
        <f>"345.92"</f>
        <v>345.92</v>
      </c>
      <c r="AA982" s="18"/>
      <c r="AB982" s="18"/>
      <c r="AC982" s="18"/>
      <c r="AD982" s="18"/>
      <c r="AE982" s="18"/>
      <c r="AF982" s="18"/>
      <c r="AG982" s="18"/>
      <c r="AH982" s="18"/>
      <c r="AI982" s="18"/>
    </row>
    <row r="983" spans="1:35">
      <c r="A983" s="14">
        <v>981</v>
      </c>
      <c r="B983" s="14">
        <v>1284</v>
      </c>
      <c r="C983" s="14" t="s">
        <v>1168</v>
      </c>
      <c r="D983" s="14" t="s">
        <v>410</v>
      </c>
      <c r="E983" s="15" t="str">
        <f>"378.13"</f>
        <v>378.13</v>
      </c>
      <c r="F983" s="15"/>
      <c r="G983" s="16" t="str">
        <f>"418.13"</f>
        <v>418.13</v>
      </c>
      <c r="H983" s="17" t="s">
        <v>48</v>
      </c>
      <c r="I983" s="18">
        <v>1</v>
      </c>
      <c r="J983" s="18">
        <v>2016</v>
      </c>
      <c r="K983" s="18" t="str">
        <f>"378.13"</f>
        <v>378.13</v>
      </c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</row>
    <row r="984" spans="1:35">
      <c r="A984" s="14">
        <v>982</v>
      </c>
      <c r="B984" s="14">
        <v>5713</v>
      </c>
      <c r="C984" s="14" t="s">
        <v>1169</v>
      </c>
      <c r="D984" s="14" t="s">
        <v>240</v>
      </c>
      <c r="E984" s="15" t="str">
        <f>"267.86"</f>
        <v>267.86</v>
      </c>
      <c r="F984" s="15"/>
      <c r="G984" s="16" t="str">
        <f>"418.78"</f>
        <v>418.78</v>
      </c>
      <c r="H984" s="17" t="s">
        <v>54</v>
      </c>
      <c r="I984" s="18">
        <v>2</v>
      </c>
      <c r="J984" s="18">
        <v>2016</v>
      </c>
      <c r="K984" s="18" t="str">
        <f>"267.86"</f>
        <v>267.86</v>
      </c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 t="str">
        <f>"378.78"</f>
        <v>378.78</v>
      </c>
      <c r="AC984" s="18"/>
      <c r="AD984" s="18"/>
      <c r="AE984" s="18"/>
      <c r="AF984" s="18"/>
      <c r="AG984" s="18"/>
      <c r="AH984" s="18"/>
      <c r="AI984" s="18"/>
    </row>
    <row r="985" spans="1:35">
      <c r="A985" s="14">
        <v>983</v>
      </c>
      <c r="B985" s="14">
        <v>11077</v>
      </c>
      <c r="C985" s="14" t="s">
        <v>1170</v>
      </c>
      <c r="D985" s="14" t="s">
        <v>364</v>
      </c>
      <c r="E985" s="15" t="str">
        <f>"420.55"</f>
        <v>420.55</v>
      </c>
      <c r="F985" s="15"/>
      <c r="G985" s="16" t="str">
        <f>"420.55"</f>
        <v>420.55</v>
      </c>
      <c r="H985" s="17" t="s">
        <v>54</v>
      </c>
      <c r="I985" s="18">
        <v>4</v>
      </c>
      <c r="J985" s="18">
        <v>2016</v>
      </c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 t="str">
        <f>"380.55"</f>
        <v>380.55</v>
      </c>
      <c r="AC985" s="18"/>
      <c r="AD985" s="18"/>
      <c r="AE985" s="18"/>
      <c r="AF985" s="18"/>
      <c r="AG985" s="18"/>
      <c r="AH985" s="18"/>
      <c r="AI985" s="18"/>
    </row>
    <row r="986" spans="1:35">
      <c r="A986" s="14">
        <v>984</v>
      </c>
      <c r="B986" s="14">
        <v>8633</v>
      </c>
      <c r="C986" s="14" t="s">
        <v>1171</v>
      </c>
      <c r="D986" s="14" t="s">
        <v>76</v>
      </c>
      <c r="E986" s="15" t="str">
        <f>"390.70"</f>
        <v>390.70</v>
      </c>
      <c r="F986" s="15"/>
      <c r="G986" s="16" t="str">
        <f>"420.82"</f>
        <v>420.82</v>
      </c>
      <c r="H986" s="17" t="s">
        <v>54</v>
      </c>
      <c r="I986" s="18">
        <v>2</v>
      </c>
      <c r="J986" s="18">
        <v>2016</v>
      </c>
      <c r="K986" s="18" t="str">
        <f>"400.57"</f>
        <v>400.57</v>
      </c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 t="str">
        <f>"380.82"</f>
        <v>380.82</v>
      </c>
      <c r="AD986" s="18"/>
      <c r="AE986" s="18"/>
      <c r="AF986" s="18"/>
      <c r="AG986" s="18"/>
      <c r="AH986" s="18"/>
      <c r="AI986" s="18"/>
    </row>
    <row r="987" spans="1:35">
      <c r="A987" s="14">
        <v>985</v>
      </c>
      <c r="B987" s="14">
        <v>10180</v>
      </c>
      <c r="C987" s="14" t="s">
        <v>1172</v>
      </c>
      <c r="D987" s="14" t="s">
        <v>98</v>
      </c>
      <c r="E987" s="15" t="str">
        <f>"442.78"</f>
        <v>442.78</v>
      </c>
      <c r="F987" s="15"/>
      <c r="G987" s="16" t="str">
        <f>"421.57"</f>
        <v>421.57</v>
      </c>
      <c r="H987" s="17" t="s">
        <v>54</v>
      </c>
      <c r="I987" s="18">
        <v>2</v>
      </c>
      <c r="J987" s="18">
        <v>2016</v>
      </c>
      <c r="K987" s="18" t="str">
        <f>"503.98"</f>
        <v>503.98</v>
      </c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 t="str">
        <f>"381.57"</f>
        <v>381.57</v>
      </c>
      <c r="AA987" s="18"/>
      <c r="AB987" s="18"/>
      <c r="AC987" s="18"/>
      <c r="AD987" s="18"/>
      <c r="AE987" s="18"/>
      <c r="AF987" s="18"/>
      <c r="AG987" s="18"/>
      <c r="AH987" s="18"/>
      <c r="AI987" s="18"/>
    </row>
    <row r="988" spans="1:35">
      <c r="A988" s="14">
        <v>986</v>
      </c>
      <c r="B988" s="14">
        <v>10425</v>
      </c>
      <c r="C988" s="14" t="s">
        <v>1173</v>
      </c>
      <c r="D988" s="14" t="s">
        <v>98</v>
      </c>
      <c r="E988" s="15" t="str">
        <f>"515.19"</f>
        <v>515.19</v>
      </c>
      <c r="F988" s="15"/>
      <c r="G988" s="16" t="str">
        <f>"421.57"</f>
        <v>421.57</v>
      </c>
      <c r="H988" s="17" t="s">
        <v>54</v>
      </c>
      <c r="I988" s="18">
        <v>2</v>
      </c>
      <c r="J988" s="18">
        <v>2016</v>
      </c>
      <c r="K988" s="18" t="str">
        <f>"648.81"</f>
        <v>648.81</v>
      </c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 t="str">
        <f>"381.57"</f>
        <v>381.57</v>
      </c>
      <c r="AA988" s="18"/>
      <c r="AB988" s="18"/>
      <c r="AC988" s="18"/>
      <c r="AD988" s="18"/>
      <c r="AE988" s="18"/>
      <c r="AF988" s="18"/>
      <c r="AG988" s="18"/>
      <c r="AH988" s="18"/>
      <c r="AI988" s="18"/>
    </row>
    <row r="989" spans="1:35">
      <c r="A989" s="14">
        <v>987</v>
      </c>
      <c r="B989" s="14">
        <v>4143</v>
      </c>
      <c r="C989" s="14" t="s">
        <v>1174</v>
      </c>
      <c r="D989" s="14" t="s">
        <v>378</v>
      </c>
      <c r="E989" s="15" t="str">
        <f>"266.66"</f>
        <v>266.66</v>
      </c>
      <c r="F989" s="15"/>
      <c r="G989" s="16" t="str">
        <f>"422.41"</f>
        <v>422.41</v>
      </c>
      <c r="H989" s="17" t="s">
        <v>54</v>
      </c>
      <c r="I989" s="18">
        <v>2</v>
      </c>
      <c r="J989" s="18">
        <v>2016</v>
      </c>
      <c r="K989" s="18" t="str">
        <f>"266.66"</f>
        <v>266.66</v>
      </c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 t="str">
        <f>"382.41"</f>
        <v>382.41</v>
      </c>
      <c r="AH989" s="18"/>
      <c r="AI989" s="18"/>
    </row>
    <row r="990" spans="1:35">
      <c r="A990" s="14">
        <v>988</v>
      </c>
      <c r="B990" s="14">
        <v>10375</v>
      </c>
      <c r="C990" s="14" t="s">
        <v>1175</v>
      </c>
      <c r="D990" s="14" t="s">
        <v>98</v>
      </c>
      <c r="E990" s="15" t="str">
        <f>"382.92"</f>
        <v>382.92</v>
      </c>
      <c r="F990" s="15"/>
      <c r="G990" s="16" t="str">
        <f>"422.92"</f>
        <v>422.92</v>
      </c>
      <c r="H990" s="17" t="s">
        <v>48</v>
      </c>
      <c r="I990" s="18">
        <v>1</v>
      </c>
      <c r="J990" s="18">
        <v>2016</v>
      </c>
      <c r="K990" s="18" t="str">
        <f>"382.92"</f>
        <v>382.92</v>
      </c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</row>
    <row r="991" spans="1:35">
      <c r="A991" s="14">
        <v>989</v>
      </c>
      <c r="B991" s="14">
        <v>10590</v>
      </c>
      <c r="C991" s="14" t="s">
        <v>1176</v>
      </c>
      <c r="D991" s="14" t="s">
        <v>76</v>
      </c>
      <c r="E991" s="15" t="str">
        <f>"390.52"</f>
        <v>390.52</v>
      </c>
      <c r="F991" s="15"/>
      <c r="G991" s="16" t="str">
        <f>"423.46"</f>
        <v>423.46</v>
      </c>
      <c r="H991" s="17" t="s">
        <v>54</v>
      </c>
      <c r="I991" s="18">
        <v>2</v>
      </c>
      <c r="J991" s="18">
        <v>2016</v>
      </c>
      <c r="K991" s="18" t="str">
        <f>"397.58"</f>
        <v>397.58</v>
      </c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 t="str">
        <f>"383.46"</f>
        <v>383.46</v>
      </c>
      <c r="AD991" s="18"/>
      <c r="AE991" s="18"/>
      <c r="AF991" s="18"/>
      <c r="AG991" s="18"/>
      <c r="AH991" s="18"/>
      <c r="AI991" s="18"/>
    </row>
    <row r="992" spans="1:35">
      <c r="A992" s="14">
        <v>990</v>
      </c>
      <c r="B992" s="14">
        <v>10486</v>
      </c>
      <c r="C992" s="14" t="s">
        <v>1177</v>
      </c>
      <c r="D992" s="14" t="s">
        <v>98</v>
      </c>
      <c r="E992" s="15" t="str">
        <f>"423.85"</f>
        <v>423.85</v>
      </c>
      <c r="F992" s="15"/>
      <c r="G992" s="16" t="str">
        <f>"423.85"</f>
        <v>423.85</v>
      </c>
      <c r="H992" s="17" t="s">
        <v>54</v>
      </c>
      <c r="I992" s="18">
        <v>4</v>
      </c>
      <c r="J992" s="18">
        <v>2016</v>
      </c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 t="str">
        <f>"383.85"</f>
        <v>383.85</v>
      </c>
      <c r="AA992" s="18"/>
      <c r="AB992" s="18"/>
      <c r="AC992" s="18"/>
      <c r="AD992" s="18"/>
      <c r="AE992" s="18"/>
      <c r="AF992" s="18"/>
      <c r="AG992" s="18"/>
      <c r="AH992" s="18"/>
      <c r="AI992" s="18"/>
    </row>
    <row r="993" spans="1:35">
      <c r="A993" s="14">
        <v>991</v>
      </c>
      <c r="B993" s="14">
        <v>10384</v>
      </c>
      <c r="C993" s="14" t="s">
        <v>1178</v>
      </c>
      <c r="D993" s="14" t="s">
        <v>98</v>
      </c>
      <c r="E993" s="15" t="str">
        <f>"568.71"</f>
        <v>568.71</v>
      </c>
      <c r="F993" s="15"/>
      <c r="G993" s="16" t="str">
        <f>"423.85"</f>
        <v>423.85</v>
      </c>
      <c r="H993" s="17" t="s">
        <v>54</v>
      </c>
      <c r="I993" s="18">
        <v>2</v>
      </c>
      <c r="J993" s="18">
        <v>2016</v>
      </c>
      <c r="K993" s="18" t="str">
        <f>"753.57"</f>
        <v>753.57</v>
      </c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 t="str">
        <f>"383.85"</f>
        <v>383.85</v>
      </c>
      <c r="AA993" s="18"/>
      <c r="AB993" s="18"/>
      <c r="AC993" s="18"/>
      <c r="AD993" s="18"/>
      <c r="AE993" s="18"/>
      <c r="AF993" s="18"/>
      <c r="AG993" s="18"/>
      <c r="AH993" s="18"/>
      <c r="AI993" s="18"/>
    </row>
    <row r="994" spans="1:35">
      <c r="A994" s="14">
        <v>992</v>
      </c>
      <c r="B994" s="14">
        <v>5336</v>
      </c>
      <c r="C994" s="14" t="s">
        <v>1179</v>
      </c>
      <c r="D994" s="14" t="s">
        <v>200</v>
      </c>
      <c r="E994" s="15" t="str">
        <f>"405.57"</f>
        <v>405.57</v>
      </c>
      <c r="F994" s="15"/>
      <c r="G994" s="16">
        <v>425.57</v>
      </c>
      <c r="H994" s="17" t="s">
        <v>78</v>
      </c>
      <c r="I994" s="18">
        <v>1</v>
      </c>
      <c r="J994" s="18">
        <v>2016</v>
      </c>
      <c r="K994" s="18" t="str">
        <f>"405.57"</f>
        <v>405.57</v>
      </c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</row>
    <row r="995" spans="1:35">
      <c r="A995" s="14">
        <v>993</v>
      </c>
      <c r="B995" s="14">
        <v>2168</v>
      </c>
      <c r="C995" s="14" t="s">
        <v>1180</v>
      </c>
      <c r="D995" s="14" t="s">
        <v>76</v>
      </c>
      <c r="E995" s="15" t="str">
        <f>"425.59"</f>
        <v>425.59</v>
      </c>
      <c r="F995" s="15"/>
      <c r="G995" s="16" t="str">
        <f>"425.59"</f>
        <v>425.59</v>
      </c>
      <c r="H995" s="17"/>
      <c r="I995" s="18">
        <v>3</v>
      </c>
      <c r="J995" s="18">
        <v>2016</v>
      </c>
      <c r="K995" s="18" t="str">
        <f>"499.42"</f>
        <v>499.42</v>
      </c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 t="str">
        <f>"426.80"</f>
        <v>426.80</v>
      </c>
      <c r="Y995" s="18"/>
      <c r="Z995" s="18"/>
      <c r="AA995" s="18"/>
      <c r="AB995" s="18"/>
      <c r="AC995" s="18" t="str">
        <f>"424.38"</f>
        <v>424.38</v>
      </c>
      <c r="AD995" s="18"/>
      <c r="AE995" s="18"/>
      <c r="AF995" s="18"/>
      <c r="AG995" s="18"/>
      <c r="AH995" s="18" t="str">
        <f>"490.08"</f>
        <v>490.08</v>
      </c>
      <c r="AI995" s="18"/>
    </row>
    <row r="996" spans="1:35">
      <c r="A996" s="14">
        <v>994</v>
      </c>
      <c r="B996" s="14">
        <v>2647</v>
      </c>
      <c r="C996" s="14" t="s">
        <v>1181</v>
      </c>
      <c r="D996" s="14" t="s">
        <v>1124</v>
      </c>
      <c r="E996" s="15" t="str">
        <f>"388.02"</f>
        <v>388.02</v>
      </c>
      <c r="F996" s="15"/>
      <c r="G996" s="16" t="str">
        <f>"428.02"</f>
        <v>428.02</v>
      </c>
      <c r="H996" s="17" t="s">
        <v>48</v>
      </c>
      <c r="I996" s="18">
        <v>1</v>
      </c>
      <c r="J996" s="18">
        <v>2016</v>
      </c>
      <c r="K996" s="18" t="str">
        <f>"388.02"</f>
        <v>388.02</v>
      </c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</row>
    <row r="997" spans="1:35">
      <c r="A997" s="14">
        <v>995</v>
      </c>
      <c r="B997" s="14">
        <v>10063</v>
      </c>
      <c r="C997" s="14" t="s">
        <v>1182</v>
      </c>
      <c r="D997" s="14" t="s">
        <v>76</v>
      </c>
      <c r="E997" s="15" t="str">
        <f>"327.83"</f>
        <v>327.83</v>
      </c>
      <c r="F997" s="15"/>
      <c r="G997" s="16" t="str">
        <f>"430.19"</f>
        <v>430.19</v>
      </c>
      <c r="H997" s="17" t="s">
        <v>54</v>
      </c>
      <c r="I997" s="18">
        <v>2</v>
      </c>
      <c r="J997" s="18">
        <v>2016</v>
      </c>
      <c r="K997" s="18" t="str">
        <f>"327.83"</f>
        <v>327.83</v>
      </c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 t="str">
        <f>"390.19"</f>
        <v>390.19</v>
      </c>
      <c r="AD997" s="18"/>
      <c r="AE997" s="18"/>
      <c r="AF997" s="18"/>
      <c r="AG997" s="18"/>
      <c r="AH997" s="18"/>
      <c r="AI997" s="18"/>
    </row>
    <row r="998" spans="1:35">
      <c r="A998" s="14">
        <v>996</v>
      </c>
      <c r="B998" s="14">
        <v>10117</v>
      </c>
      <c r="C998" s="14" t="s">
        <v>1183</v>
      </c>
      <c r="D998" s="14" t="s">
        <v>98</v>
      </c>
      <c r="E998" s="15" t="str">
        <f>"282.98"</f>
        <v>282.98</v>
      </c>
      <c r="F998" s="15"/>
      <c r="G998" s="16" t="str">
        <f>"430.25"</f>
        <v>430.25</v>
      </c>
      <c r="H998" s="17" t="s">
        <v>54</v>
      </c>
      <c r="I998" s="18">
        <v>2</v>
      </c>
      <c r="J998" s="18">
        <v>2016</v>
      </c>
      <c r="K998" s="18" t="str">
        <f>"282.98"</f>
        <v>282.98</v>
      </c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 t="str">
        <f>"390.25"</f>
        <v>390.25</v>
      </c>
      <c r="AA998" s="18"/>
      <c r="AB998" s="18"/>
      <c r="AC998" s="18"/>
      <c r="AD998" s="18"/>
      <c r="AE998" s="18"/>
      <c r="AF998" s="18"/>
      <c r="AG998" s="18"/>
      <c r="AH998" s="18"/>
      <c r="AI998" s="18"/>
    </row>
    <row r="999" spans="1:35">
      <c r="A999" s="14">
        <v>997</v>
      </c>
      <c r="B999" s="14">
        <v>8458</v>
      </c>
      <c r="C999" s="14" t="s">
        <v>1184</v>
      </c>
      <c r="D999" s="14" t="s">
        <v>76</v>
      </c>
      <c r="E999" s="15" t="str">
        <f>"424.24"</f>
        <v>424.24</v>
      </c>
      <c r="F999" s="15"/>
      <c r="G999" s="16" t="str">
        <f>"430.30"</f>
        <v>430.30</v>
      </c>
      <c r="H999" s="17" t="s">
        <v>54</v>
      </c>
      <c r="I999" s="18">
        <v>2</v>
      </c>
      <c r="J999" s="18">
        <v>2016</v>
      </c>
      <c r="K999" s="18" t="str">
        <f>"458.18"</f>
        <v>458.18</v>
      </c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 t="str">
        <f>"390.30"</f>
        <v>390.30</v>
      </c>
      <c r="AD999" s="18"/>
      <c r="AE999" s="18"/>
      <c r="AF999" s="18"/>
      <c r="AG999" s="18"/>
      <c r="AH999" s="18"/>
      <c r="AI999" s="18"/>
    </row>
    <row r="1000" spans="1:35">
      <c r="A1000" s="14">
        <v>998</v>
      </c>
      <c r="B1000" s="14">
        <v>8453</v>
      </c>
      <c r="C1000" s="14" t="s">
        <v>1185</v>
      </c>
      <c r="D1000" s="14" t="s">
        <v>76</v>
      </c>
      <c r="E1000" s="15" t="str">
        <f>"390.86"</f>
        <v>390.86</v>
      </c>
      <c r="F1000" s="15"/>
      <c r="G1000" s="16" t="str">
        <f>"430.86"</f>
        <v>430.86</v>
      </c>
      <c r="H1000" s="17" t="s">
        <v>48</v>
      </c>
      <c r="I1000" s="18">
        <v>1</v>
      </c>
      <c r="J1000" s="18">
        <v>2016</v>
      </c>
      <c r="K1000" s="18" t="str">
        <f>"390.86"</f>
        <v>390.86</v>
      </c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</row>
    <row r="1001" spans="1:35">
      <c r="A1001" s="14">
        <v>999</v>
      </c>
      <c r="B1001" s="14">
        <v>10854</v>
      </c>
      <c r="C1001" s="14" t="s">
        <v>1186</v>
      </c>
      <c r="D1001" s="14" t="s">
        <v>76</v>
      </c>
      <c r="E1001" s="15" t="str">
        <f>"432.73"</f>
        <v>432.73</v>
      </c>
      <c r="F1001" s="15"/>
      <c r="G1001" s="16" t="str">
        <f>"432.73"</f>
        <v>432.73</v>
      </c>
      <c r="H1001" s="17" t="s">
        <v>54</v>
      </c>
      <c r="I1001" s="18">
        <v>4</v>
      </c>
      <c r="J1001" s="18">
        <v>2016</v>
      </c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 t="str">
        <f>"392.73"</f>
        <v>392.73</v>
      </c>
      <c r="AD1001" s="18"/>
      <c r="AE1001" s="18"/>
      <c r="AF1001" s="18"/>
      <c r="AG1001" s="18"/>
      <c r="AH1001" s="18"/>
      <c r="AI1001" s="18"/>
    </row>
    <row r="1002" spans="1:35">
      <c r="A1002" s="14">
        <v>1000</v>
      </c>
      <c r="B1002" s="14">
        <v>10418</v>
      </c>
      <c r="C1002" s="14" t="s">
        <v>1187</v>
      </c>
      <c r="D1002" s="14" t="s">
        <v>98</v>
      </c>
      <c r="E1002" s="15" t="str">
        <f>"601.73"</f>
        <v>601.73</v>
      </c>
      <c r="F1002" s="15"/>
      <c r="G1002" s="16" t="str">
        <f>"433.45"</f>
        <v>433.45</v>
      </c>
      <c r="H1002" s="17" t="s">
        <v>54</v>
      </c>
      <c r="I1002" s="18">
        <v>2</v>
      </c>
      <c r="J1002" s="18">
        <v>2016</v>
      </c>
      <c r="K1002" s="18" t="str">
        <f>"810.01"</f>
        <v>810.01</v>
      </c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 t="str">
        <f>"393.45"</f>
        <v>393.45</v>
      </c>
      <c r="AA1002" s="18"/>
      <c r="AB1002" s="18"/>
      <c r="AC1002" s="18"/>
      <c r="AD1002" s="18"/>
      <c r="AE1002" s="18"/>
      <c r="AF1002" s="18"/>
      <c r="AG1002" s="18"/>
      <c r="AH1002" s="18"/>
      <c r="AI1002" s="18"/>
    </row>
    <row r="1003" spans="1:35">
      <c r="A1003" s="14">
        <v>1001</v>
      </c>
      <c r="B1003" s="14">
        <v>7852</v>
      </c>
      <c r="C1003" s="14" t="s">
        <v>1188</v>
      </c>
      <c r="D1003" s="14" t="s">
        <v>148</v>
      </c>
      <c r="E1003" s="15" t="str">
        <f>"394.76"</f>
        <v>394.76</v>
      </c>
      <c r="F1003" s="15"/>
      <c r="G1003" s="16" t="str">
        <f>"434.76"</f>
        <v>434.76</v>
      </c>
      <c r="H1003" s="17" t="s">
        <v>48</v>
      </c>
      <c r="I1003" s="18">
        <v>1</v>
      </c>
      <c r="J1003" s="18">
        <v>2016</v>
      </c>
      <c r="K1003" s="18" t="str">
        <f>"394.76"</f>
        <v>394.76</v>
      </c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</row>
    <row r="1004" spans="1:35">
      <c r="A1004" s="14">
        <v>1002</v>
      </c>
      <c r="B1004" s="14">
        <v>3243</v>
      </c>
      <c r="C1004" s="14" t="s">
        <v>1189</v>
      </c>
      <c r="D1004" s="14" t="s">
        <v>964</v>
      </c>
      <c r="E1004" s="15" t="str">
        <f>"396.36"</f>
        <v>396.36</v>
      </c>
      <c r="F1004" s="15"/>
      <c r="G1004" s="16" t="str">
        <f>"436.36"</f>
        <v>436.36</v>
      </c>
      <c r="H1004" s="17" t="s">
        <v>48</v>
      </c>
      <c r="I1004" s="18">
        <v>1</v>
      </c>
      <c r="J1004" s="18">
        <v>2016</v>
      </c>
      <c r="K1004" s="18" t="str">
        <f>"396.36"</f>
        <v>396.36</v>
      </c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</row>
    <row r="1005" spans="1:35">
      <c r="A1005" s="14">
        <v>1003</v>
      </c>
      <c r="B1005" s="14">
        <v>10122</v>
      </c>
      <c r="C1005" s="14" t="s">
        <v>1190</v>
      </c>
      <c r="D1005" s="14" t="s">
        <v>98</v>
      </c>
      <c r="E1005" s="15" t="str">
        <f>"437.60"</f>
        <v>437.60</v>
      </c>
      <c r="F1005" s="15"/>
      <c r="G1005" s="16" t="str">
        <f>"437.60"</f>
        <v>437.60</v>
      </c>
      <c r="H1005" s="17"/>
      <c r="I1005" s="18">
        <v>3</v>
      </c>
      <c r="J1005" s="18">
        <v>2016</v>
      </c>
      <c r="K1005" s="18" t="str">
        <f>"503.55"</f>
        <v>503.55</v>
      </c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 t="str">
        <f>"476.64"</f>
        <v>476.64</v>
      </c>
      <c r="AA1005" s="18"/>
      <c r="AB1005" s="18"/>
      <c r="AC1005" s="18"/>
      <c r="AD1005" s="18"/>
      <c r="AE1005" s="18"/>
      <c r="AF1005" s="18"/>
      <c r="AG1005" s="18"/>
      <c r="AH1005" s="18"/>
      <c r="AI1005" s="18" t="str">
        <f>"398.56"</f>
        <v>398.56</v>
      </c>
    </row>
    <row r="1006" spans="1:35">
      <c r="A1006" s="14">
        <v>1004</v>
      </c>
      <c r="B1006" s="14">
        <v>10399</v>
      </c>
      <c r="C1006" s="14" t="s">
        <v>1191</v>
      </c>
      <c r="D1006" s="14" t="s">
        <v>98</v>
      </c>
      <c r="E1006" s="15" t="str">
        <f>"438.20"</f>
        <v>438.20</v>
      </c>
      <c r="F1006" s="15"/>
      <c r="G1006" s="16" t="str">
        <f>"438.20"</f>
        <v>438.20</v>
      </c>
      <c r="H1006" s="17"/>
      <c r="I1006" s="18">
        <v>3</v>
      </c>
      <c r="J1006" s="18">
        <v>2016</v>
      </c>
      <c r="K1006" s="18" t="str">
        <f>"1110.78"</f>
        <v>1110.78</v>
      </c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 t="str">
        <f>"480.30"</f>
        <v>480.30</v>
      </c>
      <c r="AA1006" s="18"/>
      <c r="AB1006" s="18"/>
      <c r="AC1006" s="18"/>
      <c r="AD1006" s="18"/>
      <c r="AE1006" s="18"/>
      <c r="AF1006" s="18"/>
      <c r="AG1006" s="18"/>
      <c r="AH1006" s="18"/>
      <c r="AI1006" s="18" t="str">
        <f>"396.10"</f>
        <v>396.10</v>
      </c>
    </row>
    <row r="1007" spans="1:35">
      <c r="A1007" s="14">
        <v>1005</v>
      </c>
      <c r="B1007" s="14">
        <v>10162</v>
      </c>
      <c r="C1007" s="14" t="s">
        <v>1192</v>
      </c>
      <c r="D1007" s="14" t="s">
        <v>98</v>
      </c>
      <c r="E1007" s="15" t="str">
        <f>"442.61"</f>
        <v>442.61</v>
      </c>
      <c r="F1007" s="15"/>
      <c r="G1007" s="16" t="str">
        <f>"438.48"</f>
        <v>438.48</v>
      </c>
      <c r="H1007" s="17" t="s">
        <v>54</v>
      </c>
      <c r="I1007" s="18">
        <v>2</v>
      </c>
      <c r="J1007" s="18">
        <v>2016</v>
      </c>
      <c r="K1007" s="18" t="str">
        <f>"486.74"</f>
        <v>486.74</v>
      </c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 t="str">
        <f>"398.48"</f>
        <v>398.48</v>
      </c>
      <c r="AA1007" s="18"/>
      <c r="AB1007" s="18"/>
      <c r="AC1007" s="18"/>
      <c r="AD1007" s="18"/>
      <c r="AE1007" s="18"/>
      <c r="AF1007" s="18"/>
      <c r="AG1007" s="18"/>
      <c r="AH1007" s="18"/>
      <c r="AI1007" s="18"/>
    </row>
    <row r="1008" spans="1:35">
      <c r="A1008" s="14">
        <v>1006</v>
      </c>
      <c r="B1008" s="14">
        <v>10464</v>
      </c>
      <c r="C1008" s="14" t="s">
        <v>1193</v>
      </c>
      <c r="D1008" s="14" t="s">
        <v>98</v>
      </c>
      <c r="E1008" s="15" t="str">
        <f>"441.68"</f>
        <v>441.68</v>
      </c>
      <c r="F1008" s="15"/>
      <c r="G1008" s="16" t="str">
        <f>"441.68"</f>
        <v>441.68</v>
      </c>
      <c r="H1008" s="17" t="s">
        <v>54</v>
      </c>
      <c r="I1008" s="18">
        <v>4</v>
      </c>
      <c r="J1008" s="18">
        <v>2016</v>
      </c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 t="str">
        <f>"401.68"</f>
        <v>401.68</v>
      </c>
      <c r="AA1008" s="18"/>
      <c r="AB1008" s="18"/>
      <c r="AC1008" s="18"/>
      <c r="AD1008" s="18"/>
      <c r="AE1008" s="18"/>
      <c r="AF1008" s="18"/>
      <c r="AG1008" s="18"/>
      <c r="AH1008" s="18"/>
      <c r="AI1008" s="18"/>
    </row>
    <row r="1009" spans="1:35">
      <c r="A1009" s="14">
        <v>1007</v>
      </c>
      <c r="B1009" s="14">
        <v>10809</v>
      </c>
      <c r="C1009" s="14" t="s">
        <v>1194</v>
      </c>
      <c r="D1009" s="14" t="s">
        <v>98</v>
      </c>
      <c r="E1009" s="15" t="str">
        <f>"441.73"</f>
        <v>441.73</v>
      </c>
      <c r="F1009" s="15"/>
      <c r="G1009" s="16" t="str">
        <f>"441.73"</f>
        <v>441.73</v>
      </c>
      <c r="H1009" s="17"/>
      <c r="I1009" s="18">
        <v>5</v>
      </c>
      <c r="J1009" s="18">
        <v>2016</v>
      </c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 t="str">
        <f>"308.89"</f>
        <v>308.89</v>
      </c>
      <c r="AA1009" s="18" t="str">
        <f>"574.56"</f>
        <v>574.56</v>
      </c>
      <c r="AB1009" s="18"/>
      <c r="AC1009" s="18"/>
      <c r="AD1009" s="18"/>
      <c r="AE1009" s="18"/>
      <c r="AF1009" s="18"/>
      <c r="AG1009" s="18"/>
      <c r="AH1009" s="18"/>
      <c r="AI1009" s="18"/>
    </row>
    <row r="1010" spans="1:35">
      <c r="A1010" s="14">
        <v>1008</v>
      </c>
      <c r="B1010" s="14">
        <v>11043</v>
      </c>
      <c r="C1010" s="14" t="s">
        <v>1195</v>
      </c>
      <c r="D1010" s="14" t="s">
        <v>148</v>
      </c>
      <c r="E1010" s="15" t="str">
        <f>"441.77"</f>
        <v>441.77</v>
      </c>
      <c r="F1010" s="15"/>
      <c r="G1010" s="16" t="str">
        <f>"441.77"</f>
        <v>441.77</v>
      </c>
      <c r="H1010" s="17"/>
      <c r="I1010" s="18">
        <v>5</v>
      </c>
      <c r="J1010" s="18">
        <v>2016</v>
      </c>
      <c r="K1010" s="18"/>
      <c r="L1010" s="18"/>
      <c r="M1010" s="18"/>
      <c r="N1010" s="18"/>
      <c r="O1010" s="18"/>
      <c r="P1010" s="18" t="str">
        <f>"530.13"</f>
        <v>530.13</v>
      </c>
      <c r="Q1010" s="18"/>
      <c r="R1010" s="18" t="str">
        <f>"353.41"</f>
        <v>353.41</v>
      </c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</row>
    <row r="1011" spans="1:35">
      <c r="A1011" s="14">
        <v>1009</v>
      </c>
      <c r="B1011" s="14">
        <v>10844</v>
      </c>
      <c r="C1011" s="14" t="s">
        <v>1196</v>
      </c>
      <c r="D1011" s="14" t="s">
        <v>76</v>
      </c>
      <c r="E1011" s="15" t="str">
        <f>"441.80"</f>
        <v>441.80</v>
      </c>
      <c r="F1011" s="15"/>
      <c r="G1011" s="16" t="str">
        <f>"441.80"</f>
        <v>441.80</v>
      </c>
      <c r="H1011" s="17" t="s">
        <v>54</v>
      </c>
      <c r="I1011" s="18">
        <v>4</v>
      </c>
      <c r="J1011" s="18">
        <v>2016</v>
      </c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 t="str">
        <f>"401.80"</f>
        <v>401.80</v>
      </c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</row>
    <row r="1012" spans="1:35">
      <c r="A1012" s="14">
        <v>1010</v>
      </c>
      <c r="B1012" s="14">
        <v>10771</v>
      </c>
      <c r="C1012" s="14" t="s">
        <v>1197</v>
      </c>
      <c r="D1012" s="14" t="s">
        <v>98</v>
      </c>
      <c r="E1012" s="15" t="str">
        <f>"443.97"</f>
        <v>443.97</v>
      </c>
      <c r="F1012" s="15"/>
      <c r="G1012" s="16" t="str">
        <f>"443.97"</f>
        <v>443.97</v>
      </c>
      <c r="H1012" s="17" t="s">
        <v>54</v>
      </c>
      <c r="I1012" s="18">
        <v>4</v>
      </c>
      <c r="J1012" s="18">
        <v>2016</v>
      </c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 t="str">
        <f>"403.97"</f>
        <v>403.97</v>
      </c>
      <c r="AA1012" s="18"/>
      <c r="AB1012" s="18"/>
      <c r="AC1012" s="18"/>
      <c r="AD1012" s="18"/>
      <c r="AE1012" s="18"/>
      <c r="AF1012" s="18"/>
      <c r="AG1012" s="18"/>
      <c r="AH1012" s="18"/>
      <c r="AI1012" s="18"/>
    </row>
    <row r="1013" spans="1:35">
      <c r="A1013" s="14">
        <v>1011</v>
      </c>
      <c r="B1013" s="14">
        <v>10218</v>
      </c>
      <c r="C1013" s="14" t="s">
        <v>1198</v>
      </c>
      <c r="D1013" s="14" t="s">
        <v>98</v>
      </c>
      <c r="E1013" s="15" t="str">
        <f>"404.90"</f>
        <v>404.90</v>
      </c>
      <c r="F1013" s="15"/>
      <c r="G1013" s="16" t="str">
        <f>"444.90"</f>
        <v>444.90</v>
      </c>
      <c r="H1013" s="17" t="s">
        <v>48</v>
      </c>
      <c r="I1013" s="18">
        <v>1</v>
      </c>
      <c r="J1013" s="18">
        <v>2016</v>
      </c>
      <c r="K1013" s="18" t="str">
        <f>"404.90"</f>
        <v>404.90</v>
      </c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</row>
    <row r="1014" spans="1:35">
      <c r="A1014" s="14">
        <v>1012</v>
      </c>
      <c r="B1014" s="14">
        <v>10426</v>
      </c>
      <c r="C1014" s="14" t="s">
        <v>1199</v>
      </c>
      <c r="D1014" s="14" t="s">
        <v>98</v>
      </c>
      <c r="E1014" s="15" t="str">
        <f>"444.91"</f>
        <v>444.91</v>
      </c>
      <c r="F1014" s="15"/>
      <c r="G1014" s="16" t="str">
        <f>"444.91"</f>
        <v>444.91</v>
      </c>
      <c r="H1014" s="17"/>
      <c r="I1014" s="18">
        <v>3</v>
      </c>
      <c r="J1014" s="18">
        <v>2016</v>
      </c>
      <c r="K1014" s="18" t="str">
        <f>"892.10"</f>
        <v>892.10</v>
      </c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 t="str">
        <f>"394.82"</f>
        <v>394.82</v>
      </c>
      <c r="AA1014" s="18"/>
      <c r="AB1014" s="18"/>
      <c r="AC1014" s="18"/>
      <c r="AD1014" s="18"/>
      <c r="AE1014" s="18"/>
      <c r="AF1014" s="18"/>
      <c r="AG1014" s="18"/>
      <c r="AH1014" s="18"/>
      <c r="AI1014" s="18" t="str">
        <f>"494.99"</f>
        <v>494.99</v>
      </c>
    </row>
    <row r="1015" spans="1:35">
      <c r="A1015" s="14">
        <v>1013</v>
      </c>
      <c r="B1015" s="14">
        <v>10440</v>
      </c>
      <c r="C1015" s="14" t="s">
        <v>1200</v>
      </c>
      <c r="D1015" s="14" t="s">
        <v>98</v>
      </c>
      <c r="E1015" s="15" t="str">
        <f>"445.33"</f>
        <v>445.33</v>
      </c>
      <c r="F1015" s="15"/>
      <c r="G1015" s="16" t="str">
        <f>"445.33"</f>
        <v>445.33</v>
      </c>
      <c r="H1015" s="17"/>
      <c r="I1015" s="18">
        <v>3</v>
      </c>
      <c r="J1015" s="18">
        <v>2016</v>
      </c>
      <c r="K1015" s="18" t="str">
        <f>"792.23"</f>
        <v>792.23</v>
      </c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 t="str">
        <f>"447.85"</f>
        <v>447.85</v>
      </c>
      <c r="AA1015" s="18"/>
      <c r="AB1015" s="18"/>
      <c r="AC1015" s="18"/>
      <c r="AD1015" s="18"/>
      <c r="AE1015" s="18"/>
      <c r="AF1015" s="18"/>
      <c r="AG1015" s="18"/>
      <c r="AH1015" s="18"/>
      <c r="AI1015" s="18" t="str">
        <f>"442.80"</f>
        <v>442.80</v>
      </c>
    </row>
    <row r="1016" spans="1:35">
      <c r="A1016" s="14">
        <v>1014</v>
      </c>
      <c r="B1016" s="14">
        <v>10119</v>
      </c>
      <c r="C1016" s="14" t="s">
        <v>1201</v>
      </c>
      <c r="D1016" s="14" t="s">
        <v>98</v>
      </c>
      <c r="E1016" s="15" t="str">
        <f>"446.64"</f>
        <v>446.64</v>
      </c>
      <c r="F1016" s="15"/>
      <c r="G1016" s="16" t="str">
        <f>"446.64"</f>
        <v>446.64</v>
      </c>
      <c r="H1016" s="17"/>
      <c r="I1016" s="18">
        <v>3</v>
      </c>
      <c r="J1016" s="18">
        <v>2016</v>
      </c>
      <c r="K1016" s="18" t="str">
        <f>"588.63"</f>
        <v>588.63</v>
      </c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 t="str">
        <f>"442.82"</f>
        <v>442.82</v>
      </c>
      <c r="AA1016" s="18"/>
      <c r="AB1016" s="18"/>
      <c r="AC1016" s="18"/>
      <c r="AD1016" s="18"/>
      <c r="AE1016" s="18"/>
      <c r="AF1016" s="18"/>
      <c r="AG1016" s="18"/>
      <c r="AH1016" s="18"/>
      <c r="AI1016" s="18" t="str">
        <f>"450.46"</f>
        <v>450.46</v>
      </c>
    </row>
    <row r="1017" spans="1:35">
      <c r="A1017" s="14">
        <v>1015</v>
      </c>
      <c r="B1017" s="14">
        <v>9979</v>
      </c>
      <c r="C1017" s="14" t="s">
        <v>1202</v>
      </c>
      <c r="D1017" s="14" t="s">
        <v>148</v>
      </c>
      <c r="E1017" s="15" t="str">
        <f>"409.15"</f>
        <v>409.15</v>
      </c>
      <c r="F1017" s="15"/>
      <c r="G1017" s="16" t="str">
        <f>"449.15"</f>
        <v>449.15</v>
      </c>
      <c r="H1017" s="17" t="s">
        <v>48</v>
      </c>
      <c r="I1017" s="18">
        <v>1</v>
      </c>
      <c r="J1017" s="18">
        <v>2016</v>
      </c>
      <c r="K1017" s="18" t="str">
        <f>"409.15"</f>
        <v>409.15</v>
      </c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</row>
    <row r="1018" spans="1:35">
      <c r="A1018" s="14">
        <v>1016</v>
      </c>
      <c r="B1018" s="14">
        <v>10414</v>
      </c>
      <c r="C1018" s="14" t="s">
        <v>1203</v>
      </c>
      <c r="D1018" s="14" t="s">
        <v>98</v>
      </c>
      <c r="E1018" s="15" t="str">
        <f>"449.80"</f>
        <v>449.80</v>
      </c>
      <c r="F1018" s="15"/>
      <c r="G1018" s="16" t="str">
        <f>"449.80"</f>
        <v>449.80</v>
      </c>
      <c r="H1018" s="17"/>
      <c r="I1018" s="18">
        <v>3</v>
      </c>
      <c r="J1018" s="18">
        <v>2016</v>
      </c>
      <c r="K1018" s="18" t="str">
        <f>"1163.67"</f>
        <v>1163.67</v>
      </c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 t="str">
        <f>"501.33"</f>
        <v>501.33</v>
      </c>
      <c r="AA1018" s="18"/>
      <c r="AB1018" s="18"/>
      <c r="AC1018" s="18"/>
      <c r="AD1018" s="18"/>
      <c r="AE1018" s="18"/>
      <c r="AF1018" s="18"/>
      <c r="AG1018" s="18" t="str">
        <f>"536.33"</f>
        <v>536.33</v>
      </c>
      <c r="AH1018" s="18"/>
      <c r="AI1018" s="18" t="str">
        <f>"398.27"</f>
        <v>398.27</v>
      </c>
    </row>
    <row r="1019" spans="1:35">
      <c r="A1019" s="14">
        <v>1017</v>
      </c>
      <c r="B1019" s="14">
        <v>10551</v>
      </c>
      <c r="C1019" s="14" t="s">
        <v>1204</v>
      </c>
      <c r="D1019" s="14" t="s">
        <v>76</v>
      </c>
      <c r="E1019" s="15" t="str">
        <f>"451.55"</f>
        <v>451.55</v>
      </c>
      <c r="F1019" s="15"/>
      <c r="G1019" s="16" t="str">
        <f>"451.55"</f>
        <v>451.55</v>
      </c>
      <c r="H1019" s="17"/>
      <c r="I1019" s="18">
        <v>3</v>
      </c>
      <c r="J1019" s="18">
        <v>2016</v>
      </c>
      <c r="K1019" s="18" t="str">
        <f>"569.07"</f>
        <v>569.07</v>
      </c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 t="str">
        <f>"491.39"</f>
        <v>491.39</v>
      </c>
      <c r="Y1019" s="18"/>
      <c r="Z1019" s="18"/>
      <c r="AA1019" s="18"/>
      <c r="AB1019" s="18"/>
      <c r="AC1019" s="18" t="str">
        <f>"411.70"</f>
        <v>411.70</v>
      </c>
      <c r="AD1019" s="18"/>
      <c r="AE1019" s="18"/>
      <c r="AF1019" s="18"/>
      <c r="AG1019" s="18"/>
      <c r="AH1019" s="18"/>
      <c r="AI1019" s="18"/>
    </row>
    <row r="1020" spans="1:35">
      <c r="A1020" s="14">
        <v>1018</v>
      </c>
      <c r="B1020" s="14">
        <v>1912</v>
      </c>
      <c r="C1020" s="14" t="s">
        <v>1205</v>
      </c>
      <c r="D1020" s="14" t="s">
        <v>114</v>
      </c>
      <c r="E1020" s="15" t="str">
        <f>"287.14"</f>
        <v>287.14</v>
      </c>
      <c r="F1020" s="15"/>
      <c r="G1020" s="16" t="str">
        <f>"453.87"</f>
        <v>453.87</v>
      </c>
      <c r="H1020" s="17" t="s">
        <v>54</v>
      </c>
      <c r="I1020" s="18">
        <v>2</v>
      </c>
      <c r="J1020" s="18">
        <v>2016</v>
      </c>
      <c r="K1020" s="18" t="str">
        <f>"287.14"</f>
        <v>287.14</v>
      </c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 t="str">
        <f>"413.87"</f>
        <v>413.87</v>
      </c>
      <c r="AI1020" s="18"/>
    </row>
    <row r="1021" spans="1:35">
      <c r="A1021" s="14">
        <v>1019</v>
      </c>
      <c r="B1021" s="14">
        <v>10387</v>
      </c>
      <c r="C1021" s="14" t="s">
        <v>1206</v>
      </c>
      <c r="D1021" s="14" t="s">
        <v>98</v>
      </c>
      <c r="E1021" s="15" t="str">
        <f>"453.94"</f>
        <v>453.94</v>
      </c>
      <c r="F1021" s="15"/>
      <c r="G1021" s="16" t="str">
        <f>"453.94"</f>
        <v>453.94</v>
      </c>
      <c r="H1021" s="17"/>
      <c r="I1021" s="18">
        <v>3</v>
      </c>
      <c r="J1021" s="18">
        <v>2016</v>
      </c>
      <c r="K1021" s="18" t="str">
        <f>"678.17"</f>
        <v>678.17</v>
      </c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 t="str">
        <f>"536.06"</f>
        <v>536.06</v>
      </c>
      <c r="AA1021" s="18"/>
      <c r="AB1021" s="18"/>
      <c r="AC1021" s="18"/>
      <c r="AD1021" s="18"/>
      <c r="AE1021" s="18"/>
      <c r="AF1021" s="18"/>
      <c r="AG1021" s="18"/>
      <c r="AH1021" s="18"/>
      <c r="AI1021" s="18" t="str">
        <f>"371.81"</f>
        <v>371.81</v>
      </c>
    </row>
    <row r="1022" spans="1:35">
      <c r="A1022" s="14">
        <v>1020</v>
      </c>
      <c r="B1022" s="14">
        <v>10428</v>
      </c>
      <c r="C1022" s="14" t="s">
        <v>1207</v>
      </c>
      <c r="D1022" s="14" t="s">
        <v>98</v>
      </c>
      <c r="E1022" s="15" t="str">
        <f>"414.30"</f>
        <v>414.30</v>
      </c>
      <c r="F1022" s="15"/>
      <c r="G1022" s="16" t="str">
        <f>"454.30"</f>
        <v>454.30</v>
      </c>
      <c r="H1022" s="17" t="s">
        <v>48</v>
      </c>
      <c r="I1022" s="18">
        <v>1</v>
      </c>
      <c r="J1022" s="18">
        <v>2016</v>
      </c>
      <c r="K1022" s="18" t="str">
        <f>"414.30"</f>
        <v>414.30</v>
      </c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</row>
    <row r="1023" spans="1:35">
      <c r="A1023" s="14">
        <v>1021</v>
      </c>
      <c r="B1023" s="14">
        <v>10230</v>
      </c>
      <c r="C1023" s="14" t="s">
        <v>1208</v>
      </c>
      <c r="D1023" s="14" t="s">
        <v>330</v>
      </c>
      <c r="E1023" s="15" t="str">
        <f>"441.26"</f>
        <v>441.26</v>
      </c>
      <c r="F1023" s="15"/>
      <c r="G1023" s="16" t="str">
        <f>"454.68"</f>
        <v>454.68</v>
      </c>
      <c r="H1023" s="17" t="s">
        <v>54</v>
      </c>
      <c r="I1023" s="18">
        <v>2</v>
      </c>
      <c r="J1023" s="18">
        <v>2016</v>
      </c>
      <c r="K1023" s="18" t="str">
        <f>"467.83"</f>
        <v>467.83</v>
      </c>
      <c r="L1023" s="18"/>
      <c r="M1023" s="18"/>
      <c r="N1023" s="18"/>
      <c r="O1023" s="18"/>
      <c r="P1023" s="18" t="str">
        <f>"414.68"</f>
        <v>414.68</v>
      </c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</row>
    <row r="1024" spans="1:35">
      <c r="A1024" s="14">
        <v>1022</v>
      </c>
      <c r="B1024" s="14">
        <v>9906</v>
      </c>
      <c r="C1024" s="14" t="s">
        <v>1209</v>
      </c>
      <c r="D1024" s="14" t="s">
        <v>289</v>
      </c>
      <c r="E1024" s="15" t="str">
        <f>"303.52"</f>
        <v>303.52</v>
      </c>
      <c r="F1024" s="15"/>
      <c r="G1024" s="16" t="str">
        <f>"455.03"</f>
        <v>455.03</v>
      </c>
      <c r="H1024" s="17" t="s">
        <v>54</v>
      </c>
      <c r="I1024" s="18">
        <v>2</v>
      </c>
      <c r="J1024" s="18">
        <v>2016</v>
      </c>
      <c r="K1024" s="18" t="str">
        <f>"303.52"</f>
        <v>303.52</v>
      </c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 t="str">
        <f>"415.03"</f>
        <v>415.03</v>
      </c>
      <c r="AH1024" s="18"/>
      <c r="AI1024" s="18"/>
    </row>
    <row r="1025" spans="1:35">
      <c r="A1025" s="14">
        <v>1023</v>
      </c>
      <c r="B1025" s="14">
        <v>10481</v>
      </c>
      <c r="C1025" s="14" t="s">
        <v>1210</v>
      </c>
      <c r="D1025" s="14" t="s">
        <v>98</v>
      </c>
      <c r="E1025" s="15" t="str">
        <f>"455.39"</f>
        <v>455.39</v>
      </c>
      <c r="F1025" s="15"/>
      <c r="G1025" s="16" t="str">
        <f>"455.39"</f>
        <v>455.39</v>
      </c>
      <c r="H1025" s="17" t="s">
        <v>54</v>
      </c>
      <c r="I1025" s="18">
        <v>4</v>
      </c>
      <c r="J1025" s="18">
        <v>2016</v>
      </c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 t="str">
        <f>"415.39"</f>
        <v>415.39</v>
      </c>
      <c r="AA1025" s="18"/>
      <c r="AB1025" s="18"/>
      <c r="AC1025" s="18"/>
      <c r="AD1025" s="18"/>
      <c r="AE1025" s="18"/>
      <c r="AF1025" s="18"/>
      <c r="AG1025" s="18"/>
      <c r="AH1025" s="18"/>
      <c r="AI1025" s="18"/>
    </row>
    <row r="1026" spans="1:35">
      <c r="A1026" s="14">
        <v>1024</v>
      </c>
      <c r="B1026" s="14">
        <v>10168</v>
      </c>
      <c r="C1026" s="14" t="s">
        <v>1211</v>
      </c>
      <c r="D1026" s="14" t="s">
        <v>98</v>
      </c>
      <c r="E1026" s="15" t="str">
        <f>"506.01"</f>
        <v>506.01</v>
      </c>
      <c r="F1026" s="15"/>
      <c r="G1026" s="16" t="str">
        <f>"457.22"</f>
        <v>457.22</v>
      </c>
      <c r="H1026" s="17" t="s">
        <v>54</v>
      </c>
      <c r="I1026" s="18">
        <v>2</v>
      </c>
      <c r="J1026" s="18">
        <v>2016</v>
      </c>
      <c r="K1026" s="18" t="str">
        <f>"594.79"</f>
        <v>594.79</v>
      </c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 t="str">
        <f>"417.22"</f>
        <v>417.22</v>
      </c>
      <c r="AA1026" s="18"/>
      <c r="AB1026" s="18"/>
      <c r="AC1026" s="18"/>
      <c r="AD1026" s="18"/>
      <c r="AE1026" s="18"/>
      <c r="AF1026" s="18"/>
      <c r="AG1026" s="18"/>
      <c r="AH1026" s="18"/>
      <c r="AI1026" s="18"/>
    </row>
    <row r="1027" spans="1:35">
      <c r="A1027" s="14">
        <v>1025</v>
      </c>
      <c r="B1027" s="14">
        <v>3249</v>
      </c>
      <c r="C1027" s="14" t="s">
        <v>1212</v>
      </c>
      <c r="D1027" s="14" t="s">
        <v>651</v>
      </c>
      <c r="E1027" s="15" t="str">
        <f>"445.78"</f>
        <v>445.78</v>
      </c>
      <c r="F1027" s="15"/>
      <c r="G1027" s="16" t="str">
        <f>"459.44"</f>
        <v>459.44</v>
      </c>
      <c r="H1027" s="17" t="s">
        <v>54</v>
      </c>
      <c r="I1027" s="18">
        <v>2</v>
      </c>
      <c r="J1027" s="18">
        <v>2016</v>
      </c>
      <c r="K1027" s="18" t="str">
        <f>"472.12"</f>
        <v>472.12</v>
      </c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 t="str">
        <f>"419.44"</f>
        <v>419.44</v>
      </c>
      <c r="AC1027" s="18"/>
      <c r="AD1027" s="18"/>
      <c r="AE1027" s="18"/>
      <c r="AF1027" s="18"/>
      <c r="AG1027" s="18"/>
      <c r="AH1027" s="18"/>
      <c r="AI1027" s="18"/>
    </row>
    <row r="1028" spans="1:35">
      <c r="A1028" s="14">
        <v>1026</v>
      </c>
      <c r="B1028" s="14">
        <v>10075</v>
      </c>
      <c r="C1028" s="14" t="s">
        <v>1213</v>
      </c>
      <c r="D1028" s="14" t="s">
        <v>76</v>
      </c>
      <c r="E1028" s="15" t="str">
        <f>"465.87"</f>
        <v>465.87</v>
      </c>
      <c r="F1028" s="15"/>
      <c r="G1028" s="16" t="str">
        <f>"459.97"</f>
        <v>459.97</v>
      </c>
      <c r="H1028" s="17" t="s">
        <v>54</v>
      </c>
      <c r="I1028" s="18">
        <v>2</v>
      </c>
      <c r="J1028" s="18">
        <v>2016</v>
      </c>
      <c r="K1028" s="18" t="str">
        <f>"511.76"</f>
        <v>511.76</v>
      </c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  <c r="AC1028" s="18" t="str">
        <f>"419.97"</f>
        <v>419.97</v>
      </c>
      <c r="AD1028" s="18"/>
      <c r="AE1028" s="18"/>
      <c r="AF1028" s="18"/>
      <c r="AG1028" s="18"/>
      <c r="AH1028" s="18"/>
      <c r="AI1028" s="18"/>
    </row>
    <row r="1029" spans="1:35">
      <c r="A1029" s="14">
        <v>1027</v>
      </c>
      <c r="B1029" s="14">
        <v>10664</v>
      </c>
      <c r="C1029" s="14" t="s">
        <v>1214</v>
      </c>
      <c r="D1029" s="14" t="s">
        <v>39</v>
      </c>
      <c r="E1029" s="15" t="str">
        <f>"419.98"</f>
        <v>419.98</v>
      </c>
      <c r="F1029" s="15"/>
      <c r="G1029" s="16" t="str">
        <f>"459.98"</f>
        <v>459.98</v>
      </c>
      <c r="H1029" s="17" t="s">
        <v>48</v>
      </c>
      <c r="I1029" s="18">
        <v>1</v>
      </c>
      <c r="J1029" s="18">
        <v>2016</v>
      </c>
      <c r="K1029" s="18" t="str">
        <f>"419.98"</f>
        <v>419.98</v>
      </c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</row>
    <row r="1030" spans="1:35">
      <c r="A1030" s="14">
        <v>1028</v>
      </c>
      <c r="B1030" s="14">
        <v>10684</v>
      </c>
      <c r="C1030" s="14" t="s">
        <v>1215</v>
      </c>
      <c r="D1030" s="14" t="s">
        <v>76</v>
      </c>
      <c r="E1030" s="15" t="str">
        <f>"531.05"</f>
        <v>531.05</v>
      </c>
      <c r="F1030" s="15"/>
      <c r="G1030" s="16" t="str">
        <f>"461.40"</f>
        <v>461.40</v>
      </c>
      <c r="H1030" s="17" t="s">
        <v>54</v>
      </c>
      <c r="I1030" s="18">
        <v>2</v>
      </c>
      <c r="J1030" s="18">
        <v>2016</v>
      </c>
      <c r="K1030" s="18" t="str">
        <f>"640.69"</f>
        <v>640.69</v>
      </c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 t="str">
        <f>"421.40"</f>
        <v>421.40</v>
      </c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</row>
    <row r="1031" spans="1:35">
      <c r="A1031" s="14">
        <v>1029</v>
      </c>
      <c r="B1031" s="14">
        <v>10302</v>
      </c>
      <c r="C1031" s="14" t="s">
        <v>1216</v>
      </c>
      <c r="D1031" s="14" t="s">
        <v>193</v>
      </c>
      <c r="E1031" s="15" t="str">
        <f>"421.54"</f>
        <v>421.54</v>
      </c>
      <c r="F1031" s="15"/>
      <c r="G1031" s="16" t="str">
        <f>"461.54"</f>
        <v>461.54</v>
      </c>
      <c r="H1031" s="17" t="s">
        <v>48</v>
      </c>
      <c r="I1031" s="18">
        <v>1</v>
      </c>
      <c r="J1031" s="18">
        <v>2016</v>
      </c>
      <c r="K1031" s="18" t="str">
        <f>"421.54"</f>
        <v>421.54</v>
      </c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</row>
    <row r="1032" spans="1:35">
      <c r="A1032" s="14">
        <v>1030</v>
      </c>
      <c r="B1032" s="14">
        <v>10201</v>
      </c>
      <c r="C1032" s="14" t="s">
        <v>1217</v>
      </c>
      <c r="D1032" s="14" t="s">
        <v>98</v>
      </c>
      <c r="E1032" s="15" t="str">
        <f>"463.93"</f>
        <v>463.93</v>
      </c>
      <c r="F1032" s="15"/>
      <c r="G1032" s="16" t="str">
        <f>"461.79"</f>
        <v>461.79</v>
      </c>
      <c r="H1032" s="17" t="s">
        <v>54</v>
      </c>
      <c r="I1032" s="18">
        <v>2</v>
      </c>
      <c r="J1032" s="18">
        <v>2016</v>
      </c>
      <c r="K1032" s="18" t="str">
        <f>"506.07"</f>
        <v>506.07</v>
      </c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 t="str">
        <f>"421.79"</f>
        <v>421.79</v>
      </c>
      <c r="AA1032" s="18"/>
      <c r="AB1032" s="18"/>
      <c r="AC1032" s="18"/>
      <c r="AD1032" s="18"/>
      <c r="AE1032" s="18"/>
      <c r="AF1032" s="18"/>
      <c r="AG1032" s="18"/>
      <c r="AH1032" s="18"/>
      <c r="AI1032" s="18"/>
    </row>
    <row r="1033" spans="1:35">
      <c r="A1033" s="14">
        <v>1031</v>
      </c>
      <c r="B1033" s="14">
        <v>2159</v>
      </c>
      <c r="C1033" s="14" t="s">
        <v>1218</v>
      </c>
      <c r="D1033" s="14" t="s">
        <v>76</v>
      </c>
      <c r="E1033" s="15" t="str">
        <f>"462.18"</f>
        <v>462.18</v>
      </c>
      <c r="F1033" s="15"/>
      <c r="G1033" s="16" t="str">
        <f>"462.18"</f>
        <v>462.18</v>
      </c>
      <c r="H1033" s="17"/>
      <c r="I1033" s="18">
        <v>3</v>
      </c>
      <c r="J1033" s="18">
        <v>2016</v>
      </c>
      <c r="K1033" s="18" t="str">
        <f>"493.78"</f>
        <v>493.78</v>
      </c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  <c r="AC1033" s="18" t="str">
        <f>"449.08"</f>
        <v>449.08</v>
      </c>
      <c r="AD1033" s="18"/>
      <c r="AE1033" s="18"/>
      <c r="AF1033" s="18"/>
      <c r="AG1033" s="18"/>
      <c r="AH1033" s="18" t="str">
        <f>"475.28"</f>
        <v>475.28</v>
      </c>
      <c r="AI1033" s="18"/>
    </row>
    <row r="1034" spans="1:35">
      <c r="A1034" s="14">
        <v>1032</v>
      </c>
      <c r="B1034" s="14">
        <v>10747</v>
      </c>
      <c r="C1034" s="14" t="s">
        <v>1219</v>
      </c>
      <c r="D1034" s="14" t="s">
        <v>98</v>
      </c>
      <c r="E1034" s="15" t="str">
        <f>"462.54"</f>
        <v>462.54</v>
      </c>
      <c r="F1034" s="15"/>
      <c r="G1034" s="16" t="str">
        <f>"462.54"</f>
        <v>462.54</v>
      </c>
      <c r="H1034" s="17"/>
      <c r="I1034" s="18">
        <v>5</v>
      </c>
      <c r="J1034" s="18">
        <v>2016</v>
      </c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 t="str">
        <f>"906.43"</f>
        <v>906.43</v>
      </c>
      <c r="V1034" s="18"/>
      <c r="W1034" s="18"/>
      <c r="X1034" s="18"/>
      <c r="Y1034" s="18"/>
      <c r="Z1034" s="18" t="str">
        <f>"315.29"</f>
        <v>315.29</v>
      </c>
      <c r="AA1034" s="18"/>
      <c r="AB1034" s="18"/>
      <c r="AC1034" s="18"/>
      <c r="AD1034" s="18"/>
      <c r="AE1034" s="18"/>
      <c r="AF1034" s="18"/>
      <c r="AG1034" s="18"/>
      <c r="AH1034" s="18"/>
      <c r="AI1034" s="18" t="str">
        <f>"609.79"</f>
        <v>609.79</v>
      </c>
    </row>
    <row r="1035" spans="1:35">
      <c r="A1035" s="14">
        <v>1033</v>
      </c>
      <c r="B1035" s="14">
        <v>8381</v>
      </c>
      <c r="C1035" s="14" t="s">
        <v>1220</v>
      </c>
      <c r="D1035" s="14" t="s">
        <v>84</v>
      </c>
      <c r="E1035" s="15" t="str">
        <f>"422.96"</f>
        <v>422.96</v>
      </c>
      <c r="F1035" s="15"/>
      <c r="G1035" s="16" t="str">
        <f>"462.96"</f>
        <v>462.96</v>
      </c>
      <c r="H1035" s="17" t="s">
        <v>48</v>
      </c>
      <c r="I1035" s="18">
        <v>1</v>
      </c>
      <c r="J1035" s="18">
        <v>2016</v>
      </c>
      <c r="K1035" s="18" t="str">
        <f>"422.96"</f>
        <v>422.96</v>
      </c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</row>
    <row r="1036" spans="1:35">
      <c r="A1036" s="14">
        <v>1034</v>
      </c>
      <c r="B1036" s="14">
        <v>10885</v>
      </c>
      <c r="C1036" s="14" t="s">
        <v>1221</v>
      </c>
      <c r="D1036" s="14" t="s">
        <v>76</v>
      </c>
      <c r="E1036" s="15" t="str">
        <f>"465.15"</f>
        <v>465.15</v>
      </c>
      <c r="F1036" s="15"/>
      <c r="G1036" s="16" t="str">
        <f>"465.15"</f>
        <v>465.15</v>
      </c>
      <c r="H1036" s="17" t="s">
        <v>54</v>
      </c>
      <c r="I1036" s="18">
        <v>4</v>
      </c>
      <c r="J1036" s="18">
        <v>2016</v>
      </c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  <c r="AC1036" s="18" t="str">
        <f>"425.15"</f>
        <v>425.15</v>
      </c>
      <c r="AD1036" s="18"/>
      <c r="AE1036" s="18"/>
      <c r="AF1036" s="18"/>
      <c r="AG1036" s="18"/>
      <c r="AH1036" s="18"/>
      <c r="AI1036" s="18"/>
    </row>
    <row r="1037" spans="1:35">
      <c r="A1037" s="14">
        <v>1035</v>
      </c>
      <c r="B1037" s="14">
        <v>10536</v>
      </c>
      <c r="C1037" s="14" t="s">
        <v>1222</v>
      </c>
      <c r="D1037" s="14" t="s">
        <v>76</v>
      </c>
      <c r="E1037" s="15" t="str">
        <f>"496.22"</f>
        <v>496.22</v>
      </c>
      <c r="F1037" s="15"/>
      <c r="G1037" s="16" t="str">
        <f>"465.15"</f>
        <v>465.15</v>
      </c>
      <c r="H1037" s="17" t="s">
        <v>54</v>
      </c>
      <c r="I1037" s="18">
        <v>2</v>
      </c>
      <c r="J1037" s="18">
        <v>2016</v>
      </c>
      <c r="K1037" s="18" t="str">
        <f>"567.29"</f>
        <v>567.29</v>
      </c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 t="str">
        <f>"425.15"</f>
        <v>425.15</v>
      </c>
      <c r="AD1037" s="18"/>
      <c r="AE1037" s="18"/>
      <c r="AF1037" s="18"/>
      <c r="AG1037" s="18"/>
      <c r="AH1037" s="18"/>
      <c r="AI1037" s="18"/>
    </row>
    <row r="1038" spans="1:35">
      <c r="A1038" s="14">
        <v>1036</v>
      </c>
      <c r="B1038" s="14">
        <v>10492</v>
      </c>
      <c r="C1038" s="14" t="s">
        <v>1223</v>
      </c>
      <c r="D1038" s="14" t="s">
        <v>98</v>
      </c>
      <c r="E1038" s="15" t="str">
        <f>"465.91"</f>
        <v>465.91</v>
      </c>
      <c r="F1038" s="15"/>
      <c r="G1038" s="16" t="str">
        <f>"465.91"</f>
        <v>465.91</v>
      </c>
      <c r="H1038" s="17" t="s">
        <v>54</v>
      </c>
      <c r="I1038" s="18">
        <v>4</v>
      </c>
      <c r="J1038" s="18">
        <v>2016</v>
      </c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 t="str">
        <f>"425.91"</f>
        <v>425.91</v>
      </c>
      <c r="AA1038" s="18"/>
      <c r="AB1038" s="18"/>
      <c r="AC1038" s="18"/>
      <c r="AD1038" s="18"/>
      <c r="AE1038" s="18"/>
      <c r="AF1038" s="18"/>
      <c r="AG1038" s="18"/>
      <c r="AH1038" s="18"/>
      <c r="AI1038" s="18"/>
    </row>
    <row r="1039" spans="1:35">
      <c r="A1039" s="14">
        <v>1037</v>
      </c>
      <c r="B1039" s="14">
        <v>10681</v>
      </c>
      <c r="C1039" s="14" t="s">
        <v>1224</v>
      </c>
      <c r="D1039" s="14" t="s">
        <v>98</v>
      </c>
      <c r="E1039" s="15" t="str">
        <f>"670.36"</f>
        <v>670.36</v>
      </c>
      <c r="F1039" s="15"/>
      <c r="G1039" s="16" t="str">
        <f>"466.36"</f>
        <v>466.36</v>
      </c>
      <c r="H1039" s="17" t="s">
        <v>54</v>
      </c>
      <c r="I1039" s="18">
        <v>2</v>
      </c>
      <c r="J1039" s="18">
        <v>2016</v>
      </c>
      <c r="K1039" s="18" t="str">
        <f>"914.36"</f>
        <v>914.36</v>
      </c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 t="str">
        <f>"426.36"</f>
        <v>426.36</v>
      </c>
      <c r="AA1039" s="18"/>
      <c r="AB1039" s="18"/>
      <c r="AC1039" s="18"/>
      <c r="AD1039" s="18"/>
      <c r="AE1039" s="18"/>
      <c r="AF1039" s="18"/>
      <c r="AG1039" s="18"/>
      <c r="AH1039" s="18"/>
      <c r="AI1039" s="18"/>
    </row>
    <row r="1040" spans="1:35">
      <c r="A1040" s="14">
        <v>1038</v>
      </c>
      <c r="B1040" s="14">
        <v>7587</v>
      </c>
      <c r="C1040" s="14" t="s">
        <v>1225</v>
      </c>
      <c r="D1040" s="14" t="s">
        <v>198</v>
      </c>
      <c r="E1040" s="15" t="str">
        <f>"426.71"</f>
        <v>426.71</v>
      </c>
      <c r="F1040" s="15"/>
      <c r="G1040" s="16" t="str">
        <f>"466.71"</f>
        <v>466.71</v>
      </c>
      <c r="H1040" s="17" t="s">
        <v>48</v>
      </c>
      <c r="I1040" s="18">
        <v>1</v>
      </c>
      <c r="J1040" s="18">
        <v>2016</v>
      </c>
      <c r="K1040" s="18" t="str">
        <f>"426.71"</f>
        <v>426.71</v>
      </c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</row>
    <row r="1041" spans="1:35">
      <c r="A1041" s="14">
        <v>1039</v>
      </c>
      <c r="B1041" s="14">
        <v>10773</v>
      </c>
      <c r="C1041" s="14" t="s">
        <v>1226</v>
      </c>
      <c r="D1041" s="14" t="s">
        <v>98</v>
      </c>
      <c r="E1041" s="15" t="str">
        <f>"467.10"</f>
        <v>467.10</v>
      </c>
      <c r="F1041" s="15"/>
      <c r="G1041" s="16" t="str">
        <f>"467.10"</f>
        <v>467.10</v>
      </c>
      <c r="H1041" s="17"/>
      <c r="I1041" s="18">
        <v>5</v>
      </c>
      <c r="J1041" s="18">
        <v>2016</v>
      </c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 t="str">
        <f>"456.99"</f>
        <v>456.99</v>
      </c>
      <c r="AA1041" s="18"/>
      <c r="AB1041" s="18"/>
      <c r="AC1041" s="18"/>
      <c r="AD1041" s="18"/>
      <c r="AE1041" s="18"/>
      <c r="AF1041" s="18"/>
      <c r="AG1041" s="18"/>
      <c r="AH1041" s="18"/>
      <c r="AI1041" s="18" t="str">
        <f>"477.21"</f>
        <v>477.21</v>
      </c>
    </row>
    <row r="1042" spans="1:35">
      <c r="A1042" s="14">
        <v>1040</v>
      </c>
      <c r="B1042" s="14">
        <v>1321</v>
      </c>
      <c r="C1042" s="14" t="s">
        <v>1227</v>
      </c>
      <c r="D1042" s="14" t="s">
        <v>114</v>
      </c>
      <c r="E1042" s="15" t="str">
        <f>"171.68"</f>
        <v>171.68</v>
      </c>
      <c r="F1042" s="15"/>
      <c r="G1042" s="16" t="str">
        <f>"467.89"</f>
        <v>467.89</v>
      </c>
      <c r="H1042" s="17" t="s">
        <v>54</v>
      </c>
      <c r="I1042" s="18">
        <v>2</v>
      </c>
      <c r="J1042" s="18">
        <v>2016</v>
      </c>
      <c r="K1042" s="18" t="str">
        <f>"171.68"</f>
        <v>171.68</v>
      </c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 t="str">
        <f>"427.89"</f>
        <v>427.89</v>
      </c>
      <c r="AB1042" s="18"/>
      <c r="AC1042" s="18"/>
      <c r="AD1042" s="18"/>
      <c r="AE1042" s="18"/>
      <c r="AF1042" s="18"/>
      <c r="AG1042" s="18"/>
      <c r="AH1042" s="18"/>
      <c r="AI1042" s="18"/>
    </row>
    <row r="1043" spans="1:35">
      <c r="A1043" s="14">
        <v>1041</v>
      </c>
      <c r="B1043" s="14">
        <v>2296</v>
      </c>
      <c r="C1043" s="14" t="s">
        <v>1228</v>
      </c>
      <c r="D1043" s="14" t="s">
        <v>76</v>
      </c>
      <c r="E1043" s="15" t="str">
        <f>"428.22"</f>
        <v>428.22</v>
      </c>
      <c r="F1043" s="15"/>
      <c r="G1043" s="16" t="str">
        <f>"468.22"</f>
        <v>468.22</v>
      </c>
      <c r="H1043" s="17" t="s">
        <v>48</v>
      </c>
      <c r="I1043" s="18">
        <v>1</v>
      </c>
      <c r="J1043" s="18">
        <v>2016</v>
      </c>
      <c r="K1043" s="18" t="str">
        <f>"428.22"</f>
        <v>428.22</v>
      </c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</row>
    <row r="1044" spans="1:35">
      <c r="A1044" s="14">
        <v>1042</v>
      </c>
      <c r="B1044" s="14">
        <v>9982</v>
      </c>
      <c r="C1044" s="14" t="s">
        <v>1229</v>
      </c>
      <c r="D1044" s="14" t="s">
        <v>148</v>
      </c>
      <c r="E1044" s="15" t="str">
        <f>"428.28"</f>
        <v>428.28</v>
      </c>
      <c r="F1044" s="15"/>
      <c r="G1044" s="16" t="str">
        <f>"468.28"</f>
        <v>468.28</v>
      </c>
      <c r="H1044" s="17" t="s">
        <v>48</v>
      </c>
      <c r="I1044" s="18">
        <v>1</v>
      </c>
      <c r="J1044" s="18">
        <v>2016</v>
      </c>
      <c r="K1044" s="18" t="str">
        <f>"428.28"</f>
        <v>428.28</v>
      </c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</row>
    <row r="1045" spans="1:35">
      <c r="A1045" s="14">
        <v>1043</v>
      </c>
      <c r="B1045" s="14">
        <v>10511</v>
      </c>
      <c r="C1045" s="14" t="s">
        <v>1230</v>
      </c>
      <c r="D1045" s="14" t="s">
        <v>39</v>
      </c>
      <c r="E1045" s="15" t="str">
        <f>"469.62"</f>
        <v>469.62</v>
      </c>
      <c r="F1045" s="15"/>
      <c r="G1045" s="16" t="str">
        <f>"469.62"</f>
        <v>469.62</v>
      </c>
      <c r="H1045" s="17"/>
      <c r="I1045" s="18">
        <v>5</v>
      </c>
      <c r="J1045" s="18">
        <v>2016</v>
      </c>
      <c r="K1045" s="18"/>
      <c r="L1045" s="18"/>
      <c r="M1045" s="18"/>
      <c r="N1045" s="18"/>
      <c r="O1045" s="18"/>
      <c r="P1045" s="18" t="str">
        <f>"601.48"</f>
        <v>601.48</v>
      </c>
      <c r="Q1045" s="18"/>
      <c r="R1045" s="18" t="str">
        <f>"337.75"</f>
        <v>337.75</v>
      </c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</row>
    <row r="1046" spans="1:35">
      <c r="A1046" s="14">
        <v>1044</v>
      </c>
      <c r="B1046" s="14">
        <v>10621</v>
      </c>
      <c r="C1046" s="14" t="s">
        <v>1231</v>
      </c>
      <c r="D1046" s="14" t="s">
        <v>76</v>
      </c>
      <c r="E1046" s="15" t="str">
        <f>"470.21"</f>
        <v>470.21</v>
      </c>
      <c r="F1046" s="15"/>
      <c r="G1046" s="16" t="str">
        <f>"470.21"</f>
        <v>470.21</v>
      </c>
      <c r="H1046" s="17"/>
      <c r="I1046" s="18">
        <v>3</v>
      </c>
      <c r="J1046" s="18">
        <v>2016</v>
      </c>
      <c r="K1046" s="18" t="str">
        <f>"604.65"</f>
        <v>604.65</v>
      </c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 t="str">
        <f>"489.90"</f>
        <v>489.90</v>
      </c>
      <c r="Y1046" s="18"/>
      <c r="Z1046" s="18"/>
      <c r="AA1046" s="18"/>
      <c r="AB1046" s="18"/>
      <c r="AC1046" s="18" t="str">
        <f>"450.52"</f>
        <v>450.52</v>
      </c>
      <c r="AD1046" s="18"/>
      <c r="AE1046" s="18"/>
      <c r="AF1046" s="18"/>
      <c r="AG1046" s="18"/>
      <c r="AH1046" s="18"/>
      <c r="AI1046" s="18"/>
    </row>
    <row r="1047" spans="1:35">
      <c r="A1047" s="14">
        <v>1045</v>
      </c>
      <c r="B1047" s="14">
        <v>2334</v>
      </c>
      <c r="C1047" s="14" t="s">
        <v>1232</v>
      </c>
      <c r="D1047" s="14" t="s">
        <v>76</v>
      </c>
      <c r="E1047" s="15" t="str">
        <f>"473.32"</f>
        <v>473.32</v>
      </c>
      <c r="F1047" s="15"/>
      <c r="G1047" s="16" t="str">
        <f>"473.32"</f>
        <v>473.32</v>
      </c>
      <c r="H1047" s="17"/>
      <c r="I1047" s="18">
        <v>3</v>
      </c>
      <c r="J1047" s="18">
        <v>2016</v>
      </c>
      <c r="K1047" s="18" t="str">
        <f>"627.82"</f>
        <v>627.82</v>
      </c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 t="str">
        <f>"536.92"</f>
        <v>536.92</v>
      </c>
      <c r="Y1047" s="18"/>
      <c r="Z1047" s="18"/>
      <c r="AA1047" s="18"/>
      <c r="AB1047" s="18"/>
      <c r="AC1047" s="18" t="str">
        <f>"409.71"</f>
        <v>409.71</v>
      </c>
      <c r="AD1047" s="18"/>
      <c r="AE1047" s="18"/>
      <c r="AF1047" s="18"/>
      <c r="AG1047" s="18"/>
      <c r="AH1047" s="18"/>
      <c r="AI1047" s="18"/>
    </row>
    <row r="1048" spans="1:35">
      <c r="A1048" s="14">
        <v>1046</v>
      </c>
      <c r="B1048" s="14">
        <v>10586</v>
      </c>
      <c r="C1048" s="14" t="s">
        <v>1233</v>
      </c>
      <c r="D1048" s="14" t="s">
        <v>76</v>
      </c>
      <c r="E1048" s="15" t="str">
        <f>"441.49"</f>
        <v>441.49</v>
      </c>
      <c r="F1048" s="15"/>
      <c r="G1048" s="16" t="str">
        <f>"473.42"</f>
        <v>473.42</v>
      </c>
      <c r="H1048" s="17" t="s">
        <v>54</v>
      </c>
      <c r="I1048" s="18">
        <v>2</v>
      </c>
      <c r="J1048" s="18">
        <v>2016</v>
      </c>
      <c r="K1048" s="18" t="str">
        <f>"449.55"</f>
        <v>449.55</v>
      </c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 t="str">
        <f>"433.42"</f>
        <v>433.42</v>
      </c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</row>
    <row r="1049" spans="1:35">
      <c r="A1049" s="14">
        <v>1047</v>
      </c>
      <c r="B1049" s="14">
        <v>2266</v>
      </c>
      <c r="C1049" s="14" t="s">
        <v>1234</v>
      </c>
      <c r="D1049" s="14" t="s">
        <v>76</v>
      </c>
      <c r="E1049" s="15" t="str">
        <f>"433.50"</f>
        <v>433.50</v>
      </c>
      <c r="F1049" s="15"/>
      <c r="G1049" s="16" t="str">
        <f>"473.50"</f>
        <v>473.50</v>
      </c>
      <c r="H1049" s="17" t="s">
        <v>48</v>
      </c>
      <c r="I1049" s="18">
        <v>1</v>
      </c>
      <c r="J1049" s="18">
        <v>2016</v>
      </c>
      <c r="K1049" s="18" t="str">
        <f>"433.50"</f>
        <v>433.50</v>
      </c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</row>
    <row r="1050" spans="1:35">
      <c r="A1050" s="14">
        <v>1048</v>
      </c>
      <c r="B1050" s="14">
        <v>10646</v>
      </c>
      <c r="C1050" s="14" t="s">
        <v>1235</v>
      </c>
      <c r="D1050" s="14" t="s">
        <v>76</v>
      </c>
      <c r="E1050" s="15" t="str">
        <f>"473.79"</f>
        <v>473.79</v>
      </c>
      <c r="F1050" s="15"/>
      <c r="G1050" s="16" t="str">
        <f>"473.79"</f>
        <v>473.79</v>
      </c>
      <c r="H1050" s="17"/>
      <c r="I1050" s="18">
        <v>3</v>
      </c>
      <c r="J1050" s="18">
        <v>2016</v>
      </c>
      <c r="K1050" s="18" t="str">
        <f>"685.43"</f>
        <v>685.43</v>
      </c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 t="str">
        <f>"548.68"</f>
        <v>548.68</v>
      </c>
      <c r="Y1050" s="18"/>
      <c r="Z1050" s="18"/>
      <c r="AA1050" s="18"/>
      <c r="AB1050" s="18"/>
      <c r="AC1050" s="18" t="str">
        <f>"398.90"</f>
        <v>398.90</v>
      </c>
      <c r="AD1050" s="18"/>
      <c r="AE1050" s="18"/>
      <c r="AF1050" s="18"/>
      <c r="AG1050" s="18"/>
      <c r="AH1050" s="18"/>
      <c r="AI1050" s="18"/>
    </row>
    <row r="1051" spans="1:35">
      <c r="A1051" s="14">
        <v>1049</v>
      </c>
      <c r="B1051" s="14">
        <v>10585</v>
      </c>
      <c r="C1051" s="14" t="s">
        <v>1236</v>
      </c>
      <c r="D1051" s="14" t="s">
        <v>76</v>
      </c>
      <c r="E1051" s="15" t="str">
        <f>"501.03"</f>
        <v>501.03</v>
      </c>
      <c r="F1051" s="15"/>
      <c r="G1051" s="16" t="str">
        <f>"475.45"</f>
        <v>475.45</v>
      </c>
      <c r="H1051" s="17" t="s">
        <v>54</v>
      </c>
      <c r="I1051" s="18">
        <v>2</v>
      </c>
      <c r="J1051" s="18">
        <v>2016</v>
      </c>
      <c r="K1051" s="18" t="str">
        <f>"566.61"</f>
        <v>566.61</v>
      </c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 t="str">
        <f>"435.45"</f>
        <v>435.45</v>
      </c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</row>
    <row r="1052" spans="1:35">
      <c r="A1052" s="14">
        <v>1050</v>
      </c>
      <c r="B1052" s="14">
        <v>11013</v>
      </c>
      <c r="C1052" s="14" t="s">
        <v>1237</v>
      </c>
      <c r="D1052" s="14" t="s">
        <v>39</v>
      </c>
      <c r="E1052" s="15" t="str">
        <f>"475.79"</f>
        <v>475.79</v>
      </c>
      <c r="F1052" s="15"/>
      <c r="G1052" s="16" t="str">
        <f>"475.79"</f>
        <v>475.79</v>
      </c>
      <c r="H1052" s="17" t="s">
        <v>54</v>
      </c>
      <c r="I1052" s="18">
        <v>4</v>
      </c>
      <c r="J1052" s="18">
        <v>2016</v>
      </c>
      <c r="K1052" s="18"/>
      <c r="L1052" s="18"/>
      <c r="M1052" s="18"/>
      <c r="N1052" s="18"/>
      <c r="O1052" s="18"/>
      <c r="P1052" s="18" t="str">
        <f>"435.79"</f>
        <v>435.79</v>
      </c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</row>
    <row r="1053" spans="1:35">
      <c r="A1053" s="14">
        <v>1051</v>
      </c>
      <c r="B1053" s="14">
        <v>10617</v>
      </c>
      <c r="C1053" s="14" t="s">
        <v>1238</v>
      </c>
      <c r="D1053" s="14" t="s">
        <v>76</v>
      </c>
      <c r="E1053" s="15" t="str">
        <f>"451.50"</f>
        <v>451.50</v>
      </c>
      <c r="F1053" s="15"/>
      <c r="G1053" s="16" t="str">
        <f>"480.99"</f>
        <v>480.99</v>
      </c>
      <c r="H1053" s="17" t="s">
        <v>54</v>
      </c>
      <c r="I1053" s="18">
        <v>2</v>
      </c>
      <c r="J1053" s="18">
        <v>2016</v>
      </c>
      <c r="K1053" s="18" t="str">
        <f>"462.01"</f>
        <v>462.01</v>
      </c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 t="str">
        <f>"440.99"</f>
        <v>440.99</v>
      </c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</row>
    <row r="1054" spans="1:35">
      <c r="A1054" s="14">
        <v>1052</v>
      </c>
      <c r="B1054" s="14">
        <v>10857</v>
      </c>
      <c r="C1054" s="14" t="s">
        <v>1239</v>
      </c>
      <c r="D1054" s="14" t="s">
        <v>76</v>
      </c>
      <c r="E1054" s="15" t="str">
        <f>"481.36"</f>
        <v>481.36</v>
      </c>
      <c r="F1054" s="15"/>
      <c r="G1054" s="16" t="str">
        <f>"481.36"</f>
        <v>481.36</v>
      </c>
      <c r="H1054" s="17" t="s">
        <v>54</v>
      </c>
      <c r="I1054" s="18">
        <v>4</v>
      </c>
      <c r="J1054" s="18">
        <v>2016</v>
      </c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 t="str">
        <f>"441.36"</f>
        <v>441.36</v>
      </c>
      <c r="AD1054" s="18"/>
      <c r="AE1054" s="18"/>
      <c r="AF1054" s="18"/>
      <c r="AG1054" s="18"/>
      <c r="AH1054" s="18"/>
      <c r="AI1054" s="18"/>
    </row>
    <row r="1055" spans="1:35">
      <c r="A1055" s="14">
        <v>1053</v>
      </c>
      <c r="B1055" s="14">
        <v>10467</v>
      </c>
      <c r="C1055" s="14" t="s">
        <v>1240</v>
      </c>
      <c r="D1055" s="14" t="s">
        <v>98</v>
      </c>
      <c r="E1055" s="15" t="str">
        <f>"483.28"</f>
        <v>483.28</v>
      </c>
      <c r="F1055" s="15"/>
      <c r="G1055" s="16" t="str">
        <f>"483.28"</f>
        <v>483.28</v>
      </c>
      <c r="H1055" s="17" t="s">
        <v>54</v>
      </c>
      <c r="I1055" s="18">
        <v>4</v>
      </c>
      <c r="J1055" s="18">
        <v>2016</v>
      </c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 t="str">
        <f>"443.28"</f>
        <v>443.28</v>
      </c>
      <c r="AA1055" s="18"/>
      <c r="AB1055" s="18"/>
      <c r="AC1055" s="18"/>
      <c r="AD1055" s="18"/>
      <c r="AE1055" s="18"/>
      <c r="AF1055" s="18"/>
      <c r="AG1055" s="18"/>
      <c r="AH1055" s="18"/>
      <c r="AI1055" s="18"/>
    </row>
    <row r="1056" spans="1:35">
      <c r="A1056" s="14">
        <v>1054</v>
      </c>
      <c r="B1056" s="14">
        <v>10044</v>
      </c>
      <c r="C1056" s="14" t="s">
        <v>1241</v>
      </c>
      <c r="D1056" s="14" t="s">
        <v>76</v>
      </c>
      <c r="E1056" s="15" t="str">
        <f>"465.59"</f>
        <v>465.59</v>
      </c>
      <c r="F1056" s="15"/>
      <c r="G1056" s="16" t="str">
        <f>"483.48"</f>
        <v>483.48</v>
      </c>
      <c r="H1056" s="17"/>
      <c r="I1056" s="18">
        <v>3</v>
      </c>
      <c r="J1056" s="18">
        <v>2016</v>
      </c>
      <c r="K1056" s="18" t="str">
        <f>"514.52"</f>
        <v>514.52</v>
      </c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 t="str">
        <f>"550.30"</f>
        <v>550.30</v>
      </c>
      <c r="Y1056" s="18"/>
      <c r="Z1056" s="18"/>
      <c r="AA1056" s="18"/>
      <c r="AB1056" s="18"/>
      <c r="AC1056" s="18" t="str">
        <f>"416.66"</f>
        <v>416.66</v>
      </c>
      <c r="AD1056" s="18"/>
      <c r="AE1056" s="18"/>
      <c r="AF1056" s="18"/>
      <c r="AG1056" s="18"/>
      <c r="AH1056" s="18"/>
      <c r="AI1056" s="18"/>
    </row>
    <row r="1057" spans="1:35">
      <c r="A1057" s="14">
        <v>1055</v>
      </c>
      <c r="B1057" s="14">
        <v>10587</v>
      </c>
      <c r="C1057" s="14" t="s">
        <v>1242</v>
      </c>
      <c r="D1057" s="14" t="s">
        <v>76</v>
      </c>
      <c r="E1057" s="15" t="str">
        <f>"554.36"</f>
        <v>554.36</v>
      </c>
      <c r="F1057" s="15"/>
      <c r="G1057" s="16" t="str">
        <f>"484.01"</f>
        <v>484.01</v>
      </c>
      <c r="H1057" s="17" t="s">
        <v>54</v>
      </c>
      <c r="I1057" s="18">
        <v>2</v>
      </c>
      <c r="J1057" s="18">
        <v>2016</v>
      </c>
      <c r="K1057" s="18" t="str">
        <f>"664.71"</f>
        <v>664.71</v>
      </c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8" t="str">
        <f>"444.01"</f>
        <v>444.01</v>
      </c>
      <c r="AD1057" s="18"/>
      <c r="AE1057" s="18"/>
      <c r="AF1057" s="18"/>
      <c r="AG1057" s="18"/>
      <c r="AH1057" s="18"/>
      <c r="AI1057" s="18"/>
    </row>
    <row r="1058" spans="1:35">
      <c r="A1058" s="14">
        <v>1056</v>
      </c>
      <c r="B1058" s="14">
        <v>10907</v>
      </c>
      <c r="C1058" s="14" t="s">
        <v>1243</v>
      </c>
      <c r="D1058" s="14" t="s">
        <v>76</v>
      </c>
      <c r="E1058" s="15" t="str">
        <f>"487.16"</f>
        <v>487.16</v>
      </c>
      <c r="F1058" s="15"/>
      <c r="G1058" s="16" t="str">
        <f>"487.16"</f>
        <v>487.16</v>
      </c>
      <c r="H1058" s="17" t="s">
        <v>54</v>
      </c>
      <c r="I1058" s="18">
        <v>4</v>
      </c>
      <c r="J1058" s="18">
        <v>2016</v>
      </c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 t="str">
        <f>"447.16"</f>
        <v>447.16</v>
      </c>
      <c r="AI1058" s="18"/>
    </row>
    <row r="1059" spans="1:35">
      <c r="A1059" s="14">
        <v>1057</v>
      </c>
      <c r="B1059" s="14">
        <v>10141</v>
      </c>
      <c r="C1059" s="14" t="s">
        <v>1244</v>
      </c>
      <c r="D1059" s="14" t="s">
        <v>98</v>
      </c>
      <c r="E1059" s="15" t="str">
        <f>"530.49"</f>
        <v>530.49</v>
      </c>
      <c r="F1059" s="15"/>
      <c r="G1059" s="16" t="str">
        <f>"487.39"</f>
        <v>487.39</v>
      </c>
      <c r="H1059" s="17" t="s">
        <v>54</v>
      </c>
      <c r="I1059" s="18">
        <v>2</v>
      </c>
      <c r="J1059" s="18">
        <v>2016</v>
      </c>
      <c r="K1059" s="18" t="str">
        <f>"613.59"</f>
        <v>613.59</v>
      </c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 t="str">
        <f>"447.39"</f>
        <v>447.39</v>
      </c>
      <c r="AA1059" s="18"/>
      <c r="AB1059" s="18"/>
      <c r="AC1059" s="18"/>
      <c r="AD1059" s="18"/>
      <c r="AE1059" s="18"/>
      <c r="AF1059" s="18"/>
      <c r="AG1059" s="18"/>
      <c r="AH1059" s="18"/>
      <c r="AI1059" s="18"/>
    </row>
    <row r="1060" spans="1:35">
      <c r="A1060" s="14">
        <v>1058</v>
      </c>
      <c r="B1060" s="14">
        <v>8354</v>
      </c>
      <c r="C1060" s="14" t="s">
        <v>1245</v>
      </c>
      <c r="D1060" s="14" t="s">
        <v>74</v>
      </c>
      <c r="E1060" s="15" t="str">
        <f>"461.17"</f>
        <v>461.17</v>
      </c>
      <c r="F1060" s="15"/>
      <c r="G1060" s="16" t="str">
        <f>"488.23"</f>
        <v>488.23</v>
      </c>
      <c r="H1060" s="17" t="s">
        <v>54</v>
      </c>
      <c r="I1060" s="18">
        <v>2</v>
      </c>
      <c r="J1060" s="18">
        <v>2016</v>
      </c>
      <c r="K1060" s="18" t="str">
        <f>"474.11"</f>
        <v>474.11</v>
      </c>
      <c r="L1060" s="18"/>
      <c r="M1060" s="18"/>
      <c r="N1060" s="18"/>
      <c r="O1060" s="18"/>
      <c r="P1060" s="18" t="str">
        <f>"448.23"</f>
        <v>448.23</v>
      </c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</row>
    <row r="1061" spans="1:35">
      <c r="A1061" s="14">
        <v>1059</v>
      </c>
      <c r="B1061" s="14">
        <v>10598</v>
      </c>
      <c r="C1061" s="14" t="s">
        <v>1246</v>
      </c>
      <c r="D1061" s="14" t="s">
        <v>76</v>
      </c>
      <c r="E1061" s="15" t="str">
        <f>"485.01"</f>
        <v>485.01</v>
      </c>
      <c r="F1061" s="15"/>
      <c r="G1061" s="16" t="str">
        <f>"488.28"</f>
        <v>488.28</v>
      </c>
      <c r="H1061" s="17" t="s">
        <v>54</v>
      </c>
      <c r="I1061" s="18">
        <v>2</v>
      </c>
      <c r="J1061" s="18">
        <v>2016</v>
      </c>
      <c r="K1061" s="18" t="str">
        <f>"521.73"</f>
        <v>521.73</v>
      </c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 t="str">
        <f>"448.28"</f>
        <v>448.28</v>
      </c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</row>
    <row r="1062" spans="1:35">
      <c r="A1062" s="14">
        <v>1060</v>
      </c>
      <c r="B1062" s="14">
        <v>10555</v>
      </c>
      <c r="C1062" s="14" t="s">
        <v>1247</v>
      </c>
      <c r="D1062" s="14" t="s">
        <v>76</v>
      </c>
      <c r="E1062" s="15" t="str">
        <f>"503.48"</f>
        <v>503.48</v>
      </c>
      <c r="F1062" s="15"/>
      <c r="G1062" s="16" t="str">
        <f>"488.28"</f>
        <v>488.28</v>
      </c>
      <c r="H1062" s="17" t="s">
        <v>54</v>
      </c>
      <c r="I1062" s="18">
        <v>2</v>
      </c>
      <c r="J1062" s="18">
        <v>2016</v>
      </c>
      <c r="K1062" s="18" t="str">
        <f>"558.68"</f>
        <v>558.68</v>
      </c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 t="str">
        <f>"448.28"</f>
        <v>448.28</v>
      </c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</row>
    <row r="1063" spans="1:35">
      <c r="A1063" s="14">
        <v>1061</v>
      </c>
      <c r="B1063" s="14">
        <v>10229</v>
      </c>
      <c r="C1063" s="14" t="s">
        <v>1248</v>
      </c>
      <c r="D1063" s="14" t="s">
        <v>330</v>
      </c>
      <c r="E1063" s="15" t="str">
        <f>"447.59"</f>
        <v>447.59</v>
      </c>
      <c r="F1063" s="15"/>
      <c r="G1063" s="16" t="str">
        <f>"488.74"</f>
        <v>488.74</v>
      </c>
      <c r="H1063" s="17" t="s">
        <v>54</v>
      </c>
      <c r="I1063" s="18">
        <v>2</v>
      </c>
      <c r="J1063" s="18">
        <v>2016</v>
      </c>
      <c r="K1063" s="18" t="str">
        <f>"447.59"</f>
        <v>447.59</v>
      </c>
      <c r="L1063" s="18"/>
      <c r="M1063" s="18"/>
      <c r="N1063" s="18"/>
      <c r="O1063" s="18"/>
      <c r="P1063" s="18" t="str">
        <f>"448.74"</f>
        <v>448.74</v>
      </c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</row>
    <row r="1064" spans="1:35">
      <c r="A1064" s="14">
        <v>1062</v>
      </c>
      <c r="B1064" s="14">
        <v>10912</v>
      </c>
      <c r="C1064" s="14" t="s">
        <v>1249</v>
      </c>
      <c r="D1064" s="14" t="s">
        <v>76</v>
      </c>
      <c r="E1064" s="15" t="str">
        <f>"493.13"</f>
        <v>493.13</v>
      </c>
      <c r="F1064" s="15"/>
      <c r="G1064" s="16" t="str">
        <f>"493.13"</f>
        <v>493.13</v>
      </c>
      <c r="H1064" s="17"/>
      <c r="I1064" s="18">
        <v>5</v>
      </c>
      <c r="J1064" s="18">
        <v>2016</v>
      </c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 t="str">
        <f>"630.69"</f>
        <v>630.69</v>
      </c>
      <c r="Y1064" s="18"/>
      <c r="Z1064" s="18"/>
      <c r="AA1064" s="18"/>
      <c r="AB1064" s="18"/>
      <c r="AC1064" s="18" t="str">
        <f>"355.56"</f>
        <v>355.56</v>
      </c>
      <c r="AD1064" s="18"/>
      <c r="AE1064" s="18"/>
      <c r="AF1064" s="18"/>
      <c r="AG1064" s="18"/>
      <c r="AH1064" s="18"/>
      <c r="AI1064" s="18"/>
    </row>
    <row r="1065" spans="1:35">
      <c r="A1065" s="14">
        <v>1063</v>
      </c>
      <c r="B1065" s="14">
        <v>2185</v>
      </c>
      <c r="C1065" s="14" t="s">
        <v>1250</v>
      </c>
      <c r="D1065" s="14" t="s">
        <v>899</v>
      </c>
      <c r="E1065" s="15" t="str">
        <f>"453.24"</f>
        <v>453.24</v>
      </c>
      <c r="F1065" s="15"/>
      <c r="G1065" s="16" t="str">
        <f>"493.24"</f>
        <v>493.24</v>
      </c>
      <c r="H1065" s="17" t="s">
        <v>48</v>
      </c>
      <c r="I1065" s="18">
        <v>1</v>
      </c>
      <c r="J1065" s="18">
        <v>2016</v>
      </c>
      <c r="K1065" s="18" t="str">
        <f>"453.24"</f>
        <v>453.24</v>
      </c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</row>
    <row r="1066" spans="1:35">
      <c r="A1066" s="14">
        <v>1064</v>
      </c>
      <c r="B1066" s="14">
        <v>11069</v>
      </c>
      <c r="C1066" s="14" t="s">
        <v>1251</v>
      </c>
      <c r="D1066" s="14" t="s">
        <v>200</v>
      </c>
      <c r="E1066" s="15" t="str">
        <f>"493.77"</f>
        <v>493.77</v>
      </c>
      <c r="F1066" s="15"/>
      <c r="G1066" s="16" t="str">
        <f>"493.77"</f>
        <v>493.77</v>
      </c>
      <c r="H1066" s="17"/>
      <c r="I1066" s="18">
        <v>5</v>
      </c>
      <c r="J1066" s="18">
        <v>2016</v>
      </c>
      <c r="K1066" s="18"/>
      <c r="L1066" s="18"/>
      <c r="M1066" s="18"/>
      <c r="N1066" s="18"/>
      <c r="O1066" s="18"/>
      <c r="P1066" s="18" t="str">
        <f>"507.83"</f>
        <v>507.83</v>
      </c>
      <c r="Q1066" s="18"/>
      <c r="R1066" s="18"/>
      <c r="S1066" s="18"/>
      <c r="T1066" s="18" t="str">
        <f>"479.70"</f>
        <v>479.70</v>
      </c>
      <c r="U1066" s="18"/>
      <c r="V1066" s="18"/>
      <c r="W1066" s="18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 t="str">
        <f>"528.39"</f>
        <v>528.39</v>
      </c>
    </row>
    <row r="1067" spans="1:35">
      <c r="A1067" s="14">
        <v>1065</v>
      </c>
      <c r="B1067" s="14">
        <v>10438</v>
      </c>
      <c r="C1067" s="14" t="s">
        <v>1252</v>
      </c>
      <c r="D1067" s="14" t="s">
        <v>98</v>
      </c>
      <c r="E1067" s="15" t="str">
        <f>"603.15"</f>
        <v>603.15</v>
      </c>
      <c r="F1067" s="15"/>
      <c r="G1067" s="16" t="str">
        <f>"493.79"</f>
        <v>493.79</v>
      </c>
      <c r="H1067" s="17" t="s">
        <v>54</v>
      </c>
      <c r="I1067" s="18">
        <v>2</v>
      </c>
      <c r="J1067" s="18">
        <v>2016</v>
      </c>
      <c r="K1067" s="18" t="str">
        <f>"752.50"</f>
        <v>752.50</v>
      </c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 t="str">
        <f>"453.79"</f>
        <v>453.79</v>
      </c>
      <c r="AA1067" s="18"/>
      <c r="AB1067" s="18"/>
      <c r="AC1067" s="18"/>
      <c r="AD1067" s="18"/>
      <c r="AE1067" s="18"/>
      <c r="AF1067" s="18"/>
      <c r="AG1067" s="18"/>
      <c r="AH1067" s="18"/>
      <c r="AI1067" s="18"/>
    </row>
    <row r="1068" spans="1:35">
      <c r="A1068" s="14">
        <v>1066</v>
      </c>
      <c r="B1068" s="14">
        <v>10084</v>
      </c>
      <c r="C1068" s="14" t="s">
        <v>1253</v>
      </c>
      <c r="D1068" s="14" t="s">
        <v>76</v>
      </c>
      <c r="E1068" s="15" t="str">
        <f>"455.13"</f>
        <v>455.13</v>
      </c>
      <c r="F1068" s="15"/>
      <c r="G1068" s="16" t="str">
        <f>"495.13"</f>
        <v>495.13</v>
      </c>
      <c r="H1068" s="17" t="s">
        <v>48</v>
      </c>
      <c r="I1068" s="18">
        <v>1</v>
      </c>
      <c r="J1068" s="18">
        <v>2016</v>
      </c>
      <c r="K1068" s="18" t="str">
        <f>"455.13"</f>
        <v>455.13</v>
      </c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</row>
    <row r="1069" spans="1:35">
      <c r="A1069" s="14">
        <v>1067</v>
      </c>
      <c r="B1069" s="14">
        <v>10186</v>
      </c>
      <c r="C1069" s="14" t="s">
        <v>1254</v>
      </c>
      <c r="D1069" s="14" t="s">
        <v>98</v>
      </c>
      <c r="E1069" s="15" t="str">
        <f>"540.05"</f>
        <v>540.05</v>
      </c>
      <c r="F1069" s="15"/>
      <c r="G1069" s="16" t="str">
        <f>"496.07"</f>
        <v>496.07</v>
      </c>
      <c r="H1069" s="17" t="s">
        <v>54</v>
      </c>
      <c r="I1069" s="18">
        <v>2</v>
      </c>
      <c r="J1069" s="18">
        <v>2016</v>
      </c>
      <c r="K1069" s="18" t="str">
        <f>"624.03"</f>
        <v>624.03</v>
      </c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 t="str">
        <f>"456.07"</f>
        <v>456.07</v>
      </c>
      <c r="AA1069" s="18"/>
      <c r="AB1069" s="18"/>
      <c r="AC1069" s="18"/>
      <c r="AD1069" s="18"/>
      <c r="AE1069" s="18"/>
      <c r="AF1069" s="18"/>
      <c r="AG1069" s="18"/>
      <c r="AH1069" s="18"/>
      <c r="AI1069" s="18"/>
    </row>
    <row r="1070" spans="1:35">
      <c r="A1070" s="14">
        <v>1068</v>
      </c>
      <c r="B1070" s="14">
        <v>11091</v>
      </c>
      <c r="C1070" s="14" t="s">
        <v>1255</v>
      </c>
      <c r="D1070" s="14" t="s">
        <v>148</v>
      </c>
      <c r="E1070" s="15" t="str">
        <f>"496.09"</f>
        <v>496.09</v>
      </c>
      <c r="F1070" s="15"/>
      <c r="G1070" s="16" t="str">
        <f>"496.09"</f>
        <v>496.09</v>
      </c>
      <c r="H1070" s="17" t="s">
        <v>54</v>
      </c>
      <c r="I1070" s="18">
        <v>4</v>
      </c>
      <c r="J1070" s="18">
        <v>2016</v>
      </c>
      <c r="K1070" s="18"/>
      <c r="L1070" s="18"/>
      <c r="M1070" s="18"/>
      <c r="N1070" s="18"/>
      <c r="O1070" s="18"/>
      <c r="P1070" s="18"/>
      <c r="Q1070" s="18"/>
      <c r="R1070" s="18" t="str">
        <f>"456.09"</f>
        <v>456.09</v>
      </c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</row>
    <row r="1071" spans="1:35">
      <c r="A1071" s="14">
        <v>1069</v>
      </c>
      <c r="B1071" s="14">
        <v>10582</v>
      </c>
      <c r="C1071" s="14" t="s">
        <v>1256</v>
      </c>
      <c r="D1071" s="14" t="s">
        <v>76</v>
      </c>
      <c r="E1071" s="15" t="str">
        <f>"494.16"</f>
        <v>494.16</v>
      </c>
      <c r="F1071" s="15"/>
      <c r="G1071" s="16" t="str">
        <f>"496.39"</f>
        <v>496.39</v>
      </c>
      <c r="H1071" s="17"/>
      <c r="I1071" s="18">
        <v>3</v>
      </c>
      <c r="J1071" s="18">
        <v>2016</v>
      </c>
      <c r="K1071" s="18" t="str">
        <f>"598.68"</f>
        <v>598.68</v>
      </c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 t="str">
        <f>"603.13"</f>
        <v>603.13</v>
      </c>
      <c r="Y1071" s="18"/>
      <c r="Z1071" s="18"/>
      <c r="AA1071" s="18"/>
      <c r="AB1071" s="18"/>
      <c r="AC1071" s="18" t="str">
        <f>"389.64"</f>
        <v>389.64</v>
      </c>
      <c r="AD1071" s="18"/>
      <c r="AE1071" s="18"/>
      <c r="AF1071" s="18"/>
      <c r="AG1071" s="18"/>
      <c r="AH1071" s="18"/>
      <c r="AI1071" s="18"/>
    </row>
    <row r="1072" spans="1:35">
      <c r="A1072" s="14">
        <v>1070</v>
      </c>
      <c r="B1072" s="14">
        <v>10443</v>
      </c>
      <c r="C1072" s="14" t="s">
        <v>1257</v>
      </c>
      <c r="D1072" s="14" t="s">
        <v>98</v>
      </c>
      <c r="E1072" s="15" t="str">
        <f>"499.91"</f>
        <v>499.91</v>
      </c>
      <c r="F1072" s="15"/>
      <c r="G1072" s="16" t="str">
        <f>"499.91"</f>
        <v>499.91</v>
      </c>
      <c r="H1072" s="17"/>
      <c r="I1072" s="18">
        <v>3</v>
      </c>
      <c r="J1072" s="18">
        <v>2016</v>
      </c>
      <c r="K1072" s="18" t="str">
        <f>"769.59"</f>
        <v>769.59</v>
      </c>
      <c r="L1072" s="18"/>
      <c r="M1072" s="18"/>
      <c r="N1072" s="18"/>
      <c r="O1072" s="18"/>
      <c r="P1072" s="18"/>
      <c r="Q1072" s="18"/>
      <c r="R1072" s="18"/>
      <c r="S1072" s="18"/>
      <c r="T1072" s="18"/>
      <c r="U1072" s="18" t="str">
        <f>"532.77"</f>
        <v>532.77</v>
      </c>
      <c r="V1072" s="18"/>
      <c r="W1072" s="18"/>
      <c r="X1072" s="18"/>
      <c r="Y1072" s="18"/>
      <c r="Z1072" s="18" t="str">
        <f>"467.04"</f>
        <v>467.04</v>
      </c>
      <c r="AA1072" s="18"/>
      <c r="AB1072" s="18"/>
      <c r="AC1072" s="18"/>
      <c r="AD1072" s="18"/>
      <c r="AE1072" s="18"/>
      <c r="AF1072" s="18"/>
      <c r="AG1072" s="18"/>
      <c r="AH1072" s="18"/>
      <c r="AI1072" s="18"/>
    </row>
    <row r="1073" spans="1:35">
      <c r="A1073" s="14">
        <v>1071</v>
      </c>
      <c r="B1073" s="14">
        <v>5773</v>
      </c>
      <c r="C1073" s="14" t="s">
        <v>1258</v>
      </c>
      <c r="D1073" s="14" t="s">
        <v>816</v>
      </c>
      <c r="E1073" s="15" t="str">
        <f>"460.04"</f>
        <v>460.04</v>
      </c>
      <c r="F1073" s="15"/>
      <c r="G1073" s="16" t="str">
        <f>"500.04"</f>
        <v>500.04</v>
      </c>
      <c r="H1073" s="17" t="s">
        <v>48</v>
      </c>
      <c r="I1073" s="18">
        <v>1</v>
      </c>
      <c r="J1073" s="18">
        <v>2016</v>
      </c>
      <c r="K1073" s="18" t="str">
        <f>"460.04"</f>
        <v>460.04</v>
      </c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</row>
    <row r="1074" spans="1:35">
      <c r="A1074" s="14">
        <v>1072</v>
      </c>
      <c r="B1074" s="14">
        <v>10043</v>
      </c>
      <c r="C1074" s="14" t="s">
        <v>1259</v>
      </c>
      <c r="D1074" s="14" t="s">
        <v>76</v>
      </c>
      <c r="E1074" s="15" t="str">
        <f>"424.52"</f>
        <v>424.52</v>
      </c>
      <c r="F1074" s="15"/>
      <c r="G1074" s="16" t="str">
        <f>"500.40"</f>
        <v>500.40</v>
      </c>
      <c r="H1074" s="17"/>
      <c r="I1074" s="18">
        <v>3</v>
      </c>
      <c r="J1074" s="18">
        <v>2016</v>
      </c>
      <c r="K1074" s="18" t="str">
        <f>"424.52"</f>
        <v>424.52</v>
      </c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 t="str">
        <f>"575.43"</f>
        <v>575.43</v>
      </c>
      <c r="Y1074" s="18"/>
      <c r="Z1074" s="18"/>
      <c r="AA1074" s="18"/>
      <c r="AB1074" s="18"/>
      <c r="AC1074" s="18" t="str">
        <f>"425.37"</f>
        <v>425.37</v>
      </c>
      <c r="AD1074" s="18"/>
      <c r="AE1074" s="18"/>
      <c r="AF1074" s="18"/>
      <c r="AG1074" s="18"/>
      <c r="AH1074" s="18"/>
      <c r="AI1074" s="18"/>
    </row>
    <row r="1075" spans="1:35">
      <c r="A1075" s="14">
        <v>1073</v>
      </c>
      <c r="B1075" s="14">
        <v>10800</v>
      </c>
      <c r="C1075" s="14" t="s">
        <v>1260</v>
      </c>
      <c r="D1075" s="14" t="s">
        <v>98</v>
      </c>
      <c r="E1075" s="15" t="str">
        <f>"501.10"</f>
        <v>501.10</v>
      </c>
      <c r="F1075" s="15"/>
      <c r="G1075" s="16" t="str">
        <f>"501.10"</f>
        <v>501.10</v>
      </c>
      <c r="H1075" s="17" t="s">
        <v>54</v>
      </c>
      <c r="I1075" s="18">
        <v>4</v>
      </c>
      <c r="J1075" s="18">
        <v>2016</v>
      </c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 t="str">
        <f>"461.10"</f>
        <v>461.10</v>
      </c>
      <c r="AA1075" s="18"/>
      <c r="AB1075" s="18"/>
      <c r="AC1075" s="18"/>
      <c r="AD1075" s="18"/>
      <c r="AE1075" s="18"/>
      <c r="AF1075" s="18"/>
      <c r="AG1075" s="18"/>
      <c r="AH1075" s="18"/>
      <c r="AI1075" s="18"/>
    </row>
    <row r="1076" spans="1:35">
      <c r="A1076" s="14">
        <v>1074</v>
      </c>
      <c r="B1076" s="14">
        <v>3250</v>
      </c>
      <c r="C1076" s="14" t="s">
        <v>1261</v>
      </c>
      <c r="D1076" s="14" t="s">
        <v>184</v>
      </c>
      <c r="E1076" s="15" t="str">
        <f>"320.08"</f>
        <v>320.08</v>
      </c>
      <c r="F1076" s="15"/>
      <c r="G1076" s="16" t="str">
        <f>"501.33"</f>
        <v>501.33</v>
      </c>
      <c r="H1076" s="17" t="s">
        <v>54</v>
      </c>
      <c r="I1076" s="18">
        <v>2</v>
      </c>
      <c r="J1076" s="18">
        <v>2016</v>
      </c>
      <c r="K1076" s="18" t="str">
        <f>"320.08"</f>
        <v>320.08</v>
      </c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 t="str">
        <f>"461.33"</f>
        <v>461.33</v>
      </c>
      <c r="AB1076" s="18"/>
      <c r="AC1076" s="18"/>
      <c r="AD1076" s="18"/>
      <c r="AE1076" s="18"/>
      <c r="AF1076" s="18"/>
      <c r="AG1076" s="18"/>
      <c r="AH1076" s="18"/>
      <c r="AI1076" s="18"/>
    </row>
    <row r="1077" spans="1:35">
      <c r="A1077" s="14">
        <v>1075</v>
      </c>
      <c r="B1077" s="14">
        <v>10118</v>
      </c>
      <c r="C1077" s="14" t="s">
        <v>1262</v>
      </c>
      <c r="D1077" s="14" t="s">
        <v>98</v>
      </c>
      <c r="E1077" s="15" t="str">
        <f>"503.96"</f>
        <v>503.96</v>
      </c>
      <c r="F1077" s="15"/>
      <c r="G1077" s="16" t="str">
        <f>"503.96"</f>
        <v>503.96</v>
      </c>
      <c r="H1077" s="17"/>
      <c r="I1077" s="18">
        <v>3</v>
      </c>
      <c r="J1077" s="18">
        <v>2016</v>
      </c>
      <c r="K1077" s="18" t="str">
        <f>"552.69"</f>
        <v>552.69</v>
      </c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 t="str">
        <f>"518.70"</f>
        <v>518.70</v>
      </c>
      <c r="AA1077" s="18"/>
      <c r="AB1077" s="18"/>
      <c r="AC1077" s="18"/>
      <c r="AD1077" s="18"/>
      <c r="AE1077" s="18"/>
      <c r="AF1077" s="18"/>
      <c r="AG1077" s="18"/>
      <c r="AH1077" s="18"/>
      <c r="AI1077" s="18" t="str">
        <f>"489.21"</f>
        <v>489.21</v>
      </c>
    </row>
    <row r="1078" spans="1:35">
      <c r="A1078" s="14">
        <v>1076</v>
      </c>
      <c r="B1078" s="14">
        <v>2269</v>
      </c>
      <c r="C1078" s="14" t="s">
        <v>1263</v>
      </c>
      <c r="D1078" s="14" t="s">
        <v>1264</v>
      </c>
      <c r="E1078" s="15" t="str">
        <f>"514.47"</f>
        <v>514.47</v>
      </c>
      <c r="F1078" s="15"/>
      <c r="G1078" s="16" t="str">
        <f>"507.03"</f>
        <v>507.03</v>
      </c>
      <c r="H1078" s="17" t="s">
        <v>54</v>
      </c>
      <c r="I1078" s="18">
        <v>2</v>
      </c>
      <c r="J1078" s="18">
        <v>2016</v>
      </c>
      <c r="K1078" s="18" t="str">
        <f>"561.91"</f>
        <v>561.91</v>
      </c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 t="str">
        <f>"467.03"</f>
        <v>467.03</v>
      </c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</row>
    <row r="1079" spans="1:35">
      <c r="A1079" s="14">
        <v>1077</v>
      </c>
      <c r="B1079" s="14">
        <v>10910</v>
      </c>
      <c r="C1079" s="14" t="s">
        <v>1265</v>
      </c>
      <c r="D1079" s="14" t="s">
        <v>76</v>
      </c>
      <c r="E1079" s="15" t="str">
        <f>"507.18"</f>
        <v>507.18</v>
      </c>
      <c r="F1079" s="15"/>
      <c r="G1079" s="16" t="str">
        <f>"507.18"</f>
        <v>507.18</v>
      </c>
      <c r="H1079" s="17"/>
      <c r="I1079" s="18">
        <v>5</v>
      </c>
      <c r="J1079" s="18">
        <v>2016</v>
      </c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 t="str">
        <f>"593.94"</f>
        <v>593.94</v>
      </c>
      <c r="Y1079" s="18"/>
      <c r="Z1079" s="18"/>
      <c r="AA1079" s="18"/>
      <c r="AB1079" s="18"/>
      <c r="AC1079" s="18" t="str">
        <f>"420.41"</f>
        <v>420.41</v>
      </c>
      <c r="AD1079" s="18"/>
      <c r="AE1079" s="18"/>
      <c r="AF1079" s="18"/>
      <c r="AG1079" s="18"/>
      <c r="AH1079" s="18"/>
      <c r="AI1079" s="18"/>
    </row>
    <row r="1080" spans="1:35">
      <c r="A1080" s="14">
        <v>1078</v>
      </c>
      <c r="B1080" s="14">
        <v>10831</v>
      </c>
      <c r="C1080" s="14" t="s">
        <v>1266</v>
      </c>
      <c r="D1080" s="14" t="s">
        <v>98</v>
      </c>
      <c r="E1080" s="15" t="str">
        <f>"507.50"</f>
        <v>507.50</v>
      </c>
      <c r="F1080" s="15"/>
      <c r="G1080" s="16" t="str">
        <f>"507.50"</f>
        <v>507.50</v>
      </c>
      <c r="H1080" s="17" t="s">
        <v>54</v>
      </c>
      <c r="I1080" s="18">
        <v>4</v>
      </c>
      <c r="J1080" s="18">
        <v>2016</v>
      </c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 t="str">
        <f>"467.50"</f>
        <v>467.50</v>
      </c>
      <c r="AA1080" s="18"/>
      <c r="AB1080" s="18"/>
      <c r="AC1080" s="18"/>
      <c r="AD1080" s="18"/>
      <c r="AE1080" s="18"/>
      <c r="AF1080" s="18"/>
      <c r="AG1080" s="18"/>
      <c r="AH1080" s="18"/>
      <c r="AI1080" s="18"/>
    </row>
    <row r="1081" spans="1:35">
      <c r="A1081" s="14">
        <v>1079</v>
      </c>
      <c r="B1081" s="14">
        <v>10153</v>
      </c>
      <c r="C1081" s="14" t="s">
        <v>1267</v>
      </c>
      <c r="D1081" s="14" t="s">
        <v>98</v>
      </c>
      <c r="E1081" s="15" t="str">
        <f>"507.52"</f>
        <v>507.52</v>
      </c>
      <c r="F1081" s="15"/>
      <c r="G1081" s="16" t="str">
        <f>"507.52"</f>
        <v>507.52</v>
      </c>
      <c r="H1081" s="17"/>
      <c r="I1081" s="18">
        <v>3</v>
      </c>
      <c r="J1081" s="18">
        <v>2016</v>
      </c>
      <c r="K1081" s="18" t="str">
        <f>"609.88"</f>
        <v>609.88</v>
      </c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 t="str">
        <f>"547.95"</f>
        <v>547.95</v>
      </c>
      <c r="AA1081" s="18"/>
      <c r="AB1081" s="18"/>
      <c r="AC1081" s="18"/>
      <c r="AD1081" s="18"/>
      <c r="AE1081" s="18"/>
      <c r="AF1081" s="18"/>
      <c r="AG1081" s="18"/>
      <c r="AH1081" s="18"/>
      <c r="AI1081" s="18" t="str">
        <f>"467.09"</f>
        <v>467.09</v>
      </c>
    </row>
    <row r="1082" spans="1:35">
      <c r="A1082" s="14">
        <v>1080</v>
      </c>
      <c r="B1082" s="14">
        <v>10958</v>
      </c>
      <c r="C1082" s="14" t="s">
        <v>1268</v>
      </c>
      <c r="D1082" s="14" t="s">
        <v>1116</v>
      </c>
      <c r="E1082" s="15" t="str">
        <f>"508.11"</f>
        <v>508.11</v>
      </c>
      <c r="F1082" s="15"/>
      <c r="G1082" s="16" t="str">
        <f>"508.11"</f>
        <v>508.11</v>
      </c>
      <c r="H1082" s="17" t="s">
        <v>54</v>
      </c>
      <c r="I1082" s="18">
        <v>4</v>
      </c>
      <c r="J1082" s="18">
        <v>2016</v>
      </c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 t="str">
        <f>"468.11"</f>
        <v>468.11</v>
      </c>
      <c r="AB1082" s="18"/>
      <c r="AC1082" s="18"/>
      <c r="AD1082" s="18"/>
      <c r="AE1082" s="18"/>
      <c r="AF1082" s="18"/>
      <c r="AG1082" s="18"/>
      <c r="AH1082" s="18"/>
      <c r="AI1082" s="18"/>
    </row>
    <row r="1083" spans="1:35">
      <c r="A1083" s="14">
        <v>1081</v>
      </c>
      <c r="B1083" s="14">
        <v>10437</v>
      </c>
      <c r="C1083" s="14" t="s">
        <v>1269</v>
      </c>
      <c r="D1083" s="14" t="s">
        <v>98</v>
      </c>
      <c r="E1083" s="15" t="str">
        <f>"593.84"</f>
        <v>593.84</v>
      </c>
      <c r="F1083" s="15"/>
      <c r="G1083" s="16" t="str">
        <f>"508.87"</f>
        <v>508.87</v>
      </c>
      <c r="H1083" s="17" t="s">
        <v>54</v>
      </c>
      <c r="I1083" s="18">
        <v>2</v>
      </c>
      <c r="J1083" s="18">
        <v>2016</v>
      </c>
      <c r="K1083" s="18" t="str">
        <f>"718.80"</f>
        <v>718.80</v>
      </c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 t="str">
        <f>"468.87"</f>
        <v>468.87</v>
      </c>
      <c r="AA1083" s="18"/>
      <c r="AB1083" s="18"/>
      <c r="AC1083" s="18"/>
      <c r="AD1083" s="18"/>
      <c r="AE1083" s="18"/>
      <c r="AF1083" s="18"/>
      <c r="AG1083" s="18"/>
      <c r="AH1083" s="18"/>
      <c r="AI1083" s="18"/>
    </row>
    <row r="1084" spans="1:35">
      <c r="A1084" s="14">
        <v>1082</v>
      </c>
      <c r="B1084" s="14">
        <v>10488</v>
      </c>
      <c r="C1084" s="14" t="s">
        <v>1270</v>
      </c>
      <c r="D1084" s="14" t="s">
        <v>98</v>
      </c>
      <c r="E1084" s="15" t="str">
        <f>"603.73"</f>
        <v>603.73</v>
      </c>
      <c r="F1084" s="15"/>
      <c r="G1084" s="16" t="str">
        <f>"509.33"</f>
        <v>509.33</v>
      </c>
      <c r="H1084" s="17" t="s">
        <v>54</v>
      </c>
      <c r="I1084" s="18">
        <v>2</v>
      </c>
      <c r="J1084" s="18">
        <v>2016</v>
      </c>
      <c r="K1084" s="18" t="str">
        <f>"738.12"</f>
        <v>738.12</v>
      </c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 t="str">
        <f>"469.33"</f>
        <v>469.33</v>
      </c>
      <c r="AA1084" s="18"/>
      <c r="AB1084" s="18"/>
      <c r="AC1084" s="18"/>
      <c r="AD1084" s="18"/>
      <c r="AE1084" s="18"/>
      <c r="AF1084" s="18"/>
      <c r="AG1084" s="18"/>
      <c r="AH1084" s="18"/>
      <c r="AI1084" s="18"/>
    </row>
    <row r="1085" spans="1:35">
      <c r="A1085" s="14">
        <v>1083</v>
      </c>
      <c r="B1085" s="14">
        <v>4046</v>
      </c>
      <c r="C1085" s="14" t="s">
        <v>1271</v>
      </c>
      <c r="D1085" s="14" t="s">
        <v>500</v>
      </c>
      <c r="E1085" s="15" t="str">
        <f>"326.71"</f>
        <v>326.71</v>
      </c>
      <c r="F1085" s="15"/>
      <c r="G1085" s="16" t="str">
        <f>"510.67"</f>
        <v>510.67</v>
      </c>
      <c r="H1085" s="17" t="s">
        <v>54</v>
      </c>
      <c r="I1085" s="18">
        <v>2</v>
      </c>
      <c r="J1085" s="18">
        <v>2016</v>
      </c>
      <c r="K1085" s="18" t="str">
        <f>"326.71"</f>
        <v>326.71</v>
      </c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 t="str">
        <f>"470.67"</f>
        <v>470.67</v>
      </c>
      <c r="AC1085" s="18"/>
      <c r="AD1085" s="18"/>
      <c r="AE1085" s="18"/>
      <c r="AF1085" s="18"/>
      <c r="AG1085" s="18"/>
      <c r="AH1085" s="18"/>
      <c r="AI1085" s="18"/>
    </row>
    <row r="1086" spans="1:35">
      <c r="A1086" s="14">
        <v>1084</v>
      </c>
      <c r="B1086" s="14">
        <v>1311</v>
      </c>
      <c r="C1086" s="14" t="s">
        <v>1272</v>
      </c>
      <c r="D1086" s="14" t="s">
        <v>114</v>
      </c>
      <c r="E1086" s="15" t="str">
        <f>"470.83"</f>
        <v>470.83</v>
      </c>
      <c r="F1086" s="15"/>
      <c r="G1086" s="16" t="str">
        <f>"510.83"</f>
        <v>510.83</v>
      </c>
      <c r="H1086" s="17" t="s">
        <v>48</v>
      </c>
      <c r="I1086" s="18">
        <v>1</v>
      </c>
      <c r="J1086" s="18">
        <v>2016</v>
      </c>
      <c r="K1086" s="18" t="str">
        <f>"470.83"</f>
        <v>470.83</v>
      </c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</row>
    <row r="1087" spans="1:35">
      <c r="A1087" s="14">
        <v>1085</v>
      </c>
      <c r="B1087" s="14">
        <v>10120</v>
      </c>
      <c r="C1087" s="14" t="s">
        <v>1273</v>
      </c>
      <c r="D1087" s="14" t="s">
        <v>98</v>
      </c>
      <c r="E1087" s="15" t="str">
        <f>"504.27"</f>
        <v>504.27</v>
      </c>
      <c r="F1087" s="15"/>
      <c r="G1087" s="16" t="str">
        <f>"512.35"</f>
        <v>512.35</v>
      </c>
      <c r="H1087" s="17"/>
      <c r="I1087" s="18">
        <v>3</v>
      </c>
      <c r="J1087" s="18">
        <v>2016</v>
      </c>
      <c r="K1087" s="18" t="str">
        <f>"567.90"</f>
        <v>567.90</v>
      </c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 t="str">
        <f>"584.06"</f>
        <v>584.06</v>
      </c>
      <c r="AA1087" s="18"/>
      <c r="AB1087" s="18"/>
      <c r="AC1087" s="18"/>
      <c r="AD1087" s="18"/>
      <c r="AE1087" s="18"/>
      <c r="AF1087" s="18"/>
      <c r="AG1087" s="18"/>
      <c r="AH1087" s="18"/>
      <c r="AI1087" s="18" t="str">
        <f>"440.63"</f>
        <v>440.63</v>
      </c>
    </row>
    <row r="1088" spans="1:35">
      <c r="A1088" s="14">
        <v>1086</v>
      </c>
      <c r="B1088" s="14">
        <v>7620</v>
      </c>
      <c r="C1088" s="14" t="s">
        <v>1274</v>
      </c>
      <c r="D1088" s="14" t="s">
        <v>305</v>
      </c>
      <c r="E1088" s="15" t="str">
        <f>"473.19"</f>
        <v>473.19</v>
      </c>
      <c r="F1088" s="15"/>
      <c r="G1088" s="16" t="str">
        <f>"513.19"</f>
        <v>513.19</v>
      </c>
      <c r="H1088" s="17" t="s">
        <v>48</v>
      </c>
      <c r="I1088" s="18">
        <v>1</v>
      </c>
      <c r="J1088" s="18">
        <v>2016</v>
      </c>
      <c r="K1088" s="18" t="str">
        <f>"473.19"</f>
        <v>473.19</v>
      </c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</row>
    <row r="1089" spans="1:35">
      <c r="A1089" s="14">
        <v>1087</v>
      </c>
      <c r="B1089" s="14">
        <v>10961</v>
      </c>
      <c r="C1089" s="14" t="s">
        <v>1275</v>
      </c>
      <c r="D1089" s="14" t="s">
        <v>251</v>
      </c>
      <c r="E1089" s="15" t="str">
        <f>"513.42"</f>
        <v>513.42</v>
      </c>
      <c r="F1089" s="15"/>
      <c r="G1089" s="16" t="str">
        <f>"513.42"</f>
        <v>513.42</v>
      </c>
      <c r="H1089" s="17" t="s">
        <v>54</v>
      </c>
      <c r="I1089" s="18">
        <v>4</v>
      </c>
      <c r="J1089" s="18">
        <v>2016</v>
      </c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 t="str">
        <f>"473.42"</f>
        <v>473.42</v>
      </c>
      <c r="W1089" s="18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</row>
    <row r="1090" spans="1:35">
      <c r="A1090" s="14">
        <v>1088</v>
      </c>
      <c r="B1090" s="14">
        <v>10635</v>
      </c>
      <c r="C1090" s="14" t="s">
        <v>1276</v>
      </c>
      <c r="D1090" s="14" t="s">
        <v>76</v>
      </c>
      <c r="E1090" s="15" t="str">
        <f>"517.35"</f>
        <v>517.35</v>
      </c>
      <c r="F1090" s="15"/>
      <c r="G1090" s="16" t="str">
        <f>"517.35"</f>
        <v>517.35</v>
      </c>
      <c r="H1090" s="17"/>
      <c r="I1090" s="18">
        <v>3</v>
      </c>
      <c r="J1090" s="18">
        <v>2016</v>
      </c>
      <c r="K1090" s="18" t="str">
        <f>"788.95"</f>
        <v>788.95</v>
      </c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 t="str">
        <f>"599.62"</f>
        <v>599.62</v>
      </c>
      <c r="Y1090" s="18"/>
      <c r="Z1090" s="18"/>
      <c r="AA1090" s="18"/>
      <c r="AB1090" s="18"/>
      <c r="AC1090" s="18" t="str">
        <f>"435.08"</f>
        <v>435.08</v>
      </c>
      <c r="AD1090" s="18"/>
      <c r="AE1090" s="18"/>
      <c r="AF1090" s="18"/>
      <c r="AG1090" s="18"/>
      <c r="AH1090" s="18"/>
      <c r="AI1090" s="18"/>
    </row>
    <row r="1091" spans="1:35">
      <c r="A1091" s="14">
        <v>1089</v>
      </c>
      <c r="B1091" s="14">
        <v>10892</v>
      </c>
      <c r="C1091" s="14" t="s">
        <v>1277</v>
      </c>
      <c r="D1091" s="14" t="s">
        <v>76</v>
      </c>
      <c r="E1091" s="15" t="str">
        <f>"519.19"</f>
        <v>519.19</v>
      </c>
      <c r="F1091" s="15"/>
      <c r="G1091" s="16" t="str">
        <f>"519.19"</f>
        <v>519.19</v>
      </c>
      <c r="H1091" s="17" t="s">
        <v>54</v>
      </c>
      <c r="I1091" s="18">
        <v>4</v>
      </c>
      <c r="J1091" s="18">
        <v>2016</v>
      </c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8" t="str">
        <f>"479.19"</f>
        <v>479.19</v>
      </c>
      <c r="AD1091" s="18"/>
      <c r="AE1091" s="18"/>
      <c r="AF1091" s="18"/>
      <c r="AG1091" s="18"/>
      <c r="AH1091" s="18"/>
      <c r="AI1091" s="18"/>
    </row>
    <row r="1092" spans="1:35">
      <c r="A1092" s="14">
        <v>1090</v>
      </c>
      <c r="B1092" s="14">
        <v>10949</v>
      </c>
      <c r="C1092" s="14" t="s">
        <v>1278</v>
      </c>
      <c r="D1092" s="14" t="s">
        <v>98</v>
      </c>
      <c r="E1092" s="15" t="str">
        <f>"519.66"</f>
        <v>519.66</v>
      </c>
      <c r="F1092" s="15"/>
      <c r="G1092" s="16" t="str">
        <f>"519.66"</f>
        <v>519.66</v>
      </c>
      <c r="H1092" s="17"/>
      <c r="I1092" s="18">
        <v>5</v>
      </c>
      <c r="J1092" s="18">
        <v>2016</v>
      </c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 t="str">
        <f>"638.10"</f>
        <v>638.10</v>
      </c>
      <c r="V1092" s="18"/>
      <c r="W1092" s="18"/>
      <c r="X1092" s="18"/>
      <c r="Y1092" s="18"/>
      <c r="Z1092" s="18" t="str">
        <f>"401.22"</f>
        <v>401.22</v>
      </c>
      <c r="AA1092" s="18"/>
      <c r="AB1092" s="18"/>
      <c r="AC1092" s="18"/>
      <c r="AD1092" s="18"/>
      <c r="AE1092" s="18"/>
      <c r="AF1092" s="18"/>
      <c r="AG1092" s="18"/>
      <c r="AH1092" s="18"/>
      <c r="AI1092" s="18"/>
    </row>
    <row r="1093" spans="1:35">
      <c r="A1093" s="14">
        <v>1091</v>
      </c>
      <c r="B1093" s="14">
        <v>10845</v>
      </c>
      <c r="C1093" s="14" t="s">
        <v>1279</v>
      </c>
      <c r="D1093" s="14" t="s">
        <v>76</v>
      </c>
      <c r="E1093" s="15" t="str">
        <f>"522.33"</f>
        <v>522.33</v>
      </c>
      <c r="F1093" s="15"/>
      <c r="G1093" s="16" t="str">
        <f>"522.33"</f>
        <v>522.33</v>
      </c>
      <c r="H1093" s="17" t="s">
        <v>54</v>
      </c>
      <c r="I1093" s="18">
        <v>4</v>
      </c>
      <c r="J1093" s="18">
        <v>2016</v>
      </c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 t="str">
        <f>"482.33"</f>
        <v>482.33</v>
      </c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</row>
    <row r="1094" spans="1:35">
      <c r="A1094" s="14">
        <v>1092</v>
      </c>
      <c r="B1094" s="14">
        <v>10077</v>
      </c>
      <c r="C1094" s="14" t="s">
        <v>1280</v>
      </c>
      <c r="D1094" s="14" t="s">
        <v>76</v>
      </c>
      <c r="E1094" s="15" t="str">
        <f>"503.18"</f>
        <v>503.18</v>
      </c>
      <c r="F1094" s="15"/>
      <c r="G1094" s="16" t="str">
        <f>"525.81"</f>
        <v>525.81</v>
      </c>
      <c r="H1094" s="17" t="s">
        <v>54</v>
      </c>
      <c r="I1094" s="18">
        <v>2</v>
      </c>
      <c r="J1094" s="18">
        <v>2016</v>
      </c>
      <c r="K1094" s="18" t="str">
        <f>"520.55"</f>
        <v>520.55</v>
      </c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  <c r="AC1094" s="18" t="str">
        <f>"485.81"</f>
        <v>485.81</v>
      </c>
      <c r="AD1094" s="18"/>
      <c r="AE1094" s="18"/>
      <c r="AF1094" s="18"/>
      <c r="AG1094" s="18"/>
      <c r="AH1094" s="18"/>
      <c r="AI1094" s="18"/>
    </row>
    <row r="1095" spans="1:35">
      <c r="A1095" s="14">
        <v>1093</v>
      </c>
      <c r="B1095" s="14">
        <v>10391</v>
      </c>
      <c r="C1095" s="14" t="s">
        <v>1281</v>
      </c>
      <c r="D1095" s="14" t="s">
        <v>98</v>
      </c>
      <c r="E1095" s="15" t="str">
        <f>"527.88"</f>
        <v>527.88</v>
      </c>
      <c r="F1095" s="15"/>
      <c r="G1095" s="16" t="str">
        <f>"527.88"</f>
        <v>527.88</v>
      </c>
      <c r="H1095" s="17"/>
      <c r="I1095" s="18">
        <v>3</v>
      </c>
      <c r="J1095" s="18">
        <v>2016</v>
      </c>
      <c r="K1095" s="18" t="str">
        <f>"702.74"</f>
        <v>702.74</v>
      </c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 t="str">
        <f>"589.54"</f>
        <v>589.54</v>
      </c>
      <c r="AA1095" s="18"/>
      <c r="AB1095" s="18"/>
      <c r="AC1095" s="18"/>
      <c r="AD1095" s="18"/>
      <c r="AE1095" s="18"/>
      <c r="AF1095" s="18"/>
      <c r="AG1095" s="18"/>
      <c r="AH1095" s="18"/>
      <c r="AI1095" s="18" t="str">
        <f>"466.22"</f>
        <v>466.22</v>
      </c>
    </row>
    <row r="1096" spans="1:35">
      <c r="A1096" s="14">
        <v>1094</v>
      </c>
      <c r="B1096" s="14">
        <v>2289</v>
      </c>
      <c r="C1096" s="14" t="s">
        <v>1282</v>
      </c>
      <c r="D1096" s="14" t="s">
        <v>76</v>
      </c>
      <c r="E1096" s="15" t="str">
        <f>"488.99"</f>
        <v>488.99</v>
      </c>
      <c r="F1096" s="15"/>
      <c r="G1096" s="16" t="str">
        <f>"528.99"</f>
        <v>528.99</v>
      </c>
      <c r="H1096" s="17" t="s">
        <v>48</v>
      </c>
      <c r="I1096" s="18">
        <v>1</v>
      </c>
      <c r="J1096" s="18">
        <v>2016</v>
      </c>
      <c r="K1096" s="18" t="str">
        <f>"488.99"</f>
        <v>488.99</v>
      </c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</row>
    <row r="1097" spans="1:35">
      <c r="A1097" s="14">
        <v>1095</v>
      </c>
      <c r="B1097" s="14">
        <v>10490</v>
      </c>
      <c r="C1097" s="14" t="s">
        <v>1283</v>
      </c>
      <c r="D1097" s="14" t="s">
        <v>98</v>
      </c>
      <c r="E1097" s="15" t="str">
        <f>"788.98"</f>
        <v>788.98</v>
      </c>
      <c r="F1097" s="15"/>
      <c r="G1097" s="16" t="str">
        <f>"530.36"</f>
        <v>530.36</v>
      </c>
      <c r="H1097" s="17" t="s">
        <v>54</v>
      </c>
      <c r="I1097" s="18">
        <v>2</v>
      </c>
      <c r="J1097" s="18">
        <v>2016</v>
      </c>
      <c r="K1097" s="18" t="str">
        <f>"1087.59"</f>
        <v>1087.59</v>
      </c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 t="str">
        <f>"490.36"</f>
        <v>490.36</v>
      </c>
      <c r="AA1097" s="18"/>
      <c r="AB1097" s="18"/>
      <c r="AC1097" s="18"/>
      <c r="AD1097" s="18"/>
      <c r="AE1097" s="18"/>
      <c r="AF1097" s="18"/>
      <c r="AG1097" s="18"/>
      <c r="AH1097" s="18"/>
      <c r="AI1097" s="18"/>
    </row>
    <row r="1098" spans="1:35">
      <c r="A1098" s="14">
        <v>1096</v>
      </c>
      <c r="B1098" s="14">
        <v>10971</v>
      </c>
      <c r="C1098" s="14" t="s">
        <v>1284</v>
      </c>
      <c r="D1098" s="14" t="s">
        <v>39</v>
      </c>
      <c r="E1098" s="15" t="str">
        <f>"530.63"</f>
        <v>530.63</v>
      </c>
      <c r="F1098" s="15"/>
      <c r="G1098" s="16" t="str">
        <f>"530.63"</f>
        <v>530.63</v>
      </c>
      <c r="H1098" s="17" t="s">
        <v>54</v>
      </c>
      <c r="I1098" s="18">
        <v>4</v>
      </c>
      <c r="J1098" s="18">
        <v>2016</v>
      </c>
      <c r="K1098" s="18"/>
      <c r="L1098" s="18"/>
      <c r="M1098" s="18"/>
      <c r="N1098" s="18"/>
      <c r="O1098" s="18"/>
      <c r="P1098" s="18" t="str">
        <f>"490.63"</f>
        <v>490.63</v>
      </c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</row>
    <row r="1099" spans="1:35">
      <c r="A1099" s="14">
        <v>1097</v>
      </c>
      <c r="B1099" s="14">
        <v>10943</v>
      </c>
      <c r="C1099" s="14" t="s">
        <v>1285</v>
      </c>
      <c r="D1099" s="14" t="s">
        <v>1286</v>
      </c>
      <c r="E1099" s="15" t="str">
        <f>"531.38"</f>
        <v>531.38</v>
      </c>
      <c r="F1099" s="15"/>
      <c r="G1099" s="16" t="str">
        <f>"531.38"</f>
        <v>531.38</v>
      </c>
      <c r="H1099" s="17" t="s">
        <v>54</v>
      </c>
      <c r="I1099" s="18">
        <v>4</v>
      </c>
      <c r="J1099" s="18">
        <v>2016</v>
      </c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 t="str">
        <f>"491.38"</f>
        <v>491.38</v>
      </c>
    </row>
    <row r="1100" spans="1:35">
      <c r="A1100" s="14">
        <v>1098</v>
      </c>
      <c r="B1100" s="14">
        <v>10967</v>
      </c>
      <c r="C1100" s="14" t="s">
        <v>1287</v>
      </c>
      <c r="D1100" s="14" t="s">
        <v>39</v>
      </c>
      <c r="E1100" s="15" t="str">
        <f>"533.29"</f>
        <v>533.29</v>
      </c>
      <c r="F1100" s="15"/>
      <c r="G1100" s="16" t="str">
        <f>"533.29"</f>
        <v>533.29</v>
      </c>
      <c r="H1100" s="17"/>
      <c r="I1100" s="18">
        <v>5</v>
      </c>
      <c r="J1100" s="18">
        <v>2016</v>
      </c>
      <c r="K1100" s="18"/>
      <c r="L1100" s="18"/>
      <c r="M1100" s="18"/>
      <c r="N1100" s="18"/>
      <c r="O1100" s="18"/>
      <c r="P1100" s="18" t="str">
        <f>"482.45"</f>
        <v>482.45</v>
      </c>
      <c r="Q1100" s="18"/>
      <c r="R1100" s="18" t="str">
        <f>"584.12"</f>
        <v>584.12</v>
      </c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</row>
    <row r="1101" spans="1:35">
      <c r="A1101" s="14">
        <v>1099</v>
      </c>
      <c r="B1101" s="14">
        <v>10594</v>
      </c>
      <c r="C1101" s="14" t="s">
        <v>1288</v>
      </c>
      <c r="D1101" s="14" t="s">
        <v>76</v>
      </c>
      <c r="E1101" s="15" t="str">
        <f>"576.92"</f>
        <v>576.92</v>
      </c>
      <c r="F1101" s="15"/>
      <c r="G1101" s="16" t="str">
        <f>"533.42"</f>
        <v>533.42</v>
      </c>
      <c r="H1101" s="17" t="s">
        <v>54</v>
      </c>
      <c r="I1101" s="18">
        <v>2</v>
      </c>
      <c r="J1101" s="18">
        <v>2016</v>
      </c>
      <c r="K1101" s="18" t="str">
        <f>"660.41"</f>
        <v>660.41</v>
      </c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 t="str">
        <f>"493.42"</f>
        <v>493.42</v>
      </c>
      <c r="AD1101" s="18"/>
      <c r="AE1101" s="18"/>
      <c r="AF1101" s="18"/>
      <c r="AG1101" s="18"/>
      <c r="AH1101" s="18"/>
      <c r="AI1101" s="18"/>
    </row>
    <row r="1102" spans="1:35">
      <c r="A1102" s="14">
        <v>1100</v>
      </c>
      <c r="B1102" s="14">
        <v>10535</v>
      </c>
      <c r="C1102" s="14" t="s">
        <v>1289</v>
      </c>
      <c r="D1102" s="14" t="s">
        <v>76</v>
      </c>
      <c r="E1102" s="15" t="str">
        <f>"494.23"</f>
        <v>494.23</v>
      </c>
      <c r="F1102" s="15"/>
      <c r="G1102" s="16" t="str">
        <f>"534.23"</f>
        <v>534.23</v>
      </c>
      <c r="H1102" s="17" t="s">
        <v>48</v>
      </c>
      <c r="I1102" s="18">
        <v>1</v>
      </c>
      <c r="J1102" s="18">
        <v>2016</v>
      </c>
      <c r="K1102" s="18" t="str">
        <f>"494.23"</f>
        <v>494.23</v>
      </c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</row>
    <row r="1103" spans="1:35">
      <c r="A1103" s="14">
        <v>1101</v>
      </c>
      <c r="B1103" s="14">
        <v>10765</v>
      </c>
      <c r="C1103" s="14" t="s">
        <v>1290</v>
      </c>
      <c r="D1103" s="14" t="s">
        <v>98</v>
      </c>
      <c r="E1103" s="15" t="str">
        <f>"534.52"</f>
        <v>534.52</v>
      </c>
      <c r="F1103" s="15"/>
      <c r="G1103" s="16" t="str">
        <f>"534.52"</f>
        <v>534.52</v>
      </c>
      <c r="H1103" s="17"/>
      <c r="I1103" s="18">
        <v>5</v>
      </c>
      <c r="J1103" s="18">
        <v>2016</v>
      </c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 t="str">
        <f>"609.66"</f>
        <v>609.66</v>
      </c>
      <c r="AA1103" s="18"/>
      <c r="AB1103" s="18"/>
      <c r="AC1103" s="18"/>
      <c r="AD1103" s="18"/>
      <c r="AE1103" s="18"/>
      <c r="AF1103" s="18"/>
      <c r="AG1103" s="18" t="str">
        <f>"558.71"</f>
        <v>558.71</v>
      </c>
      <c r="AH1103" s="18"/>
      <c r="AI1103" s="18" t="str">
        <f>"510.32"</f>
        <v>510.32</v>
      </c>
    </row>
    <row r="1104" spans="1:35">
      <c r="A1104" s="14">
        <v>1102</v>
      </c>
      <c r="B1104" s="14">
        <v>10625</v>
      </c>
      <c r="C1104" s="14" t="s">
        <v>1291</v>
      </c>
      <c r="D1104" s="14" t="s">
        <v>76</v>
      </c>
      <c r="E1104" s="15" t="str">
        <f>"494.75"</f>
        <v>494.75</v>
      </c>
      <c r="F1104" s="15"/>
      <c r="G1104" s="16" t="str">
        <f>"534.75"</f>
        <v>534.75</v>
      </c>
      <c r="H1104" s="17" t="s">
        <v>48</v>
      </c>
      <c r="I1104" s="18">
        <v>1</v>
      </c>
      <c r="J1104" s="18">
        <v>2016</v>
      </c>
      <c r="K1104" s="18" t="str">
        <f>"494.75"</f>
        <v>494.75</v>
      </c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</row>
    <row r="1105" spans="1:35">
      <c r="A1105" s="14">
        <v>1103</v>
      </c>
      <c r="B1105" s="14">
        <v>10717</v>
      </c>
      <c r="C1105" s="14" t="s">
        <v>1292</v>
      </c>
      <c r="D1105" s="14" t="s">
        <v>98</v>
      </c>
      <c r="E1105" s="15" t="str">
        <f>"534.93"</f>
        <v>534.93</v>
      </c>
      <c r="F1105" s="15"/>
      <c r="G1105" s="16" t="str">
        <f>"534.93"</f>
        <v>534.93</v>
      </c>
      <c r="H1105" s="17" t="s">
        <v>54</v>
      </c>
      <c r="I1105" s="18">
        <v>4</v>
      </c>
      <c r="J1105" s="18">
        <v>2016</v>
      </c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 t="str">
        <f>"494.93"</f>
        <v>494.93</v>
      </c>
      <c r="AA1105" s="18"/>
      <c r="AB1105" s="18"/>
      <c r="AC1105" s="18"/>
      <c r="AD1105" s="18"/>
      <c r="AE1105" s="18"/>
      <c r="AF1105" s="18"/>
      <c r="AG1105" s="18"/>
      <c r="AH1105" s="18"/>
      <c r="AI1105" s="18"/>
    </row>
    <row r="1106" spans="1:35">
      <c r="A1106" s="14">
        <v>1104</v>
      </c>
      <c r="B1106" s="14">
        <v>10770</v>
      </c>
      <c r="C1106" s="14" t="s">
        <v>1293</v>
      </c>
      <c r="D1106" s="14" t="s">
        <v>98</v>
      </c>
      <c r="E1106" s="15" t="str">
        <f>"535.00"</f>
        <v>535.00</v>
      </c>
      <c r="F1106" s="15"/>
      <c r="G1106" s="16" t="str">
        <f>"535.00"</f>
        <v>535.00</v>
      </c>
      <c r="H1106" s="17"/>
      <c r="I1106" s="18">
        <v>5</v>
      </c>
      <c r="J1106" s="18">
        <v>2016</v>
      </c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 t="str">
        <f>"531.49"</f>
        <v>531.49</v>
      </c>
      <c r="AA1106" s="18"/>
      <c r="AB1106" s="18"/>
      <c r="AC1106" s="18"/>
      <c r="AD1106" s="18"/>
      <c r="AE1106" s="18"/>
      <c r="AF1106" s="18"/>
      <c r="AG1106" s="18"/>
      <c r="AH1106" s="18"/>
      <c r="AI1106" s="18" t="str">
        <f>"538.51"</f>
        <v>538.51</v>
      </c>
    </row>
    <row r="1107" spans="1:35">
      <c r="A1107" s="14">
        <v>1105</v>
      </c>
      <c r="B1107" s="14">
        <v>10392</v>
      </c>
      <c r="C1107" s="14" t="s">
        <v>1294</v>
      </c>
      <c r="D1107" s="14" t="s">
        <v>98</v>
      </c>
      <c r="E1107" s="15" t="str">
        <f>"535.84"</f>
        <v>535.84</v>
      </c>
      <c r="F1107" s="15"/>
      <c r="G1107" s="16" t="str">
        <f>"535.84"</f>
        <v>535.84</v>
      </c>
      <c r="H1107" s="17" t="s">
        <v>54</v>
      </c>
      <c r="I1107" s="18">
        <v>4</v>
      </c>
      <c r="J1107" s="18">
        <v>2016</v>
      </c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 t="str">
        <f>"495.84"</f>
        <v>495.84</v>
      </c>
      <c r="AA1107" s="18"/>
      <c r="AB1107" s="18"/>
      <c r="AC1107" s="18"/>
      <c r="AD1107" s="18"/>
      <c r="AE1107" s="18"/>
      <c r="AF1107" s="18"/>
      <c r="AG1107" s="18"/>
      <c r="AH1107" s="18"/>
      <c r="AI1107" s="18"/>
    </row>
    <row r="1108" spans="1:35">
      <c r="A1108" s="14">
        <v>1106</v>
      </c>
      <c r="B1108" s="14">
        <v>10778</v>
      </c>
      <c r="C1108" s="14" t="s">
        <v>1295</v>
      </c>
      <c r="D1108" s="14" t="s">
        <v>98</v>
      </c>
      <c r="E1108" s="15" t="str">
        <f>"536.58"</f>
        <v>536.58</v>
      </c>
      <c r="F1108" s="15"/>
      <c r="G1108" s="16" t="str">
        <f>"536.58"</f>
        <v>536.58</v>
      </c>
      <c r="H1108" s="17"/>
      <c r="I1108" s="18">
        <v>5</v>
      </c>
      <c r="J1108" s="18">
        <v>2016</v>
      </c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 t="str">
        <f>"542.01"</f>
        <v>542.01</v>
      </c>
      <c r="AA1108" s="18"/>
      <c r="AB1108" s="18"/>
      <c r="AC1108" s="18"/>
      <c r="AD1108" s="18"/>
      <c r="AE1108" s="18"/>
      <c r="AF1108" s="18"/>
      <c r="AG1108" s="18"/>
      <c r="AH1108" s="18"/>
      <c r="AI1108" s="18" t="str">
        <f>"531.14"</f>
        <v>531.14</v>
      </c>
    </row>
    <row r="1109" spans="1:35">
      <c r="A1109" s="14">
        <v>1107</v>
      </c>
      <c r="B1109" s="14">
        <v>10381</v>
      </c>
      <c r="C1109" s="14" t="s">
        <v>1296</v>
      </c>
      <c r="D1109" s="14" t="s">
        <v>98</v>
      </c>
      <c r="E1109" s="15" t="str">
        <f>"537.03"</f>
        <v>537.03</v>
      </c>
      <c r="F1109" s="15"/>
      <c r="G1109" s="16" t="str">
        <f>"537.03"</f>
        <v>537.03</v>
      </c>
      <c r="H1109" s="17"/>
      <c r="I1109" s="18">
        <v>5</v>
      </c>
      <c r="J1109" s="18">
        <v>2016</v>
      </c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 t="str">
        <f>"605.08"</f>
        <v>605.08</v>
      </c>
      <c r="AA1109" s="18"/>
      <c r="AB1109" s="18"/>
      <c r="AC1109" s="18"/>
      <c r="AD1109" s="18"/>
      <c r="AE1109" s="18"/>
      <c r="AF1109" s="18"/>
      <c r="AG1109" s="18"/>
      <c r="AH1109" s="18"/>
      <c r="AI1109" s="18" t="str">
        <f>"468.97"</f>
        <v>468.97</v>
      </c>
    </row>
    <row r="1110" spans="1:35">
      <c r="A1110" s="14">
        <v>1108</v>
      </c>
      <c r="B1110" s="14">
        <v>10179</v>
      </c>
      <c r="C1110" s="14" t="s">
        <v>1297</v>
      </c>
      <c r="D1110" s="14" t="s">
        <v>98</v>
      </c>
      <c r="E1110" s="15" t="str">
        <f>"654.02"</f>
        <v>654.02</v>
      </c>
      <c r="F1110" s="15"/>
      <c r="G1110" s="16" t="str">
        <f>"537.21"</f>
        <v>537.21</v>
      </c>
      <c r="H1110" s="17" t="s">
        <v>54</v>
      </c>
      <c r="I1110" s="18">
        <v>2</v>
      </c>
      <c r="J1110" s="18">
        <v>2016</v>
      </c>
      <c r="K1110" s="18" t="str">
        <f>"810.83"</f>
        <v>810.83</v>
      </c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 t="str">
        <f>"497.21"</f>
        <v>497.21</v>
      </c>
      <c r="AA1110" s="18"/>
      <c r="AB1110" s="18"/>
      <c r="AC1110" s="18"/>
      <c r="AD1110" s="18"/>
      <c r="AE1110" s="18"/>
      <c r="AF1110" s="18"/>
      <c r="AG1110" s="18"/>
      <c r="AH1110" s="18"/>
      <c r="AI1110" s="18"/>
    </row>
    <row r="1111" spans="1:35">
      <c r="A1111" s="14">
        <v>1109</v>
      </c>
      <c r="B1111" s="14">
        <v>10850</v>
      </c>
      <c r="C1111" s="14" t="s">
        <v>1298</v>
      </c>
      <c r="D1111" s="14" t="s">
        <v>76</v>
      </c>
      <c r="E1111" s="15" t="str">
        <f>"537.33"</f>
        <v>537.33</v>
      </c>
      <c r="F1111" s="15"/>
      <c r="G1111" s="16" t="str">
        <f>"537.33"</f>
        <v>537.33</v>
      </c>
      <c r="H1111" s="17" t="s">
        <v>54</v>
      </c>
      <c r="I1111" s="18">
        <v>4</v>
      </c>
      <c r="J1111" s="18">
        <v>2016</v>
      </c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 t="str">
        <f>"497.33"</f>
        <v>497.33</v>
      </c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</row>
    <row r="1112" spans="1:35">
      <c r="A1112" s="14">
        <v>1110</v>
      </c>
      <c r="B1112" s="14">
        <v>8307</v>
      </c>
      <c r="C1112" s="14" t="s">
        <v>1299</v>
      </c>
      <c r="D1112" s="14" t="s">
        <v>911</v>
      </c>
      <c r="E1112" s="15" t="str">
        <f>"498.68"</f>
        <v>498.68</v>
      </c>
      <c r="F1112" s="15"/>
      <c r="G1112" s="16" t="str">
        <f>"538.68"</f>
        <v>538.68</v>
      </c>
      <c r="H1112" s="17" t="s">
        <v>48</v>
      </c>
      <c r="I1112" s="18">
        <v>1</v>
      </c>
      <c r="J1112" s="18">
        <v>2016</v>
      </c>
      <c r="K1112" s="18" t="str">
        <f>"498.68"</f>
        <v>498.68</v>
      </c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</row>
    <row r="1113" spans="1:35">
      <c r="A1113" s="14">
        <v>1111</v>
      </c>
      <c r="B1113" s="14">
        <v>10193</v>
      </c>
      <c r="C1113" s="14" t="s">
        <v>1300</v>
      </c>
      <c r="D1113" s="14" t="s">
        <v>76</v>
      </c>
      <c r="E1113" s="15" t="str">
        <f>"603.18"</f>
        <v>603.18</v>
      </c>
      <c r="F1113" s="15"/>
      <c r="G1113" s="16" t="str">
        <f>"540.84"</f>
        <v>540.84</v>
      </c>
      <c r="H1113" s="17" t="s">
        <v>54</v>
      </c>
      <c r="I1113" s="18">
        <v>2</v>
      </c>
      <c r="J1113" s="18">
        <v>2016</v>
      </c>
      <c r="K1113" s="18" t="str">
        <f>"705.52"</f>
        <v>705.52</v>
      </c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 t="str">
        <f>"500.84"</f>
        <v>500.84</v>
      </c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</row>
    <row r="1114" spans="1:35">
      <c r="A1114" s="14">
        <v>1112</v>
      </c>
      <c r="B1114" s="14">
        <v>5743</v>
      </c>
      <c r="C1114" s="14" t="s">
        <v>1301</v>
      </c>
      <c r="D1114" s="14" t="s">
        <v>76</v>
      </c>
      <c r="E1114" s="15" t="str">
        <f>"504.29"</f>
        <v>504.29</v>
      </c>
      <c r="F1114" s="15"/>
      <c r="G1114" s="16" t="str">
        <f>"544.29"</f>
        <v>544.29</v>
      </c>
      <c r="H1114" s="17" t="s">
        <v>48</v>
      </c>
      <c r="I1114" s="18">
        <v>1</v>
      </c>
      <c r="J1114" s="18">
        <v>2016</v>
      </c>
      <c r="K1114" s="18" t="str">
        <f>"504.29"</f>
        <v>504.29</v>
      </c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</row>
    <row r="1115" spans="1:35">
      <c r="A1115" s="14">
        <v>1113</v>
      </c>
      <c r="B1115" s="14">
        <v>10506</v>
      </c>
      <c r="C1115" s="14" t="s">
        <v>1302</v>
      </c>
      <c r="D1115" s="14" t="s">
        <v>98</v>
      </c>
      <c r="E1115" s="15" t="str">
        <f>"681.32"</f>
        <v>681.32</v>
      </c>
      <c r="F1115" s="15"/>
      <c r="G1115" s="16" t="str">
        <f>"548.18"</f>
        <v>548.18</v>
      </c>
      <c r="H1115" s="17" t="s">
        <v>54</v>
      </c>
      <c r="I1115" s="18">
        <v>2</v>
      </c>
      <c r="J1115" s="18">
        <v>2016</v>
      </c>
      <c r="K1115" s="18" t="str">
        <f>"854.46"</f>
        <v>854.46</v>
      </c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 t="str">
        <f>"508.18"</f>
        <v>508.18</v>
      </c>
      <c r="AA1115" s="18"/>
      <c r="AB1115" s="18"/>
      <c r="AC1115" s="18"/>
      <c r="AD1115" s="18"/>
      <c r="AE1115" s="18"/>
      <c r="AF1115" s="18"/>
      <c r="AG1115" s="18"/>
      <c r="AH1115" s="18"/>
      <c r="AI1115" s="18"/>
    </row>
    <row r="1116" spans="1:35">
      <c r="A1116" s="14">
        <v>1114</v>
      </c>
      <c r="B1116" s="14">
        <v>11055</v>
      </c>
      <c r="C1116" s="14" t="s">
        <v>1303</v>
      </c>
      <c r="D1116" s="14" t="s">
        <v>330</v>
      </c>
      <c r="E1116" s="15" t="str">
        <f>"548.45"</f>
        <v>548.45</v>
      </c>
      <c r="F1116" s="15"/>
      <c r="G1116" s="16" t="str">
        <f>"548.45"</f>
        <v>548.45</v>
      </c>
      <c r="H1116" s="17"/>
      <c r="I1116" s="18">
        <v>5</v>
      </c>
      <c r="J1116" s="18">
        <v>2016</v>
      </c>
      <c r="K1116" s="18"/>
      <c r="L1116" s="18"/>
      <c r="M1116" s="18"/>
      <c r="N1116" s="18"/>
      <c r="O1116" s="18"/>
      <c r="P1116" s="18" t="str">
        <f>"621.41"</f>
        <v>621.41</v>
      </c>
      <c r="Q1116" s="18"/>
      <c r="R1116" s="18" t="str">
        <f>"475.48"</f>
        <v>475.48</v>
      </c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</row>
    <row r="1117" spans="1:35">
      <c r="A1117" s="14">
        <v>1115</v>
      </c>
      <c r="B1117" s="14">
        <v>10805</v>
      </c>
      <c r="C1117" s="14" t="s">
        <v>1304</v>
      </c>
      <c r="D1117" s="14" t="s">
        <v>98</v>
      </c>
      <c r="E1117" s="15" t="str">
        <f>"550.47"</f>
        <v>550.47</v>
      </c>
      <c r="F1117" s="15"/>
      <c r="G1117" s="16" t="str">
        <f>"550.47"</f>
        <v>550.47</v>
      </c>
      <c r="H1117" s="17" t="s">
        <v>54</v>
      </c>
      <c r="I1117" s="18">
        <v>4</v>
      </c>
      <c r="J1117" s="18">
        <v>2016</v>
      </c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 t="str">
        <f>"510.47"</f>
        <v>510.47</v>
      </c>
      <c r="AA1117" s="18"/>
      <c r="AB1117" s="18"/>
      <c r="AC1117" s="18"/>
      <c r="AD1117" s="18"/>
      <c r="AE1117" s="18"/>
      <c r="AF1117" s="18"/>
      <c r="AG1117" s="18"/>
      <c r="AH1117" s="18"/>
      <c r="AI1117" s="18"/>
    </row>
    <row r="1118" spans="1:35">
      <c r="A1118" s="14">
        <v>1116</v>
      </c>
      <c r="B1118" s="14">
        <v>10522</v>
      </c>
      <c r="C1118" s="14" t="s">
        <v>1305</v>
      </c>
      <c r="D1118" s="14" t="s">
        <v>330</v>
      </c>
      <c r="E1118" s="15" t="str">
        <f>"550.61"</f>
        <v>550.61</v>
      </c>
      <c r="F1118" s="15"/>
      <c r="G1118" s="16" t="str">
        <f>"550.61"</f>
        <v>550.61</v>
      </c>
      <c r="H1118" s="17"/>
      <c r="I1118" s="18">
        <v>3</v>
      </c>
      <c r="J1118" s="18">
        <v>2016</v>
      </c>
      <c r="K1118" s="18" t="str">
        <f>"813.56"</f>
        <v>813.56</v>
      </c>
      <c r="L1118" s="18"/>
      <c r="M1118" s="18"/>
      <c r="N1118" s="18"/>
      <c r="O1118" s="18"/>
      <c r="P1118" s="18" t="str">
        <f>"668.75"</f>
        <v>668.75</v>
      </c>
      <c r="Q1118" s="18"/>
      <c r="R1118" s="18" t="str">
        <f>"432.47"</f>
        <v>432.47</v>
      </c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</row>
    <row r="1119" spans="1:35">
      <c r="A1119" s="14">
        <v>1117</v>
      </c>
      <c r="B1119" s="14">
        <v>10875</v>
      </c>
      <c r="C1119" s="14" t="s">
        <v>1306</v>
      </c>
      <c r="D1119" s="14" t="s">
        <v>76</v>
      </c>
      <c r="E1119" s="15" t="str">
        <f>"551.11"</f>
        <v>551.11</v>
      </c>
      <c r="F1119" s="15"/>
      <c r="G1119" s="16" t="str">
        <f>"551.11"</f>
        <v>551.11</v>
      </c>
      <c r="H1119" s="17" t="s">
        <v>54</v>
      </c>
      <c r="I1119" s="18">
        <v>4</v>
      </c>
      <c r="J1119" s="18">
        <v>2016</v>
      </c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 t="str">
        <f>"511.11"</f>
        <v>511.11</v>
      </c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</row>
    <row r="1120" spans="1:35">
      <c r="A1120" s="14">
        <v>1118</v>
      </c>
      <c r="B1120" s="14">
        <v>10289</v>
      </c>
      <c r="C1120" s="14" t="s">
        <v>1307</v>
      </c>
      <c r="D1120" s="14" t="s">
        <v>39</v>
      </c>
      <c r="E1120" s="15" t="str">
        <f>"511.94"</f>
        <v>511.94</v>
      </c>
      <c r="F1120" s="15"/>
      <c r="G1120" s="16" t="str">
        <f>"551.94"</f>
        <v>551.94</v>
      </c>
      <c r="H1120" s="17" t="s">
        <v>48</v>
      </c>
      <c r="I1120" s="18">
        <v>1</v>
      </c>
      <c r="J1120" s="18">
        <v>2016</v>
      </c>
      <c r="K1120" s="18" t="str">
        <f>"511.94"</f>
        <v>511.94</v>
      </c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</row>
    <row r="1121" spans="1:35">
      <c r="A1121" s="14">
        <v>1119</v>
      </c>
      <c r="B1121" s="14">
        <v>10723</v>
      </c>
      <c r="C1121" s="14" t="s">
        <v>1308</v>
      </c>
      <c r="D1121" s="14" t="s">
        <v>98</v>
      </c>
      <c r="E1121" s="15" t="str">
        <f>"552.06"</f>
        <v>552.06</v>
      </c>
      <c r="F1121" s="15"/>
      <c r="G1121" s="16" t="str">
        <f>"552.06"</f>
        <v>552.06</v>
      </c>
      <c r="H1121" s="17" t="s">
        <v>54</v>
      </c>
      <c r="I1121" s="18">
        <v>4</v>
      </c>
      <c r="J1121" s="18">
        <v>2016</v>
      </c>
      <c r="K1121" s="18"/>
      <c r="L1121" s="18"/>
      <c r="M1121" s="18"/>
      <c r="N1121" s="18"/>
      <c r="O1121" s="18"/>
      <c r="P1121" s="18"/>
      <c r="Q1121" s="18" t="str">
        <f>"512.06"</f>
        <v>512.06</v>
      </c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</row>
    <row r="1122" spans="1:35">
      <c r="A1122" s="14">
        <v>1120</v>
      </c>
      <c r="B1122" s="14">
        <v>10718</v>
      </c>
      <c r="C1122" s="14" t="s">
        <v>1309</v>
      </c>
      <c r="D1122" s="14" t="s">
        <v>98</v>
      </c>
      <c r="E1122" s="15" t="str">
        <f>"553.67"</f>
        <v>553.67</v>
      </c>
      <c r="F1122" s="15"/>
      <c r="G1122" s="16" t="str">
        <f>"553.67"</f>
        <v>553.67</v>
      </c>
      <c r="H1122" s="17" t="s">
        <v>54</v>
      </c>
      <c r="I1122" s="18">
        <v>4</v>
      </c>
      <c r="J1122" s="18">
        <v>2016</v>
      </c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 t="str">
        <f>"513.67"</f>
        <v>513.67</v>
      </c>
      <c r="AA1122" s="18"/>
      <c r="AB1122" s="18"/>
      <c r="AC1122" s="18"/>
      <c r="AD1122" s="18"/>
      <c r="AE1122" s="18"/>
      <c r="AF1122" s="18"/>
      <c r="AG1122" s="18"/>
      <c r="AH1122" s="18"/>
      <c r="AI1122" s="18"/>
    </row>
    <row r="1123" spans="1:35">
      <c r="A1123" s="14">
        <v>1121</v>
      </c>
      <c r="B1123" s="14">
        <v>10790</v>
      </c>
      <c r="C1123" s="14" t="s">
        <v>1310</v>
      </c>
      <c r="D1123" s="14" t="s">
        <v>98</v>
      </c>
      <c r="E1123" s="15" t="str">
        <f>"553.67"</f>
        <v>553.67</v>
      </c>
      <c r="F1123" s="15"/>
      <c r="G1123" s="16" t="str">
        <f>"553.67"</f>
        <v>553.67</v>
      </c>
      <c r="H1123" s="17" t="s">
        <v>54</v>
      </c>
      <c r="I1123" s="18">
        <v>4</v>
      </c>
      <c r="J1123" s="18">
        <v>2016</v>
      </c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 t="str">
        <f>"513.67"</f>
        <v>513.67</v>
      </c>
      <c r="AA1123" s="18"/>
      <c r="AB1123" s="18"/>
      <c r="AC1123" s="18"/>
      <c r="AD1123" s="18"/>
      <c r="AE1123" s="18"/>
      <c r="AF1123" s="18"/>
      <c r="AG1123" s="18"/>
      <c r="AH1123" s="18"/>
      <c r="AI1123" s="18"/>
    </row>
    <row r="1124" spans="1:35">
      <c r="A1124" s="14">
        <v>1122</v>
      </c>
      <c r="B1124" s="14">
        <v>1393</v>
      </c>
      <c r="C1124" s="14" t="s">
        <v>1311</v>
      </c>
      <c r="D1124" s="14" t="s">
        <v>1312</v>
      </c>
      <c r="E1124" s="15" t="str">
        <f>"516.67"</f>
        <v>516.67</v>
      </c>
      <c r="F1124" s="15"/>
      <c r="G1124" s="16" t="str">
        <f>"556.67"</f>
        <v>556.67</v>
      </c>
      <c r="H1124" s="17" t="s">
        <v>48</v>
      </c>
      <c r="I1124" s="18">
        <v>1</v>
      </c>
      <c r="J1124" s="18">
        <v>2016</v>
      </c>
      <c r="K1124" s="18" t="str">
        <f>"516.67"</f>
        <v>516.67</v>
      </c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</row>
    <row r="1125" spans="1:35">
      <c r="A1125" s="14">
        <v>1123</v>
      </c>
      <c r="B1125" s="14">
        <v>10394</v>
      </c>
      <c r="C1125" s="14" t="s">
        <v>1313</v>
      </c>
      <c r="D1125" s="14" t="s">
        <v>98</v>
      </c>
      <c r="E1125" s="15" t="str">
        <f>"559.14"</f>
        <v>559.14</v>
      </c>
      <c r="F1125" s="15"/>
      <c r="G1125" s="16" t="str">
        <f>"559.14"</f>
        <v>559.14</v>
      </c>
      <c r="H1125" s="17"/>
      <c r="I1125" s="18">
        <v>3</v>
      </c>
      <c r="J1125" s="18">
        <v>2016</v>
      </c>
      <c r="K1125" s="18" t="str">
        <f>"863.66"</f>
        <v>863.66</v>
      </c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 t="str">
        <f>"587.72"</f>
        <v>587.72</v>
      </c>
      <c r="AA1125" s="18"/>
      <c r="AB1125" s="18"/>
      <c r="AC1125" s="18"/>
      <c r="AD1125" s="18"/>
      <c r="AE1125" s="18"/>
      <c r="AF1125" s="18"/>
      <c r="AG1125" s="18"/>
      <c r="AH1125" s="18"/>
      <c r="AI1125" s="18" t="str">
        <f>"530.56"</f>
        <v>530.56</v>
      </c>
    </row>
    <row r="1126" spans="1:35">
      <c r="A1126" s="14">
        <v>1124</v>
      </c>
      <c r="B1126" s="14">
        <v>10160</v>
      </c>
      <c r="C1126" s="14" t="s">
        <v>1314</v>
      </c>
      <c r="D1126" s="14" t="s">
        <v>98</v>
      </c>
      <c r="E1126" s="15" t="str">
        <f>"520.36"</f>
        <v>520.36</v>
      </c>
      <c r="F1126" s="15"/>
      <c r="G1126" s="16" t="str">
        <f>"560.36"</f>
        <v>560.36</v>
      </c>
      <c r="H1126" s="17" t="s">
        <v>48</v>
      </c>
      <c r="I1126" s="18">
        <v>1</v>
      </c>
      <c r="J1126" s="18">
        <v>2016</v>
      </c>
      <c r="K1126" s="18" t="str">
        <f>"520.36"</f>
        <v>520.36</v>
      </c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</row>
    <row r="1127" spans="1:35">
      <c r="A1127" s="14">
        <v>1125</v>
      </c>
      <c r="B1127" s="14">
        <v>10449</v>
      </c>
      <c r="C1127" s="14" t="s">
        <v>1315</v>
      </c>
      <c r="D1127" s="14" t="s">
        <v>98</v>
      </c>
      <c r="E1127" s="15" t="str">
        <f>"561.84"</f>
        <v>561.84</v>
      </c>
      <c r="F1127" s="15"/>
      <c r="G1127" s="16" t="str">
        <f>"561.84"</f>
        <v>561.84</v>
      </c>
      <c r="H1127" s="17"/>
      <c r="I1127" s="18">
        <v>3</v>
      </c>
      <c r="J1127" s="18">
        <v>2016</v>
      </c>
      <c r="K1127" s="18" t="str">
        <f>"969.84"</f>
        <v>969.84</v>
      </c>
      <c r="L1127" s="18"/>
      <c r="M1127" s="18"/>
      <c r="N1127" s="18"/>
      <c r="O1127" s="18"/>
      <c r="P1127" s="18"/>
      <c r="Q1127" s="18"/>
      <c r="R1127" s="18"/>
      <c r="S1127" s="18"/>
      <c r="T1127" s="18"/>
      <c r="U1127" s="18" t="str">
        <f>"703.26"</f>
        <v>703.26</v>
      </c>
      <c r="V1127" s="18"/>
      <c r="W1127" s="18"/>
      <c r="X1127" s="18"/>
      <c r="Y1127" s="18"/>
      <c r="Z1127" s="18" t="str">
        <f>"420.42"</f>
        <v>420.42</v>
      </c>
      <c r="AA1127" s="18"/>
      <c r="AB1127" s="18"/>
      <c r="AC1127" s="18"/>
      <c r="AD1127" s="18"/>
      <c r="AE1127" s="18"/>
      <c r="AF1127" s="18"/>
      <c r="AG1127" s="18"/>
      <c r="AH1127" s="18"/>
      <c r="AI1127" s="18"/>
    </row>
    <row r="1128" spans="1:35">
      <c r="A1128" s="14">
        <v>1126</v>
      </c>
      <c r="B1128" s="14">
        <v>10865</v>
      </c>
      <c r="C1128" s="14" t="s">
        <v>1316</v>
      </c>
      <c r="D1128" s="14" t="s">
        <v>76</v>
      </c>
      <c r="E1128" s="15" t="str">
        <f>"563.81"</f>
        <v>563.81</v>
      </c>
      <c r="F1128" s="15"/>
      <c r="G1128" s="16" t="str">
        <f>"563.81"</f>
        <v>563.81</v>
      </c>
      <c r="H1128" s="17"/>
      <c r="I1128" s="18">
        <v>5</v>
      </c>
      <c r="J1128" s="18">
        <v>2016</v>
      </c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 t="str">
        <f>"580.70"</f>
        <v>580.70</v>
      </c>
      <c r="Y1128" s="18"/>
      <c r="Z1128" s="18"/>
      <c r="AA1128" s="18"/>
      <c r="AB1128" s="18"/>
      <c r="AC1128" s="18" t="str">
        <f>"546.91"</f>
        <v>546.91</v>
      </c>
      <c r="AD1128" s="18"/>
      <c r="AE1128" s="18"/>
      <c r="AF1128" s="18"/>
      <c r="AG1128" s="18"/>
      <c r="AH1128" s="18"/>
      <c r="AI1128" s="18"/>
    </row>
    <row r="1129" spans="1:35">
      <c r="A1129" s="14">
        <v>1127</v>
      </c>
      <c r="B1129" s="14">
        <v>10460</v>
      </c>
      <c r="C1129" s="14" t="s">
        <v>1317</v>
      </c>
      <c r="D1129" s="14" t="s">
        <v>98</v>
      </c>
      <c r="E1129" s="15" t="str">
        <f>"568.29"</f>
        <v>568.29</v>
      </c>
      <c r="F1129" s="15"/>
      <c r="G1129" s="16" t="str">
        <f>"568.29"</f>
        <v>568.29</v>
      </c>
      <c r="H1129" s="17" t="s">
        <v>54</v>
      </c>
      <c r="I1129" s="18">
        <v>4</v>
      </c>
      <c r="J1129" s="18">
        <v>2016</v>
      </c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 t="str">
        <f>"528.29"</f>
        <v>528.29</v>
      </c>
      <c r="AA1129" s="18"/>
      <c r="AB1129" s="18"/>
      <c r="AC1129" s="18"/>
      <c r="AD1129" s="18"/>
      <c r="AE1129" s="18"/>
      <c r="AF1129" s="18"/>
      <c r="AG1129" s="18"/>
      <c r="AH1129" s="18"/>
      <c r="AI1129" s="18"/>
    </row>
    <row r="1130" spans="1:35">
      <c r="A1130" s="14">
        <v>1128</v>
      </c>
      <c r="B1130" s="14">
        <v>10941</v>
      </c>
      <c r="C1130" s="14" t="s">
        <v>1318</v>
      </c>
      <c r="D1130" s="14" t="s">
        <v>76</v>
      </c>
      <c r="E1130" s="15" t="str">
        <f>"568.41"</f>
        <v>568.41</v>
      </c>
      <c r="F1130" s="15"/>
      <c r="G1130" s="16" t="str">
        <f>"568.41"</f>
        <v>568.41</v>
      </c>
      <c r="H1130" s="17" t="s">
        <v>54</v>
      </c>
      <c r="I1130" s="18">
        <v>4</v>
      </c>
      <c r="J1130" s="18">
        <v>2016</v>
      </c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 t="str">
        <f>"528.41"</f>
        <v>528.41</v>
      </c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</row>
    <row r="1131" spans="1:35">
      <c r="A1131" s="14">
        <v>1129</v>
      </c>
      <c r="B1131" s="14">
        <v>10401</v>
      </c>
      <c r="C1131" s="14" t="s">
        <v>1319</v>
      </c>
      <c r="D1131" s="14" t="s">
        <v>98</v>
      </c>
      <c r="E1131" s="15" t="str">
        <f>"571.04"</f>
        <v>571.04</v>
      </c>
      <c r="F1131" s="15"/>
      <c r="G1131" s="16" t="str">
        <f>"571.04"</f>
        <v>571.04</v>
      </c>
      <c r="H1131" s="17" t="s">
        <v>54</v>
      </c>
      <c r="I1131" s="18">
        <v>4</v>
      </c>
      <c r="J1131" s="18">
        <v>2016</v>
      </c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 t="str">
        <f>"531.04"</f>
        <v>531.04</v>
      </c>
      <c r="AA1131" s="18"/>
      <c r="AB1131" s="18"/>
      <c r="AC1131" s="18"/>
      <c r="AD1131" s="18"/>
      <c r="AE1131" s="18"/>
      <c r="AF1131" s="18"/>
      <c r="AG1131" s="18"/>
      <c r="AH1131" s="18"/>
      <c r="AI1131" s="18"/>
    </row>
    <row r="1132" spans="1:35">
      <c r="A1132" s="14">
        <v>1130</v>
      </c>
      <c r="B1132" s="14">
        <v>10705</v>
      </c>
      <c r="C1132" s="14" t="s">
        <v>1320</v>
      </c>
      <c r="D1132" s="14" t="s">
        <v>39</v>
      </c>
      <c r="E1132" s="15" t="str">
        <f>"571.16"</f>
        <v>571.16</v>
      </c>
      <c r="F1132" s="15"/>
      <c r="G1132" s="16" t="str">
        <f>"571.16"</f>
        <v>571.16</v>
      </c>
      <c r="H1132" s="17" t="s">
        <v>54</v>
      </c>
      <c r="I1132" s="18">
        <v>4</v>
      </c>
      <c r="J1132" s="18">
        <v>2016</v>
      </c>
      <c r="K1132" s="18"/>
      <c r="L1132" s="18"/>
      <c r="M1132" s="18"/>
      <c r="N1132" s="18"/>
      <c r="O1132" s="18"/>
      <c r="P1132" s="18" t="str">
        <f>"531.16"</f>
        <v>531.16</v>
      </c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</row>
    <row r="1133" spans="1:35">
      <c r="A1133" s="14">
        <v>1131</v>
      </c>
      <c r="B1133" s="14">
        <v>10174</v>
      </c>
      <c r="C1133" s="14" t="s">
        <v>1321</v>
      </c>
      <c r="D1133" s="14" t="s">
        <v>76</v>
      </c>
      <c r="E1133" s="15" t="str">
        <f>"531.25"</f>
        <v>531.25</v>
      </c>
      <c r="F1133" s="15"/>
      <c r="G1133" s="16" t="str">
        <f>"571.25"</f>
        <v>571.25</v>
      </c>
      <c r="H1133" s="17" t="s">
        <v>48</v>
      </c>
      <c r="I1133" s="18">
        <v>1</v>
      </c>
      <c r="J1133" s="18">
        <v>2016</v>
      </c>
      <c r="K1133" s="18" t="str">
        <f>"531.25"</f>
        <v>531.25</v>
      </c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</row>
    <row r="1134" spans="1:35">
      <c r="A1134" s="14">
        <v>1132</v>
      </c>
      <c r="B1134" s="14">
        <v>3922</v>
      </c>
      <c r="C1134" s="14" t="s">
        <v>1322</v>
      </c>
      <c r="D1134" s="14" t="s">
        <v>81</v>
      </c>
      <c r="E1134" s="15" t="str">
        <f>"338.97"</f>
        <v>338.97</v>
      </c>
      <c r="F1134" s="15"/>
      <c r="G1134" s="16" t="str">
        <f>"572.24"</f>
        <v>572.24</v>
      </c>
      <c r="H1134" s="17" t="s">
        <v>54</v>
      </c>
      <c r="I1134" s="18">
        <v>2</v>
      </c>
      <c r="J1134" s="18">
        <v>2016</v>
      </c>
      <c r="K1134" s="18" t="str">
        <f>"338.97"</f>
        <v>338.97</v>
      </c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 t="str">
        <f>"532.24"</f>
        <v>532.24</v>
      </c>
      <c r="AB1134" s="18"/>
      <c r="AC1134" s="18"/>
      <c r="AD1134" s="18"/>
      <c r="AE1134" s="18"/>
      <c r="AF1134" s="18"/>
      <c r="AG1134" s="18"/>
      <c r="AH1134" s="18"/>
      <c r="AI1134" s="18"/>
    </row>
    <row r="1135" spans="1:35">
      <c r="A1135" s="14">
        <v>1133</v>
      </c>
      <c r="B1135" s="14">
        <v>10553</v>
      </c>
      <c r="C1135" s="14" t="s">
        <v>1323</v>
      </c>
      <c r="D1135" s="14" t="s">
        <v>76</v>
      </c>
      <c r="E1135" s="15" t="str">
        <f>"535.74"</f>
        <v>535.74</v>
      </c>
      <c r="F1135" s="15"/>
      <c r="G1135" s="16" t="str">
        <f>"575.74"</f>
        <v>575.74</v>
      </c>
      <c r="H1135" s="17" t="s">
        <v>48</v>
      </c>
      <c r="I1135" s="18">
        <v>1</v>
      </c>
      <c r="J1135" s="18">
        <v>2016</v>
      </c>
      <c r="K1135" s="18" t="str">
        <f>"535.74"</f>
        <v>535.74</v>
      </c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</row>
    <row r="1136" spans="1:35">
      <c r="A1136" s="14">
        <v>1134</v>
      </c>
      <c r="B1136" s="14">
        <v>10620</v>
      </c>
      <c r="C1136" s="14" t="s">
        <v>1324</v>
      </c>
      <c r="D1136" s="14" t="s">
        <v>76</v>
      </c>
      <c r="E1136" s="15" t="str">
        <f>"595.14"</f>
        <v>595.14</v>
      </c>
      <c r="F1136" s="15"/>
      <c r="G1136" s="16" t="str">
        <f>"576.11"</f>
        <v>576.11</v>
      </c>
      <c r="H1136" s="17" t="s">
        <v>54</v>
      </c>
      <c r="I1136" s="18">
        <v>2</v>
      </c>
      <c r="J1136" s="18">
        <v>2016</v>
      </c>
      <c r="K1136" s="18" t="str">
        <f>"654.17"</f>
        <v>654.17</v>
      </c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 t="str">
        <f>"536.11"</f>
        <v>536.11</v>
      </c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</row>
    <row r="1137" spans="1:35">
      <c r="A1137" s="14">
        <v>1135</v>
      </c>
      <c r="B1137" s="14">
        <v>10439</v>
      </c>
      <c r="C1137" s="14" t="s">
        <v>1325</v>
      </c>
      <c r="D1137" s="14" t="s">
        <v>98</v>
      </c>
      <c r="E1137" s="15" t="str">
        <f>"673.74"</f>
        <v>673.74</v>
      </c>
      <c r="F1137" s="15"/>
      <c r="G1137" s="16" t="str">
        <f>"577.89"</f>
        <v>577.89</v>
      </c>
      <c r="H1137" s="17" t="s">
        <v>54</v>
      </c>
      <c r="I1137" s="18">
        <v>2</v>
      </c>
      <c r="J1137" s="18">
        <v>2016</v>
      </c>
      <c r="K1137" s="18" t="str">
        <f>"809.59"</f>
        <v>809.59</v>
      </c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 t="str">
        <f>"537.89"</f>
        <v>537.89</v>
      </c>
      <c r="AA1137" s="18"/>
      <c r="AB1137" s="18"/>
      <c r="AC1137" s="18"/>
      <c r="AD1137" s="18"/>
      <c r="AE1137" s="18"/>
      <c r="AF1137" s="18"/>
      <c r="AG1137" s="18"/>
      <c r="AH1137" s="18"/>
      <c r="AI1137" s="18"/>
    </row>
    <row r="1138" spans="1:35">
      <c r="A1138" s="14">
        <v>1136</v>
      </c>
      <c r="B1138" s="14">
        <v>2316</v>
      </c>
      <c r="C1138" s="14" t="s">
        <v>1326</v>
      </c>
      <c r="D1138" s="14" t="s">
        <v>76</v>
      </c>
      <c r="E1138" s="15" t="str">
        <f>"538.84"</f>
        <v>538.84</v>
      </c>
      <c r="F1138" s="15"/>
      <c r="G1138" s="16" t="str">
        <f>"578.84"</f>
        <v>578.84</v>
      </c>
      <c r="H1138" s="17" t="s">
        <v>48</v>
      </c>
      <c r="I1138" s="18">
        <v>1</v>
      </c>
      <c r="J1138" s="18">
        <v>2016</v>
      </c>
      <c r="K1138" s="18" t="str">
        <f>"538.84"</f>
        <v>538.84</v>
      </c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</row>
    <row r="1139" spans="1:35">
      <c r="A1139" s="14">
        <v>1137</v>
      </c>
      <c r="B1139" s="14">
        <v>10728</v>
      </c>
      <c r="C1139" s="14" t="s">
        <v>1327</v>
      </c>
      <c r="D1139" s="14" t="s">
        <v>98</v>
      </c>
      <c r="E1139" s="15" t="str">
        <f>"579.35"</f>
        <v>579.35</v>
      </c>
      <c r="F1139" s="15"/>
      <c r="G1139" s="16" t="str">
        <f>"579.35"</f>
        <v>579.35</v>
      </c>
      <c r="H1139" s="17"/>
      <c r="I1139" s="18">
        <v>5</v>
      </c>
      <c r="J1139" s="18">
        <v>2016</v>
      </c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 t="str">
        <f>"711.13"</f>
        <v>711.13</v>
      </c>
      <c r="AA1139" s="18"/>
      <c r="AB1139" s="18"/>
      <c r="AC1139" s="18"/>
      <c r="AD1139" s="18"/>
      <c r="AE1139" s="18"/>
      <c r="AF1139" s="18"/>
      <c r="AG1139" s="18"/>
      <c r="AH1139" s="18"/>
      <c r="AI1139" s="18" t="str">
        <f>"447.57"</f>
        <v>447.57</v>
      </c>
    </row>
    <row r="1140" spans="1:35">
      <c r="A1140" s="14">
        <v>1138</v>
      </c>
      <c r="B1140" s="14">
        <v>10361</v>
      </c>
      <c r="C1140" s="14" t="s">
        <v>1328</v>
      </c>
      <c r="D1140" s="14" t="s">
        <v>148</v>
      </c>
      <c r="E1140" s="15" t="str">
        <f>"579.67"</f>
        <v>579.67</v>
      </c>
      <c r="F1140" s="15"/>
      <c r="G1140" s="16" t="str">
        <f>"579.67"</f>
        <v>579.67</v>
      </c>
      <c r="H1140" s="17" t="s">
        <v>54</v>
      </c>
      <c r="I1140" s="18">
        <v>4</v>
      </c>
      <c r="J1140" s="18">
        <v>2016</v>
      </c>
      <c r="K1140" s="18"/>
      <c r="L1140" s="18"/>
      <c r="M1140" s="18"/>
      <c r="N1140" s="18"/>
      <c r="O1140" s="18"/>
      <c r="P1140" s="18" t="str">
        <f>"539.67"</f>
        <v>539.67</v>
      </c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</row>
    <row r="1141" spans="1:35">
      <c r="A1141" s="14">
        <v>1139</v>
      </c>
      <c r="B1141" s="14">
        <v>10121</v>
      </c>
      <c r="C1141" s="14" t="s">
        <v>1329</v>
      </c>
      <c r="D1141" s="14" t="s">
        <v>98</v>
      </c>
      <c r="E1141" s="15" t="str">
        <f>"580.69"</f>
        <v>580.69</v>
      </c>
      <c r="F1141" s="15"/>
      <c r="G1141" s="16" t="str">
        <f>"581.09"</f>
        <v>581.09</v>
      </c>
      <c r="H1141" s="17" t="s">
        <v>54</v>
      </c>
      <c r="I1141" s="18">
        <v>2</v>
      </c>
      <c r="J1141" s="18">
        <v>2016</v>
      </c>
      <c r="K1141" s="18" t="str">
        <f>"620.29"</f>
        <v>620.29</v>
      </c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 t="str">
        <f>"541.09"</f>
        <v>541.09</v>
      </c>
      <c r="AA1141" s="18"/>
      <c r="AB1141" s="18"/>
      <c r="AC1141" s="18"/>
      <c r="AD1141" s="18"/>
      <c r="AE1141" s="18"/>
      <c r="AF1141" s="18"/>
      <c r="AG1141" s="18"/>
      <c r="AH1141" s="18"/>
      <c r="AI1141" s="18"/>
    </row>
    <row r="1142" spans="1:35">
      <c r="A1142" s="14">
        <v>1140</v>
      </c>
      <c r="B1142" s="14">
        <v>10396</v>
      </c>
      <c r="C1142" s="14" t="s">
        <v>1330</v>
      </c>
      <c r="D1142" s="14" t="s">
        <v>98</v>
      </c>
      <c r="E1142" s="15" t="str">
        <f>"581.67"</f>
        <v>581.67</v>
      </c>
      <c r="F1142" s="15"/>
      <c r="G1142" s="16" t="str">
        <f>"581.67"</f>
        <v>581.67</v>
      </c>
      <c r="H1142" s="17"/>
      <c r="I1142" s="18">
        <v>3</v>
      </c>
      <c r="J1142" s="18">
        <v>2016</v>
      </c>
      <c r="K1142" s="18" t="str">
        <f>"1320.49"</f>
        <v>1320.49</v>
      </c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 t="str">
        <f>"663.14"</f>
        <v>663.14</v>
      </c>
      <c r="AA1142" s="18"/>
      <c r="AB1142" s="18"/>
      <c r="AC1142" s="18"/>
      <c r="AD1142" s="18"/>
      <c r="AE1142" s="18"/>
      <c r="AF1142" s="18"/>
      <c r="AG1142" s="18"/>
      <c r="AH1142" s="18"/>
      <c r="AI1142" s="18" t="str">
        <f>"500.20"</f>
        <v>500.20</v>
      </c>
    </row>
    <row r="1143" spans="1:35">
      <c r="A1143" s="14">
        <v>1141</v>
      </c>
      <c r="B1143" s="14">
        <v>10450</v>
      </c>
      <c r="C1143" s="14" t="s">
        <v>1331</v>
      </c>
      <c r="D1143" s="14" t="s">
        <v>98</v>
      </c>
      <c r="E1143" s="15" t="str">
        <f>"784.34"</f>
        <v>784.34</v>
      </c>
      <c r="F1143" s="15"/>
      <c r="G1143" s="16" t="str">
        <f>"585.66"</f>
        <v>585.66</v>
      </c>
      <c r="H1143" s="17" t="s">
        <v>54</v>
      </c>
      <c r="I1143" s="18">
        <v>2</v>
      </c>
      <c r="J1143" s="18">
        <v>2016</v>
      </c>
      <c r="K1143" s="18" t="str">
        <f>"1023.02"</f>
        <v>1023.02</v>
      </c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 t="str">
        <f>"545.66"</f>
        <v>545.66</v>
      </c>
      <c r="AA1143" s="18"/>
      <c r="AB1143" s="18"/>
      <c r="AC1143" s="18"/>
      <c r="AD1143" s="18"/>
      <c r="AE1143" s="18"/>
      <c r="AF1143" s="18"/>
      <c r="AG1143" s="18"/>
      <c r="AH1143" s="18"/>
      <c r="AI1143" s="18"/>
    </row>
    <row r="1144" spans="1:35">
      <c r="A1144" s="14">
        <v>1142</v>
      </c>
      <c r="B1144" s="14">
        <v>10448</v>
      </c>
      <c r="C1144" s="14" t="s">
        <v>1332</v>
      </c>
      <c r="D1144" s="14" t="s">
        <v>98</v>
      </c>
      <c r="E1144" s="15" t="str">
        <f>"785.22"</f>
        <v>785.22</v>
      </c>
      <c r="F1144" s="15"/>
      <c r="G1144" s="16" t="str">
        <f>"586.12"</f>
        <v>586.12</v>
      </c>
      <c r="H1144" s="17" t="s">
        <v>54</v>
      </c>
      <c r="I1144" s="18">
        <v>2</v>
      </c>
      <c r="J1144" s="18">
        <v>2016</v>
      </c>
      <c r="K1144" s="18" t="str">
        <f>"1024.31"</f>
        <v>1024.31</v>
      </c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 t="str">
        <f>"546.12"</f>
        <v>546.12</v>
      </c>
      <c r="AA1144" s="18"/>
      <c r="AB1144" s="18"/>
      <c r="AC1144" s="18"/>
      <c r="AD1144" s="18"/>
      <c r="AE1144" s="18"/>
      <c r="AF1144" s="18"/>
      <c r="AG1144" s="18"/>
      <c r="AH1144" s="18"/>
      <c r="AI1144" s="18"/>
    </row>
    <row r="1145" spans="1:35">
      <c r="A1145" s="14">
        <v>1143</v>
      </c>
      <c r="B1145" s="14">
        <v>10417</v>
      </c>
      <c r="C1145" s="14" t="s">
        <v>1333</v>
      </c>
      <c r="D1145" s="14" t="s">
        <v>98</v>
      </c>
      <c r="E1145" s="15" t="str">
        <f>"588.41"</f>
        <v>588.41</v>
      </c>
      <c r="F1145" s="15"/>
      <c r="G1145" s="16" t="str">
        <f>"588.41"</f>
        <v>588.41</v>
      </c>
      <c r="H1145" s="17" t="s">
        <v>54</v>
      </c>
      <c r="I1145" s="18">
        <v>4</v>
      </c>
      <c r="J1145" s="18">
        <v>2016</v>
      </c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 t="str">
        <f>"548.41"</f>
        <v>548.41</v>
      </c>
      <c r="AA1145" s="18"/>
      <c r="AB1145" s="18"/>
      <c r="AC1145" s="18"/>
      <c r="AD1145" s="18"/>
      <c r="AE1145" s="18"/>
      <c r="AF1145" s="18"/>
      <c r="AG1145" s="18"/>
      <c r="AH1145" s="18"/>
      <c r="AI1145" s="18"/>
    </row>
    <row r="1146" spans="1:35">
      <c r="A1146" s="14">
        <v>1144</v>
      </c>
      <c r="B1146" s="14">
        <v>10914</v>
      </c>
      <c r="C1146" s="14" t="s">
        <v>1334</v>
      </c>
      <c r="D1146" s="14" t="s">
        <v>76</v>
      </c>
      <c r="E1146" s="15" t="str">
        <f>"590.99"</f>
        <v>590.99</v>
      </c>
      <c r="F1146" s="15"/>
      <c r="G1146" s="16" t="str">
        <f>"590.99"</f>
        <v>590.99</v>
      </c>
      <c r="H1146" s="17"/>
      <c r="I1146" s="18">
        <v>5</v>
      </c>
      <c r="J1146" s="18">
        <v>2016</v>
      </c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 t="str">
        <f>"669.47"</f>
        <v>669.47</v>
      </c>
      <c r="Y1146" s="18"/>
      <c r="Z1146" s="18"/>
      <c r="AA1146" s="18"/>
      <c r="AB1146" s="18"/>
      <c r="AC1146" s="18" t="str">
        <f>"512.50"</f>
        <v>512.50</v>
      </c>
      <c r="AD1146" s="18"/>
      <c r="AE1146" s="18"/>
      <c r="AF1146" s="18"/>
      <c r="AG1146" s="18"/>
      <c r="AH1146" s="18"/>
      <c r="AI1146" s="18"/>
    </row>
    <row r="1147" spans="1:35">
      <c r="A1147" s="14">
        <v>1145</v>
      </c>
      <c r="B1147" s="14">
        <v>10398</v>
      </c>
      <c r="C1147" s="14" t="s">
        <v>1335</v>
      </c>
      <c r="D1147" s="14" t="s">
        <v>98</v>
      </c>
      <c r="E1147" s="15" t="str">
        <f>"576.07"</f>
        <v>576.07</v>
      </c>
      <c r="F1147" s="15"/>
      <c r="G1147" s="16" t="str">
        <f>"598.00"</f>
        <v>598.00</v>
      </c>
      <c r="H1147" s="17" t="s">
        <v>54</v>
      </c>
      <c r="I1147" s="18">
        <v>2</v>
      </c>
      <c r="J1147" s="18">
        <v>2016</v>
      </c>
      <c r="K1147" s="18" t="str">
        <f>"594.13"</f>
        <v>594.13</v>
      </c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 t="str">
        <f>"558.00"</f>
        <v>558.00</v>
      </c>
      <c r="AA1147" s="18"/>
      <c r="AB1147" s="18"/>
      <c r="AC1147" s="18"/>
      <c r="AD1147" s="18"/>
      <c r="AE1147" s="18"/>
      <c r="AF1147" s="18"/>
      <c r="AG1147" s="18"/>
      <c r="AH1147" s="18"/>
      <c r="AI1147" s="18"/>
    </row>
    <row r="1148" spans="1:35">
      <c r="A1148" s="14">
        <v>1146</v>
      </c>
      <c r="B1148" s="14">
        <v>5511</v>
      </c>
      <c r="C1148" s="14" t="s">
        <v>1336</v>
      </c>
      <c r="D1148" s="14" t="s">
        <v>302</v>
      </c>
      <c r="E1148" s="15" t="str">
        <f>"558.37"</f>
        <v>558.37</v>
      </c>
      <c r="F1148" s="15"/>
      <c r="G1148" s="16" t="str">
        <f>"598.37"</f>
        <v>598.37</v>
      </c>
      <c r="H1148" s="17" t="s">
        <v>48</v>
      </c>
      <c r="I1148" s="18">
        <v>1</v>
      </c>
      <c r="J1148" s="18">
        <v>2016</v>
      </c>
      <c r="K1148" s="18" t="str">
        <f>"558.37"</f>
        <v>558.37</v>
      </c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</row>
    <row r="1149" spans="1:35">
      <c r="A1149" s="14">
        <v>1147</v>
      </c>
      <c r="B1149" s="14">
        <v>10626</v>
      </c>
      <c r="C1149" s="14" t="s">
        <v>1337</v>
      </c>
      <c r="D1149" s="14" t="s">
        <v>76</v>
      </c>
      <c r="E1149" s="15" t="str">
        <f>"658.40"</f>
        <v>658.40</v>
      </c>
      <c r="F1149" s="15"/>
      <c r="G1149" s="16" t="str">
        <f>"599.49"</f>
        <v>599.49</v>
      </c>
      <c r="H1149" s="17" t="s">
        <v>54</v>
      </c>
      <c r="I1149" s="18">
        <v>2</v>
      </c>
      <c r="J1149" s="18">
        <v>2016</v>
      </c>
      <c r="K1149" s="18" t="str">
        <f>"757.30"</f>
        <v>757.30</v>
      </c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 t="str">
        <f>"559.49"</f>
        <v>559.49</v>
      </c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</row>
    <row r="1150" spans="1:35">
      <c r="A1150" s="14">
        <v>1148</v>
      </c>
      <c r="B1150" s="14">
        <v>10886</v>
      </c>
      <c r="C1150" s="14" t="s">
        <v>1338</v>
      </c>
      <c r="D1150" s="14" t="s">
        <v>76</v>
      </c>
      <c r="E1150" s="15" t="str">
        <f>"600.06"</f>
        <v>600.06</v>
      </c>
      <c r="F1150" s="15"/>
      <c r="G1150" s="16" t="str">
        <f>"600.06"</f>
        <v>600.06</v>
      </c>
      <c r="H1150" s="17"/>
      <c r="I1150" s="18">
        <v>5</v>
      </c>
      <c r="J1150" s="18">
        <v>2016</v>
      </c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 t="str">
        <f>"725.00"</f>
        <v>725.00</v>
      </c>
      <c r="Y1150" s="18"/>
      <c r="Z1150" s="18"/>
      <c r="AA1150" s="18"/>
      <c r="AB1150" s="18"/>
      <c r="AC1150" s="18" t="str">
        <f>"475.11"</f>
        <v>475.11</v>
      </c>
      <c r="AD1150" s="18"/>
      <c r="AE1150" s="18"/>
      <c r="AF1150" s="18"/>
      <c r="AG1150" s="18"/>
      <c r="AH1150" s="18"/>
      <c r="AI1150" s="18"/>
    </row>
    <row r="1151" spans="1:35">
      <c r="A1151" s="14">
        <v>1149</v>
      </c>
      <c r="B1151" s="14">
        <v>10189</v>
      </c>
      <c r="C1151" s="14" t="s">
        <v>1339</v>
      </c>
      <c r="D1151" s="14" t="s">
        <v>98</v>
      </c>
      <c r="E1151" s="15" t="str">
        <f>"611.25"</f>
        <v>611.25</v>
      </c>
      <c r="F1151" s="15"/>
      <c r="G1151" s="16" t="str">
        <f>"600.29"</f>
        <v>600.29</v>
      </c>
      <c r="H1151" s="17" t="s">
        <v>54</v>
      </c>
      <c r="I1151" s="18">
        <v>2</v>
      </c>
      <c r="J1151" s="18">
        <v>2016</v>
      </c>
      <c r="K1151" s="18" t="str">
        <f>"662.21"</f>
        <v>662.21</v>
      </c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 t="str">
        <f>"560.29"</f>
        <v>560.29</v>
      </c>
      <c r="AA1151" s="18"/>
      <c r="AB1151" s="18"/>
      <c r="AC1151" s="18"/>
      <c r="AD1151" s="18"/>
      <c r="AE1151" s="18"/>
      <c r="AF1151" s="18"/>
      <c r="AG1151" s="18"/>
      <c r="AH1151" s="18"/>
      <c r="AI1151" s="18"/>
    </row>
    <row r="1152" spans="1:35">
      <c r="A1152" s="14">
        <v>1150</v>
      </c>
      <c r="B1152" s="14">
        <v>10899</v>
      </c>
      <c r="C1152" s="14" t="s">
        <v>1340</v>
      </c>
      <c r="D1152" s="14" t="s">
        <v>76</v>
      </c>
      <c r="E1152" s="15" t="str">
        <f>"600.54"</f>
        <v>600.54</v>
      </c>
      <c r="F1152" s="15"/>
      <c r="G1152" s="16" t="str">
        <f>"600.54"</f>
        <v>600.54</v>
      </c>
      <c r="H1152" s="17"/>
      <c r="I1152" s="18">
        <v>5</v>
      </c>
      <c r="J1152" s="18">
        <v>2016</v>
      </c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 t="str">
        <f>"824.45"</f>
        <v>824.45</v>
      </c>
      <c r="Y1152" s="18"/>
      <c r="Z1152" s="18"/>
      <c r="AA1152" s="18"/>
      <c r="AB1152" s="18"/>
      <c r="AC1152" s="18" t="str">
        <f>"376.63"</f>
        <v>376.63</v>
      </c>
      <c r="AD1152" s="18"/>
      <c r="AE1152" s="18"/>
      <c r="AF1152" s="18"/>
      <c r="AG1152" s="18"/>
      <c r="AH1152" s="18"/>
      <c r="AI1152" s="18"/>
    </row>
    <row r="1153" spans="1:35">
      <c r="A1153" s="14">
        <v>1151</v>
      </c>
      <c r="B1153" s="14">
        <v>10397</v>
      </c>
      <c r="C1153" s="14" t="s">
        <v>1341</v>
      </c>
      <c r="D1153" s="14" t="s">
        <v>98</v>
      </c>
      <c r="E1153" s="15" t="str">
        <f>"601.48"</f>
        <v>601.48</v>
      </c>
      <c r="F1153" s="15"/>
      <c r="G1153" s="16" t="str">
        <f>"601.48"</f>
        <v>601.48</v>
      </c>
      <c r="H1153" s="17"/>
      <c r="I1153" s="18">
        <v>3</v>
      </c>
      <c r="J1153" s="18">
        <v>2016</v>
      </c>
      <c r="K1153" s="18" t="str">
        <f>"1377.16"</f>
        <v>1377.16</v>
      </c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 t="str">
        <f>"651.71"</f>
        <v>651.71</v>
      </c>
      <c r="AA1153" s="18"/>
      <c r="AB1153" s="18"/>
      <c r="AC1153" s="18"/>
      <c r="AD1153" s="18"/>
      <c r="AE1153" s="18"/>
      <c r="AF1153" s="18"/>
      <c r="AG1153" s="18"/>
      <c r="AH1153" s="18"/>
      <c r="AI1153" s="18" t="str">
        <f>"551.24"</f>
        <v>551.24</v>
      </c>
    </row>
    <row r="1154" spans="1:35">
      <c r="A1154" s="14">
        <v>1152</v>
      </c>
      <c r="B1154" s="14">
        <v>10235</v>
      </c>
      <c r="C1154" s="14" t="s">
        <v>1342</v>
      </c>
      <c r="D1154" s="14" t="s">
        <v>98</v>
      </c>
      <c r="E1154" s="15" t="str">
        <f>"701.87"</f>
        <v>701.87</v>
      </c>
      <c r="F1154" s="15"/>
      <c r="G1154" s="16" t="str">
        <f>"603.03"</f>
        <v>603.03</v>
      </c>
      <c r="H1154" s="17" t="s">
        <v>54</v>
      </c>
      <c r="I1154" s="18">
        <v>2</v>
      </c>
      <c r="J1154" s="18">
        <v>2016</v>
      </c>
      <c r="K1154" s="18" t="str">
        <f>"840.70"</f>
        <v>840.70</v>
      </c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 t="str">
        <f>"563.03"</f>
        <v>563.03</v>
      </c>
      <c r="AA1154" s="18"/>
      <c r="AB1154" s="18"/>
      <c r="AC1154" s="18"/>
      <c r="AD1154" s="18"/>
      <c r="AE1154" s="18"/>
      <c r="AF1154" s="18"/>
      <c r="AG1154" s="18"/>
      <c r="AH1154" s="18"/>
      <c r="AI1154" s="18"/>
    </row>
    <row r="1155" spans="1:35">
      <c r="A1155" s="14">
        <v>1153</v>
      </c>
      <c r="B1155" s="14">
        <v>10613</v>
      </c>
      <c r="C1155" s="14" t="s">
        <v>1343</v>
      </c>
      <c r="D1155" s="14" t="s">
        <v>76</v>
      </c>
      <c r="E1155" s="15" t="str">
        <f>"606.51"</f>
        <v>606.51</v>
      </c>
      <c r="F1155" s="15"/>
      <c r="G1155" s="16" t="str">
        <f>"606.51"</f>
        <v>606.51</v>
      </c>
      <c r="H1155" s="17" t="s">
        <v>54</v>
      </c>
      <c r="I1155" s="18">
        <v>4</v>
      </c>
      <c r="J1155" s="18">
        <v>2016</v>
      </c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 t="str">
        <f>"566.51"</f>
        <v>566.51</v>
      </c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</row>
    <row r="1156" spans="1:35">
      <c r="A1156" s="14">
        <v>1154</v>
      </c>
      <c r="B1156" s="14">
        <v>11030</v>
      </c>
      <c r="C1156" s="14" t="s">
        <v>1344</v>
      </c>
      <c r="D1156" s="14" t="s">
        <v>76</v>
      </c>
      <c r="E1156" s="15" t="str">
        <f>"607.85"</f>
        <v>607.85</v>
      </c>
      <c r="F1156" s="15"/>
      <c r="G1156" s="16" t="str">
        <f>"607.85"</f>
        <v>607.85</v>
      </c>
      <c r="H1156" s="17"/>
      <c r="I1156" s="18">
        <v>5</v>
      </c>
      <c r="J1156" s="18">
        <v>2016</v>
      </c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 t="str">
        <f>"689.20"</f>
        <v>689.20</v>
      </c>
      <c r="Y1156" s="18"/>
      <c r="Z1156" s="18"/>
      <c r="AA1156" s="18"/>
      <c r="AB1156" s="18"/>
      <c r="AC1156" s="18" t="str">
        <f>"526.50"</f>
        <v>526.50</v>
      </c>
      <c r="AD1156" s="18"/>
      <c r="AE1156" s="18"/>
      <c r="AF1156" s="18"/>
      <c r="AG1156" s="18"/>
      <c r="AH1156" s="18"/>
      <c r="AI1156" s="18"/>
    </row>
    <row r="1157" spans="1:35">
      <c r="A1157" s="14">
        <v>1155</v>
      </c>
      <c r="B1157" s="14">
        <v>10293</v>
      </c>
      <c r="C1157" s="14" t="s">
        <v>1345</v>
      </c>
      <c r="D1157" s="14" t="s">
        <v>330</v>
      </c>
      <c r="E1157" s="15" t="str">
        <f>"570.17"</f>
        <v>570.17</v>
      </c>
      <c r="F1157" s="15"/>
      <c r="G1157" s="16" t="str">
        <f>"608.79"</f>
        <v>608.79</v>
      </c>
      <c r="H1157" s="17" t="s">
        <v>54</v>
      </c>
      <c r="I1157" s="18">
        <v>2</v>
      </c>
      <c r="J1157" s="18">
        <v>2016</v>
      </c>
      <c r="K1157" s="18" t="str">
        <f>"571.54"</f>
        <v>571.54</v>
      </c>
      <c r="L1157" s="18"/>
      <c r="M1157" s="18"/>
      <c r="N1157" s="18"/>
      <c r="O1157" s="18"/>
      <c r="P1157" s="18" t="str">
        <f>"568.79"</f>
        <v>568.79</v>
      </c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</row>
    <row r="1158" spans="1:35">
      <c r="A1158" s="14">
        <v>1156</v>
      </c>
      <c r="B1158" s="14">
        <v>10183</v>
      </c>
      <c r="C1158" s="14" t="s">
        <v>1346</v>
      </c>
      <c r="D1158" s="14" t="s">
        <v>98</v>
      </c>
      <c r="E1158" s="15" t="str">
        <f>"783.60"</f>
        <v>783.60</v>
      </c>
      <c r="F1158" s="15"/>
      <c r="G1158" s="16" t="str">
        <f>"608.97"</f>
        <v>608.97</v>
      </c>
      <c r="H1158" s="17" t="s">
        <v>54</v>
      </c>
      <c r="I1158" s="18">
        <v>2</v>
      </c>
      <c r="J1158" s="18">
        <v>2016</v>
      </c>
      <c r="K1158" s="18" t="str">
        <f>"998.23"</f>
        <v>998.23</v>
      </c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 t="str">
        <f>"568.97"</f>
        <v>568.97</v>
      </c>
      <c r="AA1158" s="18"/>
      <c r="AB1158" s="18"/>
      <c r="AC1158" s="18"/>
      <c r="AD1158" s="18"/>
      <c r="AE1158" s="18"/>
      <c r="AF1158" s="18"/>
      <c r="AG1158" s="18"/>
      <c r="AH1158" s="18"/>
      <c r="AI1158" s="18"/>
    </row>
    <row r="1159" spans="1:35">
      <c r="A1159" s="14">
        <v>1157</v>
      </c>
      <c r="B1159" s="14">
        <v>10884</v>
      </c>
      <c r="C1159" s="14" t="s">
        <v>1347</v>
      </c>
      <c r="D1159" s="14" t="s">
        <v>76</v>
      </c>
      <c r="E1159" s="15" t="str">
        <f>"611.61"</f>
        <v>611.61</v>
      </c>
      <c r="F1159" s="15"/>
      <c r="G1159" s="16" t="str">
        <f>"611.61"</f>
        <v>611.61</v>
      </c>
      <c r="H1159" s="17" t="s">
        <v>54</v>
      </c>
      <c r="I1159" s="18">
        <v>4</v>
      </c>
      <c r="J1159" s="18">
        <v>2016</v>
      </c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 t="str">
        <f>"571.61"</f>
        <v>571.61</v>
      </c>
      <c r="AD1159" s="18"/>
      <c r="AE1159" s="18"/>
      <c r="AF1159" s="18"/>
      <c r="AG1159" s="18"/>
      <c r="AH1159" s="18"/>
      <c r="AI1159" s="18"/>
    </row>
    <row r="1160" spans="1:35">
      <c r="A1160" s="14">
        <v>1158</v>
      </c>
      <c r="B1160" s="14">
        <v>6582</v>
      </c>
      <c r="C1160" s="14" t="s">
        <v>1348</v>
      </c>
      <c r="D1160" s="14" t="s">
        <v>305</v>
      </c>
      <c r="E1160" s="15" t="str">
        <f>"580.24"</f>
        <v>580.24</v>
      </c>
      <c r="F1160" s="15"/>
      <c r="G1160" s="16" t="str">
        <f>"620.24"</f>
        <v>620.24</v>
      </c>
      <c r="H1160" s="17" t="s">
        <v>48</v>
      </c>
      <c r="I1160" s="18">
        <v>1</v>
      </c>
      <c r="J1160" s="18">
        <v>2016</v>
      </c>
      <c r="K1160" s="18" t="str">
        <f>"580.24"</f>
        <v>580.24</v>
      </c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</row>
    <row r="1161" spans="1:35">
      <c r="A1161" s="14">
        <v>1159</v>
      </c>
      <c r="B1161" s="14">
        <v>10736</v>
      </c>
      <c r="C1161" s="14" t="s">
        <v>1349</v>
      </c>
      <c r="D1161" s="14" t="s">
        <v>98</v>
      </c>
      <c r="E1161" s="15" t="str">
        <f>"621.06"</f>
        <v>621.06</v>
      </c>
      <c r="F1161" s="15"/>
      <c r="G1161" s="16" t="str">
        <f>"621.06"</f>
        <v>621.06</v>
      </c>
      <c r="H1161" s="17"/>
      <c r="I1161" s="18">
        <v>5</v>
      </c>
      <c r="J1161" s="18">
        <v>2016</v>
      </c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 t="str">
        <f>"725.71"</f>
        <v>725.71</v>
      </c>
      <c r="V1161" s="18"/>
      <c r="W1161" s="18"/>
      <c r="X1161" s="18"/>
      <c r="Y1161" s="18"/>
      <c r="Z1161" s="18" t="str">
        <f>"516.41"</f>
        <v>516.41</v>
      </c>
      <c r="AA1161" s="18"/>
      <c r="AB1161" s="18"/>
      <c r="AC1161" s="18"/>
      <c r="AD1161" s="18"/>
      <c r="AE1161" s="18"/>
      <c r="AF1161" s="18"/>
      <c r="AG1161" s="18"/>
      <c r="AH1161" s="18"/>
      <c r="AI1161" s="18"/>
    </row>
    <row r="1162" spans="1:35">
      <c r="A1162" s="14">
        <v>1160</v>
      </c>
      <c r="B1162" s="14">
        <v>10774</v>
      </c>
      <c r="C1162" s="14" t="s">
        <v>1350</v>
      </c>
      <c r="D1162" s="14" t="s">
        <v>98</v>
      </c>
      <c r="E1162" s="15" t="str">
        <f>"621.32"</f>
        <v>621.32</v>
      </c>
      <c r="F1162" s="15"/>
      <c r="G1162" s="16" t="str">
        <f>"621.32"</f>
        <v>621.32</v>
      </c>
      <c r="H1162" s="17" t="s">
        <v>54</v>
      </c>
      <c r="I1162" s="18">
        <v>4</v>
      </c>
      <c r="J1162" s="18">
        <v>2016</v>
      </c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 t="str">
        <f>"581.32"</f>
        <v>581.32</v>
      </c>
      <c r="AA1162" s="18"/>
      <c r="AB1162" s="18"/>
      <c r="AC1162" s="18"/>
      <c r="AD1162" s="18"/>
      <c r="AE1162" s="18"/>
      <c r="AF1162" s="18"/>
      <c r="AG1162" s="18"/>
      <c r="AH1162" s="18"/>
      <c r="AI1162" s="18"/>
    </row>
    <row r="1163" spans="1:35">
      <c r="A1163" s="14">
        <v>1161</v>
      </c>
      <c r="B1163" s="14">
        <v>8454</v>
      </c>
      <c r="C1163" s="14" t="s">
        <v>1351</v>
      </c>
      <c r="D1163" s="14" t="s">
        <v>76</v>
      </c>
      <c r="E1163" s="15" t="str">
        <f>"581.79"</f>
        <v>581.79</v>
      </c>
      <c r="F1163" s="15"/>
      <c r="G1163" s="16" t="str">
        <f>"621.79"</f>
        <v>621.79</v>
      </c>
      <c r="H1163" s="17" t="s">
        <v>48</v>
      </c>
      <c r="I1163" s="18">
        <v>1</v>
      </c>
      <c r="J1163" s="18">
        <v>2016</v>
      </c>
      <c r="K1163" s="18" t="str">
        <f>"581.79"</f>
        <v>581.79</v>
      </c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</row>
    <row r="1164" spans="1:35">
      <c r="A1164" s="14">
        <v>1162</v>
      </c>
      <c r="B1164" s="14">
        <v>10157</v>
      </c>
      <c r="C1164" s="14" t="s">
        <v>1352</v>
      </c>
      <c r="D1164" s="14" t="s">
        <v>76</v>
      </c>
      <c r="E1164" s="15" t="str">
        <f>"584.22"</f>
        <v>584.22</v>
      </c>
      <c r="F1164" s="15"/>
      <c r="G1164" s="16" t="str">
        <f>"624.22"</f>
        <v>624.22</v>
      </c>
      <c r="H1164" s="17" t="s">
        <v>48</v>
      </c>
      <c r="I1164" s="18">
        <v>1</v>
      </c>
      <c r="J1164" s="18">
        <v>2016</v>
      </c>
      <c r="K1164" s="18" t="str">
        <f>"584.22"</f>
        <v>584.22</v>
      </c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</row>
    <row r="1165" spans="1:35">
      <c r="A1165" s="14">
        <v>1163</v>
      </c>
      <c r="B1165" s="14">
        <v>10725</v>
      </c>
      <c r="C1165" s="14" t="s">
        <v>1353</v>
      </c>
      <c r="D1165" s="14" t="s">
        <v>98</v>
      </c>
      <c r="E1165" s="15" t="str">
        <f>"628.55"</f>
        <v>628.55</v>
      </c>
      <c r="F1165" s="15"/>
      <c r="G1165" s="16" t="str">
        <f>"628.55"</f>
        <v>628.55</v>
      </c>
      <c r="H1165" s="17"/>
      <c r="I1165" s="18">
        <v>5</v>
      </c>
      <c r="J1165" s="18">
        <v>2016</v>
      </c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 t="str">
        <f>"576.75"</f>
        <v>576.75</v>
      </c>
      <c r="AA1165" s="18"/>
      <c r="AB1165" s="18"/>
      <c r="AC1165" s="18"/>
      <c r="AD1165" s="18"/>
      <c r="AE1165" s="18"/>
      <c r="AF1165" s="18"/>
      <c r="AG1165" s="18"/>
      <c r="AH1165" s="18"/>
      <c r="AI1165" s="18" t="str">
        <f>"680.35"</f>
        <v>680.35</v>
      </c>
    </row>
    <row r="1166" spans="1:35">
      <c r="A1166" s="14">
        <v>1164</v>
      </c>
      <c r="B1166" s="14">
        <v>10470</v>
      </c>
      <c r="C1166" s="14" t="s">
        <v>1354</v>
      </c>
      <c r="D1166" s="14" t="s">
        <v>98</v>
      </c>
      <c r="E1166" s="15" t="str">
        <f>"803.02"</f>
        <v>803.02</v>
      </c>
      <c r="F1166" s="15"/>
      <c r="G1166" s="16" t="str">
        <f>"629.09"</f>
        <v>629.09</v>
      </c>
      <c r="H1166" s="17" t="s">
        <v>54</v>
      </c>
      <c r="I1166" s="18">
        <v>2</v>
      </c>
      <c r="J1166" s="18">
        <v>2016</v>
      </c>
      <c r="K1166" s="18" t="str">
        <f>"1016.94"</f>
        <v>1016.94</v>
      </c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 t="str">
        <f>"589.09"</f>
        <v>589.09</v>
      </c>
      <c r="AA1166" s="18"/>
      <c r="AB1166" s="18"/>
      <c r="AC1166" s="18"/>
      <c r="AD1166" s="18"/>
      <c r="AE1166" s="18"/>
      <c r="AF1166" s="18"/>
      <c r="AG1166" s="18"/>
      <c r="AH1166" s="18"/>
      <c r="AI1166" s="18"/>
    </row>
    <row r="1167" spans="1:35">
      <c r="A1167" s="14">
        <v>1165</v>
      </c>
      <c r="B1167" s="14">
        <v>10868</v>
      </c>
      <c r="C1167" s="14" t="s">
        <v>1355</v>
      </c>
      <c r="D1167" s="14" t="s">
        <v>76</v>
      </c>
      <c r="E1167" s="15" t="str">
        <f>"631.57"</f>
        <v>631.57</v>
      </c>
      <c r="F1167" s="15"/>
      <c r="G1167" s="16" t="str">
        <f>"631.57"</f>
        <v>631.57</v>
      </c>
      <c r="H1167" s="17"/>
      <c r="I1167" s="18">
        <v>5</v>
      </c>
      <c r="J1167" s="18">
        <v>2016</v>
      </c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 t="str">
        <f>"682.71"</f>
        <v>682.71</v>
      </c>
      <c r="Y1167" s="18"/>
      <c r="Z1167" s="18"/>
      <c r="AA1167" s="18"/>
      <c r="AB1167" s="18"/>
      <c r="AC1167" s="18" t="str">
        <f>"580.43"</f>
        <v>580.43</v>
      </c>
      <c r="AD1167" s="18"/>
      <c r="AE1167" s="18"/>
      <c r="AF1167" s="18"/>
      <c r="AG1167" s="18"/>
      <c r="AH1167" s="18"/>
      <c r="AI1167" s="18"/>
    </row>
    <row r="1168" spans="1:35">
      <c r="A1168" s="14">
        <v>1166</v>
      </c>
      <c r="B1168" s="14">
        <v>10360</v>
      </c>
      <c r="C1168" s="14" t="s">
        <v>1356</v>
      </c>
      <c r="D1168" s="14" t="s">
        <v>148</v>
      </c>
      <c r="E1168" s="15" t="str">
        <f>"666.52"</f>
        <v>666.52</v>
      </c>
      <c r="F1168" s="15"/>
      <c r="G1168" s="16" t="str">
        <f>"634.67"</f>
        <v>634.67</v>
      </c>
      <c r="H1168" s="17" t="s">
        <v>54</v>
      </c>
      <c r="I1168" s="18">
        <v>2</v>
      </c>
      <c r="J1168" s="18">
        <v>2016</v>
      </c>
      <c r="K1168" s="18" t="str">
        <f>"738.37"</f>
        <v>738.37</v>
      </c>
      <c r="L1168" s="18"/>
      <c r="M1168" s="18"/>
      <c r="N1168" s="18"/>
      <c r="O1168" s="18"/>
      <c r="P1168" s="18" t="str">
        <f>"594.67"</f>
        <v>594.67</v>
      </c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</row>
    <row r="1169" spans="1:35">
      <c r="A1169" s="14">
        <v>1167</v>
      </c>
      <c r="B1169" s="14">
        <v>10731</v>
      </c>
      <c r="C1169" s="14" t="s">
        <v>1357</v>
      </c>
      <c r="D1169" s="14" t="s">
        <v>98</v>
      </c>
      <c r="E1169" s="15" t="str">
        <f>"638.43"</f>
        <v>638.43</v>
      </c>
      <c r="F1169" s="15"/>
      <c r="G1169" s="16" t="str">
        <f>"638.43"</f>
        <v>638.43</v>
      </c>
      <c r="H1169" s="17"/>
      <c r="I1169" s="18">
        <v>5</v>
      </c>
      <c r="J1169" s="18">
        <v>2016</v>
      </c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 t="str">
        <f>"694.67"</f>
        <v>694.67</v>
      </c>
      <c r="AA1169" s="18"/>
      <c r="AB1169" s="18"/>
      <c r="AC1169" s="18"/>
      <c r="AD1169" s="18"/>
      <c r="AE1169" s="18"/>
      <c r="AF1169" s="18"/>
      <c r="AG1169" s="18"/>
      <c r="AH1169" s="18"/>
      <c r="AI1169" s="18" t="str">
        <f>"582.18"</f>
        <v>582.18</v>
      </c>
    </row>
    <row r="1170" spans="1:35">
      <c r="A1170" s="14">
        <v>1168</v>
      </c>
      <c r="B1170" s="14">
        <v>10726</v>
      </c>
      <c r="C1170" s="14" t="s">
        <v>1358</v>
      </c>
      <c r="D1170" s="14" t="s">
        <v>98</v>
      </c>
      <c r="E1170" s="15" t="str">
        <f>"639.87"</f>
        <v>639.87</v>
      </c>
      <c r="F1170" s="15"/>
      <c r="G1170" s="16" t="str">
        <f>"639.87"</f>
        <v>639.87</v>
      </c>
      <c r="H1170" s="17"/>
      <c r="I1170" s="18">
        <v>5</v>
      </c>
      <c r="J1170" s="18">
        <v>2016</v>
      </c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 t="str">
        <f>"728.50"</f>
        <v>728.50</v>
      </c>
      <c r="AA1170" s="18"/>
      <c r="AB1170" s="18"/>
      <c r="AC1170" s="18"/>
      <c r="AD1170" s="18"/>
      <c r="AE1170" s="18"/>
      <c r="AF1170" s="18"/>
      <c r="AG1170" s="18"/>
      <c r="AH1170" s="18"/>
      <c r="AI1170" s="18" t="str">
        <f>"551.24"</f>
        <v>551.24</v>
      </c>
    </row>
    <row r="1171" spans="1:35">
      <c r="A1171" s="14">
        <v>1169</v>
      </c>
      <c r="B1171" s="14">
        <v>10891</v>
      </c>
      <c r="C1171" s="14" t="s">
        <v>1359</v>
      </c>
      <c r="D1171" s="14" t="s">
        <v>76</v>
      </c>
      <c r="E1171" s="15" t="str">
        <f>"640.08"</f>
        <v>640.08</v>
      </c>
      <c r="F1171" s="15"/>
      <c r="G1171" s="16" t="str">
        <f>"640.08"</f>
        <v>640.08</v>
      </c>
      <c r="H1171" s="17"/>
      <c r="I1171" s="18">
        <v>5</v>
      </c>
      <c r="J1171" s="18">
        <v>2016</v>
      </c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 t="str">
        <f>"711.63"</f>
        <v>711.63</v>
      </c>
      <c r="Y1171" s="18"/>
      <c r="Z1171" s="18"/>
      <c r="AA1171" s="18"/>
      <c r="AB1171" s="18"/>
      <c r="AC1171" s="18" t="str">
        <f>"568.52"</f>
        <v>568.52</v>
      </c>
      <c r="AD1171" s="18"/>
      <c r="AE1171" s="18"/>
      <c r="AF1171" s="18"/>
      <c r="AG1171" s="18"/>
      <c r="AH1171" s="18"/>
      <c r="AI1171" s="18"/>
    </row>
    <row r="1172" spans="1:35">
      <c r="A1172" s="14">
        <v>1170</v>
      </c>
      <c r="B1172" s="14">
        <v>10469</v>
      </c>
      <c r="C1172" s="14" t="s">
        <v>1360</v>
      </c>
      <c r="D1172" s="14" t="s">
        <v>98</v>
      </c>
      <c r="E1172" s="15" t="str">
        <f>"643.26"</f>
        <v>643.26</v>
      </c>
      <c r="F1172" s="15"/>
      <c r="G1172" s="16" t="str">
        <f>"643.26"</f>
        <v>643.26</v>
      </c>
      <c r="H1172" s="17" t="s">
        <v>54</v>
      </c>
      <c r="I1172" s="18">
        <v>4</v>
      </c>
      <c r="J1172" s="18">
        <v>2016</v>
      </c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 t="str">
        <f>"603.26"</f>
        <v>603.26</v>
      </c>
      <c r="AA1172" s="18"/>
      <c r="AB1172" s="18"/>
      <c r="AC1172" s="18"/>
      <c r="AD1172" s="18"/>
      <c r="AE1172" s="18"/>
      <c r="AF1172" s="18"/>
      <c r="AG1172" s="18"/>
      <c r="AH1172" s="18"/>
      <c r="AI1172" s="18"/>
    </row>
    <row r="1173" spans="1:35">
      <c r="A1173" s="14">
        <v>1171</v>
      </c>
      <c r="B1173" s="14">
        <v>10335</v>
      </c>
      <c r="C1173" s="14" t="s">
        <v>1361</v>
      </c>
      <c r="D1173" s="14" t="s">
        <v>74</v>
      </c>
      <c r="E1173" s="15" t="str">
        <f>"605.48"</f>
        <v>605.48</v>
      </c>
      <c r="F1173" s="15"/>
      <c r="G1173" s="16" t="str">
        <f>"645.48"</f>
        <v>645.48</v>
      </c>
      <c r="H1173" s="17" t="s">
        <v>48</v>
      </c>
      <c r="I1173" s="18">
        <v>1</v>
      </c>
      <c r="J1173" s="18">
        <v>2016</v>
      </c>
      <c r="K1173" s="18" t="str">
        <f>"605.48"</f>
        <v>605.48</v>
      </c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</row>
    <row r="1174" spans="1:35">
      <c r="A1174" s="14">
        <v>1172</v>
      </c>
      <c r="B1174" s="14">
        <v>10150</v>
      </c>
      <c r="C1174" s="14" t="s">
        <v>1362</v>
      </c>
      <c r="D1174" s="14" t="s">
        <v>98</v>
      </c>
      <c r="E1174" s="15" t="str">
        <f>"647.28"</f>
        <v>647.28</v>
      </c>
      <c r="F1174" s="15"/>
      <c r="G1174" s="16" t="str">
        <f>"647.28"</f>
        <v>647.28</v>
      </c>
      <c r="H1174" s="17"/>
      <c r="I1174" s="18">
        <v>3</v>
      </c>
      <c r="J1174" s="18">
        <v>2016</v>
      </c>
      <c r="K1174" s="18" t="str">
        <f>"790.98"</f>
        <v>790.98</v>
      </c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 t="str">
        <f>"526.01"</f>
        <v>526.01</v>
      </c>
      <c r="AA1174" s="18"/>
      <c r="AB1174" s="18"/>
      <c r="AC1174" s="18"/>
      <c r="AD1174" s="18"/>
      <c r="AE1174" s="18"/>
      <c r="AF1174" s="18"/>
      <c r="AG1174" s="18"/>
      <c r="AH1174" s="18"/>
      <c r="AI1174" s="18" t="str">
        <f>"768.55"</f>
        <v>768.55</v>
      </c>
    </row>
    <row r="1175" spans="1:35">
      <c r="A1175" s="14">
        <v>1173</v>
      </c>
      <c r="B1175" s="14">
        <v>10061</v>
      </c>
      <c r="C1175" s="14" t="s">
        <v>1363</v>
      </c>
      <c r="D1175" s="14" t="s">
        <v>76</v>
      </c>
      <c r="E1175" s="15" t="str">
        <f>"433.30"</f>
        <v>433.30</v>
      </c>
      <c r="F1175" s="15"/>
      <c r="G1175" s="16" t="str">
        <f>"649.34"</f>
        <v>649.34</v>
      </c>
      <c r="H1175" s="17" t="s">
        <v>54</v>
      </c>
      <c r="I1175" s="18">
        <v>2</v>
      </c>
      <c r="J1175" s="18">
        <v>2016</v>
      </c>
      <c r="K1175" s="18" t="str">
        <f>"433.30"</f>
        <v>433.30</v>
      </c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 t="str">
        <f>"609.34"</f>
        <v>609.34</v>
      </c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</row>
    <row r="1176" spans="1:35">
      <c r="A1176" s="14">
        <v>1174</v>
      </c>
      <c r="B1176" s="14">
        <v>2157</v>
      </c>
      <c r="C1176" s="14" t="s">
        <v>1364</v>
      </c>
      <c r="D1176" s="14" t="s">
        <v>926</v>
      </c>
      <c r="E1176" s="15" t="str">
        <f>"491.60"</f>
        <v>491.60</v>
      </c>
      <c r="F1176" s="15"/>
      <c r="G1176" s="16" t="str">
        <f>"653.38"</f>
        <v>653.38</v>
      </c>
      <c r="H1176" s="17" t="s">
        <v>54</v>
      </c>
      <c r="I1176" s="18">
        <v>2</v>
      </c>
      <c r="J1176" s="18">
        <v>2016</v>
      </c>
      <c r="K1176" s="18" t="str">
        <f>"491.60"</f>
        <v>491.60</v>
      </c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 t="str">
        <f>"613.38"</f>
        <v>613.38</v>
      </c>
      <c r="AC1176" s="18"/>
      <c r="AD1176" s="18"/>
      <c r="AE1176" s="18"/>
      <c r="AF1176" s="18"/>
      <c r="AG1176" s="18"/>
      <c r="AH1176" s="18"/>
      <c r="AI1176" s="18"/>
    </row>
    <row r="1177" spans="1:35">
      <c r="A1177" s="14">
        <v>1175</v>
      </c>
      <c r="B1177" s="14">
        <v>10184</v>
      </c>
      <c r="C1177" s="14" t="s">
        <v>1365</v>
      </c>
      <c r="D1177" s="14" t="s">
        <v>98</v>
      </c>
      <c r="E1177" s="15" t="str">
        <f>"739.40"</f>
        <v>739.40</v>
      </c>
      <c r="F1177" s="15"/>
      <c r="G1177" s="16" t="str">
        <f>"660.17"</f>
        <v>660.17</v>
      </c>
      <c r="H1177" s="17" t="s">
        <v>54</v>
      </c>
      <c r="I1177" s="18">
        <v>2</v>
      </c>
      <c r="J1177" s="18">
        <v>2016</v>
      </c>
      <c r="K1177" s="18" t="str">
        <f>"858.63"</f>
        <v>858.63</v>
      </c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 t="str">
        <f>"620.17"</f>
        <v>620.17</v>
      </c>
      <c r="AA1177" s="18"/>
      <c r="AB1177" s="18"/>
      <c r="AC1177" s="18"/>
      <c r="AD1177" s="18"/>
      <c r="AE1177" s="18"/>
      <c r="AF1177" s="18"/>
      <c r="AG1177" s="18"/>
      <c r="AH1177" s="18"/>
      <c r="AI1177" s="18"/>
    </row>
    <row r="1178" spans="1:35">
      <c r="A1178" s="14">
        <v>1176</v>
      </c>
      <c r="B1178" s="14">
        <v>10842</v>
      </c>
      <c r="C1178" s="14" t="s">
        <v>1366</v>
      </c>
      <c r="D1178" s="14" t="s">
        <v>76</v>
      </c>
      <c r="E1178" s="15" t="str">
        <f>"660.47"</f>
        <v>660.47</v>
      </c>
      <c r="F1178" s="15"/>
      <c r="G1178" s="16" t="str">
        <f>"660.47"</f>
        <v>660.47</v>
      </c>
      <c r="H1178" s="17" t="s">
        <v>54</v>
      </c>
      <c r="I1178" s="18">
        <v>4</v>
      </c>
      <c r="J1178" s="18">
        <v>2016</v>
      </c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 t="str">
        <f>"620.47"</f>
        <v>620.47</v>
      </c>
      <c r="AD1178" s="18"/>
      <c r="AE1178" s="18"/>
      <c r="AF1178" s="18"/>
      <c r="AG1178" s="18"/>
      <c r="AH1178" s="18"/>
      <c r="AI1178" s="18"/>
    </row>
    <row r="1179" spans="1:35">
      <c r="A1179" s="14">
        <v>1177</v>
      </c>
      <c r="B1179" s="14">
        <v>10906</v>
      </c>
      <c r="C1179" s="14" t="s">
        <v>1367</v>
      </c>
      <c r="D1179" s="14" t="s">
        <v>76</v>
      </c>
      <c r="E1179" s="15" t="str">
        <f>"661.00"</f>
        <v>661.00</v>
      </c>
      <c r="F1179" s="15"/>
      <c r="G1179" s="16" t="str">
        <f>"661.00"</f>
        <v>661.00</v>
      </c>
      <c r="H1179" s="17"/>
      <c r="I1179" s="18">
        <v>5</v>
      </c>
      <c r="J1179" s="18">
        <v>2016</v>
      </c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 t="str">
        <f>"644.73"</f>
        <v>644.73</v>
      </c>
      <c r="AD1179" s="18"/>
      <c r="AE1179" s="18"/>
      <c r="AF1179" s="18"/>
      <c r="AG1179" s="18"/>
      <c r="AH1179" s="18" t="str">
        <f>"677.27"</f>
        <v>677.27</v>
      </c>
      <c r="AI1179" s="18"/>
    </row>
    <row r="1180" spans="1:35">
      <c r="A1180" s="14">
        <v>1178</v>
      </c>
      <c r="B1180" s="14">
        <v>10446</v>
      </c>
      <c r="C1180" s="14" t="s">
        <v>1368</v>
      </c>
      <c r="D1180" s="14" t="s">
        <v>98</v>
      </c>
      <c r="E1180" s="15" t="str">
        <f>"634.65"</f>
        <v>634.65</v>
      </c>
      <c r="F1180" s="15"/>
      <c r="G1180" s="16" t="str">
        <f>"661.54"</f>
        <v>661.54</v>
      </c>
      <c r="H1180" s="17" t="s">
        <v>54</v>
      </c>
      <c r="I1180" s="18">
        <v>2</v>
      </c>
      <c r="J1180" s="18">
        <v>2016</v>
      </c>
      <c r="K1180" s="18" t="str">
        <f>"647.75"</f>
        <v>647.75</v>
      </c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 t="str">
        <f>"621.54"</f>
        <v>621.54</v>
      </c>
      <c r="AA1180" s="18"/>
      <c r="AB1180" s="18"/>
      <c r="AC1180" s="18"/>
      <c r="AD1180" s="18"/>
      <c r="AE1180" s="18"/>
      <c r="AF1180" s="18"/>
      <c r="AG1180" s="18"/>
      <c r="AH1180" s="18"/>
      <c r="AI1180" s="18"/>
    </row>
    <row r="1181" spans="1:35">
      <c r="A1181" s="14">
        <v>1179</v>
      </c>
      <c r="B1181" s="14">
        <v>10395</v>
      </c>
      <c r="C1181" s="14" t="s">
        <v>1369</v>
      </c>
      <c r="D1181" s="14" t="s">
        <v>98</v>
      </c>
      <c r="E1181" s="15" t="str">
        <f>"661.94"</f>
        <v>661.94</v>
      </c>
      <c r="F1181" s="15"/>
      <c r="G1181" s="16" t="str">
        <f>"661.94"</f>
        <v>661.94</v>
      </c>
      <c r="H1181" s="17"/>
      <c r="I1181" s="18">
        <v>3</v>
      </c>
      <c r="J1181" s="18">
        <v>2016</v>
      </c>
      <c r="K1181" s="18" t="str">
        <f>"805.89"</f>
        <v>805.89</v>
      </c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 t="str">
        <f>"723.47"</f>
        <v>723.47</v>
      </c>
      <c r="AA1181" s="18"/>
      <c r="AB1181" s="18"/>
      <c r="AC1181" s="18"/>
      <c r="AD1181" s="18"/>
      <c r="AE1181" s="18"/>
      <c r="AF1181" s="18"/>
      <c r="AG1181" s="18"/>
      <c r="AH1181" s="18"/>
      <c r="AI1181" s="18" t="str">
        <f>"600.40"</f>
        <v>600.40</v>
      </c>
    </row>
    <row r="1182" spans="1:35">
      <c r="A1182" s="14">
        <v>1180</v>
      </c>
      <c r="B1182" s="14">
        <v>11058</v>
      </c>
      <c r="C1182" s="14" t="s">
        <v>1370</v>
      </c>
      <c r="D1182" s="14" t="s">
        <v>330</v>
      </c>
      <c r="E1182" s="15" t="str">
        <f>"669.92"</f>
        <v>669.92</v>
      </c>
      <c r="F1182" s="15"/>
      <c r="G1182" s="16" t="str">
        <f>"669.92"</f>
        <v>669.92</v>
      </c>
      <c r="H1182" s="17" t="s">
        <v>54</v>
      </c>
      <c r="I1182" s="18">
        <v>4</v>
      </c>
      <c r="J1182" s="18">
        <v>2016</v>
      </c>
      <c r="K1182" s="18"/>
      <c r="L1182" s="18"/>
      <c r="M1182" s="18"/>
      <c r="N1182" s="18"/>
      <c r="O1182" s="18"/>
      <c r="P1182" s="18" t="str">
        <f>"629.92"</f>
        <v>629.92</v>
      </c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</row>
    <row r="1183" spans="1:35">
      <c r="A1183" s="14">
        <v>1181</v>
      </c>
      <c r="B1183" s="14">
        <v>10615</v>
      </c>
      <c r="C1183" s="14" t="s">
        <v>1371</v>
      </c>
      <c r="D1183" s="14" t="s">
        <v>76</v>
      </c>
      <c r="E1183" s="15" t="str">
        <f>"631.02"</f>
        <v>631.02</v>
      </c>
      <c r="F1183" s="15"/>
      <c r="G1183" s="16" t="str">
        <f>"671.02"</f>
        <v>671.02</v>
      </c>
      <c r="H1183" s="17" t="s">
        <v>48</v>
      </c>
      <c r="I1183" s="18">
        <v>1</v>
      </c>
      <c r="J1183" s="18">
        <v>2016</v>
      </c>
      <c r="K1183" s="18" t="str">
        <f>"631.02"</f>
        <v>631.02</v>
      </c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</row>
    <row r="1184" spans="1:35">
      <c r="A1184" s="14">
        <v>1182</v>
      </c>
      <c r="B1184" s="14">
        <v>10388</v>
      </c>
      <c r="C1184" s="14" t="s">
        <v>1372</v>
      </c>
      <c r="D1184" s="14" t="s">
        <v>98</v>
      </c>
      <c r="E1184" s="15" t="str">
        <f>"679.84"</f>
        <v>679.84</v>
      </c>
      <c r="F1184" s="15"/>
      <c r="G1184" s="16" t="str">
        <f>"679.84"</f>
        <v>679.84</v>
      </c>
      <c r="H1184" s="17"/>
      <c r="I1184" s="18">
        <v>3</v>
      </c>
      <c r="J1184" s="18">
        <v>2016</v>
      </c>
      <c r="K1184" s="18" t="str">
        <f>"956.64"</f>
        <v>956.64</v>
      </c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 t="str">
        <f>"762.32"</f>
        <v>762.32</v>
      </c>
      <c r="AA1184" s="18"/>
      <c r="AB1184" s="18"/>
      <c r="AC1184" s="18"/>
      <c r="AD1184" s="18"/>
      <c r="AE1184" s="18"/>
      <c r="AF1184" s="18"/>
      <c r="AG1184" s="18"/>
      <c r="AH1184" s="18"/>
      <c r="AI1184" s="18" t="str">
        <f>"597.36"</f>
        <v>597.36</v>
      </c>
    </row>
    <row r="1185" spans="1:35">
      <c r="A1185" s="14">
        <v>1183</v>
      </c>
      <c r="B1185" s="14">
        <v>11044</v>
      </c>
      <c r="C1185" s="14" t="s">
        <v>1373</v>
      </c>
      <c r="D1185" s="14" t="s">
        <v>148</v>
      </c>
      <c r="E1185" s="15" t="str">
        <f>"680.30"</f>
        <v>680.30</v>
      </c>
      <c r="F1185" s="15"/>
      <c r="G1185" s="16" t="str">
        <f>"680.30"</f>
        <v>680.30</v>
      </c>
      <c r="H1185" s="17" t="s">
        <v>54</v>
      </c>
      <c r="I1185" s="18">
        <v>4</v>
      </c>
      <c r="J1185" s="18">
        <v>2016</v>
      </c>
      <c r="K1185" s="18"/>
      <c r="L1185" s="18"/>
      <c r="M1185" s="18"/>
      <c r="N1185" s="18"/>
      <c r="O1185" s="18"/>
      <c r="P1185" s="18"/>
      <c r="Q1185" s="18"/>
      <c r="R1185" s="18" t="str">
        <f>"640.30"</f>
        <v>640.30</v>
      </c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</row>
    <row r="1186" spans="1:35">
      <c r="A1186" s="14">
        <v>1184</v>
      </c>
      <c r="B1186" s="14">
        <v>10132</v>
      </c>
      <c r="C1186" s="14" t="s">
        <v>1374</v>
      </c>
      <c r="D1186" s="14" t="s">
        <v>76</v>
      </c>
      <c r="E1186" s="15" t="str">
        <f>"708.63"</f>
        <v>708.63</v>
      </c>
      <c r="F1186" s="15"/>
      <c r="G1186" s="16" t="str">
        <f>"680.56"</f>
        <v>680.56</v>
      </c>
      <c r="H1186" s="17" t="s">
        <v>54</v>
      </c>
      <c r="I1186" s="18">
        <v>2</v>
      </c>
      <c r="J1186" s="18">
        <v>2016</v>
      </c>
      <c r="K1186" s="18" t="str">
        <f>"776.69"</f>
        <v>776.69</v>
      </c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 t="str">
        <f>"640.56"</f>
        <v>640.56</v>
      </c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</row>
    <row r="1187" spans="1:35">
      <c r="A1187" s="14">
        <v>1185</v>
      </c>
      <c r="B1187" s="14">
        <v>1429</v>
      </c>
      <c r="C1187" s="14" t="s">
        <v>1375</v>
      </c>
      <c r="D1187" s="14" t="s">
        <v>89</v>
      </c>
      <c r="E1187" s="15" t="str">
        <f>"641.64"</f>
        <v>641.64</v>
      </c>
      <c r="F1187" s="15"/>
      <c r="G1187" s="16" t="str">
        <f>"681.64"</f>
        <v>681.64</v>
      </c>
      <c r="H1187" s="17" t="s">
        <v>48</v>
      </c>
      <c r="I1187" s="18">
        <v>1</v>
      </c>
      <c r="J1187" s="18">
        <v>2016</v>
      </c>
      <c r="K1187" s="18" t="str">
        <f>"641.64"</f>
        <v>641.64</v>
      </c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</row>
    <row r="1188" spans="1:35">
      <c r="A1188" s="14">
        <v>1186</v>
      </c>
      <c r="B1188" s="14">
        <v>10947</v>
      </c>
      <c r="C1188" s="14" t="s">
        <v>1376</v>
      </c>
      <c r="D1188" s="14" t="s">
        <v>98</v>
      </c>
      <c r="E1188" s="15" t="str">
        <f>"683.24"</f>
        <v>683.24</v>
      </c>
      <c r="F1188" s="15"/>
      <c r="G1188" s="16" t="str">
        <f>"683.24"</f>
        <v>683.24</v>
      </c>
      <c r="H1188" s="17"/>
      <c r="I1188" s="18">
        <v>5</v>
      </c>
      <c r="J1188" s="18">
        <v>2016</v>
      </c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 t="str">
        <f>"777.39"</f>
        <v>777.39</v>
      </c>
      <c r="V1188" s="18"/>
      <c r="W1188" s="18"/>
      <c r="X1188" s="18"/>
      <c r="Y1188" s="18"/>
      <c r="Z1188" s="18" t="str">
        <f>"589.09"</f>
        <v>589.09</v>
      </c>
      <c r="AA1188" s="18"/>
      <c r="AB1188" s="18"/>
      <c r="AC1188" s="18"/>
      <c r="AD1188" s="18"/>
      <c r="AE1188" s="18"/>
      <c r="AF1188" s="18"/>
      <c r="AG1188" s="18"/>
      <c r="AH1188" s="18"/>
      <c r="AI1188" s="18"/>
    </row>
    <row r="1189" spans="1:35">
      <c r="A1189" s="14">
        <v>1187</v>
      </c>
      <c r="B1189" s="14">
        <v>10155</v>
      </c>
      <c r="C1189" s="14" t="s">
        <v>1377</v>
      </c>
      <c r="D1189" s="14" t="s">
        <v>98</v>
      </c>
      <c r="E1189" s="15" t="str">
        <f>"644.13"</f>
        <v>644.13</v>
      </c>
      <c r="F1189" s="15"/>
      <c r="G1189" s="16" t="str">
        <f>"684.13"</f>
        <v>684.13</v>
      </c>
      <c r="H1189" s="17" t="s">
        <v>48</v>
      </c>
      <c r="I1189" s="18">
        <v>1</v>
      </c>
      <c r="J1189" s="18">
        <v>2016</v>
      </c>
      <c r="K1189" s="18" t="str">
        <f>"644.13"</f>
        <v>644.13</v>
      </c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</row>
    <row r="1190" spans="1:35">
      <c r="A1190" s="14">
        <v>1188</v>
      </c>
      <c r="B1190" s="14">
        <v>10730</v>
      </c>
      <c r="C1190" s="14" t="s">
        <v>1378</v>
      </c>
      <c r="D1190" s="14" t="s">
        <v>98</v>
      </c>
      <c r="E1190" s="15" t="str">
        <f>"685.36"</f>
        <v>685.36</v>
      </c>
      <c r="F1190" s="15"/>
      <c r="G1190" s="16" t="str">
        <f>"685.36"</f>
        <v>685.36</v>
      </c>
      <c r="H1190" s="17"/>
      <c r="I1190" s="18">
        <v>5</v>
      </c>
      <c r="J1190" s="18">
        <v>2016</v>
      </c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 t="str">
        <f>"831.34"</f>
        <v>831.34</v>
      </c>
      <c r="AA1190" s="18"/>
      <c r="AB1190" s="18"/>
      <c r="AC1190" s="18"/>
      <c r="AD1190" s="18"/>
      <c r="AE1190" s="18"/>
      <c r="AF1190" s="18"/>
      <c r="AG1190" s="18"/>
      <c r="AH1190" s="18"/>
      <c r="AI1190" s="18" t="str">
        <f>"539.38"</f>
        <v>539.38</v>
      </c>
    </row>
    <row r="1191" spans="1:35">
      <c r="A1191" s="14">
        <v>1189</v>
      </c>
      <c r="B1191" s="14">
        <v>10772</v>
      </c>
      <c r="C1191" s="14" t="s">
        <v>1379</v>
      </c>
      <c r="D1191" s="14" t="s">
        <v>98</v>
      </c>
      <c r="E1191" s="15" t="str">
        <f>"687.27"</f>
        <v>687.27</v>
      </c>
      <c r="F1191" s="15"/>
      <c r="G1191" s="16" t="str">
        <f>"687.27"</f>
        <v>687.27</v>
      </c>
      <c r="H1191" s="17"/>
      <c r="I1191" s="18">
        <v>5</v>
      </c>
      <c r="J1191" s="18">
        <v>2016</v>
      </c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 t="str">
        <f>"639.82"</f>
        <v>639.82</v>
      </c>
      <c r="AA1191" s="18"/>
      <c r="AB1191" s="18"/>
      <c r="AC1191" s="18"/>
      <c r="AD1191" s="18"/>
      <c r="AE1191" s="18"/>
      <c r="AF1191" s="18"/>
      <c r="AG1191" s="18"/>
      <c r="AH1191" s="18"/>
      <c r="AI1191" s="18" t="str">
        <f>"734.72"</f>
        <v>734.72</v>
      </c>
    </row>
    <row r="1192" spans="1:35">
      <c r="A1192" s="14">
        <v>1190</v>
      </c>
      <c r="B1192" s="14">
        <v>10185</v>
      </c>
      <c r="C1192" s="14" t="s">
        <v>1380</v>
      </c>
      <c r="D1192" s="14" t="s">
        <v>98</v>
      </c>
      <c r="E1192" s="15" t="str">
        <f>"820.32"</f>
        <v>820.32</v>
      </c>
      <c r="F1192" s="15"/>
      <c r="G1192" s="16" t="str">
        <f>"687.59"</f>
        <v>687.59</v>
      </c>
      <c r="H1192" s="17" t="s">
        <v>54</v>
      </c>
      <c r="I1192" s="18">
        <v>2</v>
      </c>
      <c r="J1192" s="18">
        <v>2016</v>
      </c>
      <c r="K1192" s="18" t="str">
        <f>"993.05"</f>
        <v>993.05</v>
      </c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 t="str">
        <f>"647.59"</f>
        <v>647.59</v>
      </c>
      <c r="AA1192" s="18"/>
      <c r="AB1192" s="18"/>
      <c r="AC1192" s="18"/>
      <c r="AD1192" s="18"/>
      <c r="AE1192" s="18"/>
      <c r="AF1192" s="18"/>
      <c r="AG1192" s="18"/>
      <c r="AH1192" s="18"/>
      <c r="AI1192" s="18"/>
    </row>
    <row r="1193" spans="1:35">
      <c r="A1193" s="14">
        <v>1191</v>
      </c>
      <c r="B1193" s="14">
        <v>10710</v>
      </c>
      <c r="C1193" s="14" t="s">
        <v>1381</v>
      </c>
      <c r="D1193" s="14" t="s">
        <v>76</v>
      </c>
      <c r="E1193" s="15" t="str">
        <f>"704.31"</f>
        <v>704.31</v>
      </c>
      <c r="F1193" s="15"/>
      <c r="G1193" s="16" t="str">
        <f>"688.26"</f>
        <v>688.26</v>
      </c>
      <c r="H1193" s="17" t="s">
        <v>54</v>
      </c>
      <c r="I1193" s="18">
        <v>2</v>
      </c>
      <c r="J1193" s="18">
        <v>2016</v>
      </c>
      <c r="K1193" s="18" t="str">
        <f>"760.35"</f>
        <v>760.35</v>
      </c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 t="str">
        <f>"648.26"</f>
        <v>648.26</v>
      </c>
      <c r="Y1193" s="18"/>
      <c r="Z1193" s="18"/>
      <c r="AA1193" s="18"/>
      <c r="AB1193" s="18"/>
      <c r="AC1193" s="18"/>
      <c r="AD1193" s="18"/>
      <c r="AE1193" s="18"/>
      <c r="AF1193" s="18"/>
      <c r="AG1193" s="18"/>
      <c r="AH1193" s="18"/>
      <c r="AI1193" s="18"/>
    </row>
    <row r="1194" spans="1:35">
      <c r="A1194" s="14">
        <v>1192</v>
      </c>
      <c r="B1194" s="14">
        <v>10794</v>
      </c>
      <c r="C1194" s="14" t="s">
        <v>1382</v>
      </c>
      <c r="D1194" s="14" t="s">
        <v>98</v>
      </c>
      <c r="E1194" s="15" t="str">
        <f>"689.88"</f>
        <v>689.88</v>
      </c>
      <c r="F1194" s="15"/>
      <c r="G1194" s="16" t="str">
        <f>"689.88"</f>
        <v>689.88</v>
      </c>
      <c r="H1194" s="17" t="s">
        <v>54</v>
      </c>
      <c r="I1194" s="18">
        <v>4</v>
      </c>
      <c r="J1194" s="18">
        <v>2016</v>
      </c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 t="str">
        <f>"649.88"</f>
        <v>649.88</v>
      </c>
      <c r="AA1194" s="18"/>
      <c r="AB1194" s="18"/>
      <c r="AC1194" s="18"/>
      <c r="AD1194" s="18"/>
      <c r="AE1194" s="18"/>
      <c r="AF1194" s="18"/>
      <c r="AG1194" s="18"/>
      <c r="AH1194" s="18"/>
      <c r="AI1194" s="18"/>
    </row>
    <row r="1195" spans="1:35">
      <c r="A1195" s="14">
        <v>1193</v>
      </c>
      <c r="B1195" s="14">
        <v>11056</v>
      </c>
      <c r="C1195" s="14" t="s">
        <v>1383</v>
      </c>
      <c r="D1195" s="14" t="s">
        <v>330</v>
      </c>
      <c r="E1195" s="15" t="str">
        <f>"699.45"</f>
        <v>699.45</v>
      </c>
      <c r="F1195" s="15"/>
      <c r="G1195" s="16" t="str">
        <f>"699.45"</f>
        <v>699.45</v>
      </c>
      <c r="H1195" s="17" t="s">
        <v>54</v>
      </c>
      <c r="I1195" s="18">
        <v>4</v>
      </c>
      <c r="J1195" s="18">
        <v>2016</v>
      </c>
      <c r="K1195" s="18"/>
      <c r="L1195" s="18"/>
      <c r="M1195" s="18"/>
      <c r="N1195" s="18"/>
      <c r="O1195" s="18"/>
      <c r="P1195" s="18"/>
      <c r="Q1195" s="18"/>
      <c r="R1195" s="18" t="str">
        <f>"659.45"</f>
        <v>659.45</v>
      </c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  <c r="AH1195" s="18"/>
      <c r="AI1195" s="18"/>
    </row>
    <row r="1196" spans="1:35">
      <c r="A1196" s="14">
        <v>1194</v>
      </c>
      <c r="B1196" s="14">
        <v>10124</v>
      </c>
      <c r="C1196" s="14" t="s">
        <v>1384</v>
      </c>
      <c r="D1196" s="14" t="s">
        <v>98</v>
      </c>
      <c r="E1196" s="15" t="str">
        <f>"694.08"</f>
        <v>694.08</v>
      </c>
      <c r="F1196" s="15"/>
      <c r="G1196" s="16" t="str">
        <f>"702.22"</f>
        <v>702.22</v>
      </c>
      <c r="H1196" s="17" t="s">
        <v>54</v>
      </c>
      <c r="I1196" s="18">
        <v>2</v>
      </c>
      <c r="J1196" s="18">
        <v>2016</v>
      </c>
      <c r="K1196" s="18" t="str">
        <f>"725.94"</f>
        <v>725.94</v>
      </c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 t="str">
        <f>"662.22"</f>
        <v>662.22</v>
      </c>
      <c r="AA1196" s="18"/>
      <c r="AB1196" s="18"/>
      <c r="AC1196" s="18"/>
      <c r="AD1196" s="18"/>
      <c r="AE1196" s="18"/>
      <c r="AF1196" s="18"/>
      <c r="AG1196" s="18"/>
      <c r="AH1196" s="18"/>
      <c r="AI1196" s="18"/>
    </row>
    <row r="1197" spans="1:35">
      <c r="A1197" s="14">
        <v>1195</v>
      </c>
      <c r="B1197" s="14">
        <v>10867</v>
      </c>
      <c r="C1197" s="14" t="s">
        <v>1385</v>
      </c>
      <c r="D1197" s="14" t="s">
        <v>76</v>
      </c>
      <c r="E1197" s="15" t="str">
        <f>"711.70"</f>
        <v>711.70</v>
      </c>
      <c r="F1197" s="15"/>
      <c r="G1197" s="16" t="str">
        <f>"711.70"</f>
        <v>711.70</v>
      </c>
      <c r="H1197" s="17"/>
      <c r="I1197" s="18">
        <v>5</v>
      </c>
      <c r="J1197" s="18">
        <v>2016</v>
      </c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 t="str">
        <f>"794.99"</f>
        <v>794.99</v>
      </c>
      <c r="Y1197" s="18"/>
      <c r="Z1197" s="18"/>
      <c r="AA1197" s="18"/>
      <c r="AB1197" s="18"/>
      <c r="AC1197" s="18" t="str">
        <f>"628.41"</f>
        <v>628.41</v>
      </c>
      <c r="AD1197" s="18"/>
      <c r="AE1197" s="18"/>
      <c r="AF1197" s="18"/>
      <c r="AG1197" s="18"/>
      <c r="AH1197" s="18"/>
      <c r="AI1197" s="18"/>
    </row>
    <row r="1198" spans="1:35">
      <c r="A1198" s="14">
        <v>1196</v>
      </c>
      <c r="B1198" s="14">
        <v>10888</v>
      </c>
      <c r="C1198" s="14" t="s">
        <v>1386</v>
      </c>
      <c r="D1198" s="14" t="s">
        <v>76</v>
      </c>
      <c r="E1198" s="15" t="str">
        <f>"712.31"</f>
        <v>712.31</v>
      </c>
      <c r="F1198" s="15"/>
      <c r="G1198" s="16" t="str">
        <f>"712.31"</f>
        <v>712.31</v>
      </c>
      <c r="H1198" s="17" t="s">
        <v>54</v>
      </c>
      <c r="I1198" s="18">
        <v>4</v>
      </c>
      <c r="J1198" s="18">
        <v>2016</v>
      </c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 t="str">
        <f>"672.31"</f>
        <v>672.31</v>
      </c>
      <c r="Y1198" s="18"/>
      <c r="Z1198" s="18"/>
      <c r="AA1198" s="18"/>
      <c r="AB1198" s="18"/>
      <c r="AC1198" s="18"/>
      <c r="AD1198" s="18"/>
      <c r="AE1198" s="18"/>
      <c r="AF1198" s="18"/>
      <c r="AG1198" s="18"/>
      <c r="AH1198" s="18"/>
      <c r="AI1198" s="18"/>
    </row>
    <row r="1199" spans="1:35">
      <c r="A1199" s="14">
        <v>1197</v>
      </c>
      <c r="B1199" s="14">
        <v>10178</v>
      </c>
      <c r="C1199" s="14" t="s">
        <v>1387</v>
      </c>
      <c r="D1199" s="14" t="s">
        <v>98</v>
      </c>
      <c r="E1199" s="15" t="str">
        <f>"707.94"</f>
        <v>707.94</v>
      </c>
      <c r="F1199" s="15"/>
      <c r="G1199" s="16" t="str">
        <f>"713.68"</f>
        <v>713.68</v>
      </c>
      <c r="H1199" s="17"/>
      <c r="I1199" s="18">
        <v>3</v>
      </c>
      <c r="J1199" s="18">
        <v>2016</v>
      </c>
      <c r="K1199" s="18" t="str">
        <f>"753.20"</f>
        <v>753.20</v>
      </c>
      <c r="L1199" s="18"/>
      <c r="M1199" s="18"/>
      <c r="N1199" s="18"/>
      <c r="O1199" s="18"/>
      <c r="P1199" s="18"/>
      <c r="Q1199" s="18"/>
      <c r="R1199" s="18"/>
      <c r="S1199" s="18"/>
      <c r="T1199" s="18"/>
      <c r="U1199" s="18" t="str">
        <f>"764.68"</f>
        <v>764.68</v>
      </c>
      <c r="V1199" s="18"/>
      <c r="W1199" s="18"/>
      <c r="X1199" s="18"/>
      <c r="Y1199" s="18"/>
      <c r="Z1199" s="18" t="str">
        <f>"662.68"</f>
        <v>662.68</v>
      </c>
      <c r="AA1199" s="18"/>
      <c r="AB1199" s="18"/>
      <c r="AC1199" s="18"/>
      <c r="AD1199" s="18"/>
      <c r="AE1199" s="18"/>
      <c r="AF1199" s="18"/>
      <c r="AG1199" s="18"/>
      <c r="AH1199" s="18"/>
      <c r="AI1199" s="18"/>
    </row>
    <row r="1200" spans="1:35">
      <c r="A1200" s="14">
        <v>1198</v>
      </c>
      <c r="B1200" s="14">
        <v>10795</v>
      </c>
      <c r="C1200" s="14" t="s">
        <v>1388</v>
      </c>
      <c r="D1200" s="14" t="s">
        <v>98</v>
      </c>
      <c r="E1200" s="15" t="str">
        <f>"715.02"</f>
        <v>715.02</v>
      </c>
      <c r="F1200" s="15"/>
      <c r="G1200" s="16" t="str">
        <f>"715.02"</f>
        <v>715.02</v>
      </c>
      <c r="H1200" s="17" t="s">
        <v>54</v>
      </c>
      <c r="I1200" s="18">
        <v>4</v>
      </c>
      <c r="J1200" s="18">
        <v>2016</v>
      </c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 t="str">
        <f>"675.02"</f>
        <v>675.02</v>
      </c>
      <c r="AA1200" s="18"/>
      <c r="AB1200" s="18"/>
      <c r="AC1200" s="18"/>
      <c r="AD1200" s="18"/>
      <c r="AE1200" s="18"/>
      <c r="AF1200" s="18"/>
      <c r="AG1200" s="18"/>
      <c r="AH1200" s="18"/>
      <c r="AI1200" s="18"/>
    </row>
    <row r="1201" spans="1:35">
      <c r="A1201" s="14">
        <v>1199</v>
      </c>
      <c r="B1201" s="14">
        <v>10475</v>
      </c>
      <c r="C1201" s="14" t="s">
        <v>1389</v>
      </c>
      <c r="D1201" s="14" t="s">
        <v>98</v>
      </c>
      <c r="E1201" s="15" t="str">
        <f>"1008.56"</f>
        <v>1008.56</v>
      </c>
      <c r="F1201" s="15"/>
      <c r="G1201" s="16" t="str">
        <f>"718.22"</f>
        <v>718.22</v>
      </c>
      <c r="H1201" s="17" t="s">
        <v>54</v>
      </c>
      <c r="I1201" s="18">
        <v>2</v>
      </c>
      <c r="J1201" s="18">
        <v>2016</v>
      </c>
      <c r="K1201" s="18" t="str">
        <f>"1338.89"</f>
        <v>1338.89</v>
      </c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 t="str">
        <f>"678.22"</f>
        <v>678.22</v>
      </c>
      <c r="AA1201" s="18"/>
      <c r="AB1201" s="18"/>
      <c r="AC1201" s="18"/>
      <c r="AD1201" s="18"/>
      <c r="AE1201" s="18"/>
      <c r="AF1201" s="18"/>
      <c r="AG1201" s="18"/>
      <c r="AH1201" s="18"/>
      <c r="AI1201" s="18"/>
    </row>
    <row r="1202" spans="1:35">
      <c r="A1202" s="14">
        <v>1200</v>
      </c>
      <c r="B1202" s="14">
        <v>10737</v>
      </c>
      <c r="C1202" s="14" t="s">
        <v>1390</v>
      </c>
      <c r="D1202" s="14" t="s">
        <v>98</v>
      </c>
      <c r="E1202" s="15" t="str">
        <f>"719.10"</f>
        <v>719.10</v>
      </c>
      <c r="F1202" s="15"/>
      <c r="G1202" s="16" t="str">
        <f>"719.10"</f>
        <v>719.10</v>
      </c>
      <c r="H1202" s="17"/>
      <c r="I1202" s="18">
        <v>5</v>
      </c>
      <c r="J1202" s="18">
        <v>2016</v>
      </c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 t="str">
        <f>"785.57"</f>
        <v>785.57</v>
      </c>
      <c r="V1202" s="18"/>
      <c r="W1202" s="18"/>
      <c r="X1202" s="18"/>
      <c r="Y1202" s="18"/>
      <c r="Z1202" s="18" t="str">
        <f>"652.62"</f>
        <v>652.62</v>
      </c>
      <c r="AA1202" s="18"/>
      <c r="AB1202" s="18"/>
      <c r="AC1202" s="18"/>
      <c r="AD1202" s="18"/>
      <c r="AE1202" s="18"/>
      <c r="AF1202" s="18"/>
      <c r="AG1202" s="18"/>
      <c r="AH1202" s="18"/>
      <c r="AI1202" s="18"/>
    </row>
    <row r="1203" spans="1:35">
      <c r="A1203" s="14">
        <v>1201</v>
      </c>
      <c r="B1203" s="14">
        <v>10733</v>
      </c>
      <c r="C1203" s="14" t="s">
        <v>1391</v>
      </c>
      <c r="D1203" s="14" t="s">
        <v>98</v>
      </c>
      <c r="E1203" s="15" t="str">
        <f>"722.34"</f>
        <v>722.34</v>
      </c>
      <c r="F1203" s="15"/>
      <c r="G1203" s="16" t="str">
        <f>"722.34"</f>
        <v>722.34</v>
      </c>
      <c r="H1203" s="17"/>
      <c r="I1203" s="18">
        <v>5</v>
      </c>
      <c r="J1203" s="18">
        <v>2016</v>
      </c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 t="str">
        <f>"815.37"</f>
        <v>815.37</v>
      </c>
      <c r="V1203" s="18"/>
      <c r="W1203" s="18"/>
      <c r="X1203" s="18"/>
      <c r="Y1203" s="18"/>
      <c r="Z1203" s="18" t="str">
        <f>"629.31"</f>
        <v>629.31</v>
      </c>
      <c r="AA1203" s="18"/>
      <c r="AB1203" s="18"/>
      <c r="AC1203" s="18"/>
      <c r="AD1203" s="18"/>
      <c r="AE1203" s="18"/>
      <c r="AF1203" s="18"/>
      <c r="AG1203" s="18"/>
      <c r="AH1203" s="18"/>
      <c r="AI1203" s="18"/>
    </row>
    <row r="1204" spans="1:35">
      <c r="A1204" s="14">
        <v>1202</v>
      </c>
      <c r="B1204" s="14">
        <v>10849</v>
      </c>
      <c r="C1204" s="14" t="s">
        <v>1392</v>
      </c>
      <c r="D1204" s="14" t="s">
        <v>76</v>
      </c>
      <c r="E1204" s="15" t="str">
        <f>"724.10"</f>
        <v>724.10</v>
      </c>
      <c r="F1204" s="15"/>
      <c r="G1204" s="16" t="str">
        <f>"724.10"</f>
        <v>724.10</v>
      </c>
      <c r="H1204" s="17"/>
      <c r="I1204" s="18">
        <v>5</v>
      </c>
      <c r="J1204" s="18">
        <v>2016</v>
      </c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 t="str">
        <f>"808.64"</f>
        <v>808.64</v>
      </c>
      <c r="Y1204" s="18"/>
      <c r="Z1204" s="18"/>
      <c r="AA1204" s="18"/>
      <c r="AB1204" s="18"/>
      <c r="AC1204" s="18" t="str">
        <f>"639.55"</f>
        <v>639.55</v>
      </c>
      <c r="AD1204" s="18"/>
      <c r="AE1204" s="18"/>
      <c r="AF1204" s="18"/>
      <c r="AG1204" s="18"/>
      <c r="AH1204" s="18"/>
      <c r="AI1204" s="18"/>
    </row>
    <row r="1205" spans="1:35">
      <c r="A1205" s="14">
        <v>1203</v>
      </c>
      <c r="B1205" s="14">
        <v>10485</v>
      </c>
      <c r="C1205" s="14" t="s">
        <v>1393</v>
      </c>
      <c r="D1205" s="14" t="s">
        <v>98</v>
      </c>
      <c r="E1205" s="15" t="str">
        <f>"696.69"</f>
        <v>696.69</v>
      </c>
      <c r="F1205" s="15"/>
      <c r="G1205" s="16" t="str">
        <f>"736.69"</f>
        <v>736.69</v>
      </c>
      <c r="H1205" s="17" t="s">
        <v>48</v>
      </c>
      <c r="I1205" s="18">
        <v>1</v>
      </c>
      <c r="J1205" s="18">
        <v>2016</v>
      </c>
      <c r="K1205" s="18" t="str">
        <f>"696.69"</f>
        <v>696.69</v>
      </c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  <c r="AF1205" s="18"/>
      <c r="AG1205" s="18"/>
      <c r="AH1205" s="18"/>
      <c r="AI1205" s="18"/>
    </row>
    <row r="1206" spans="1:35">
      <c r="A1206" s="14">
        <v>1204</v>
      </c>
      <c r="B1206" s="14">
        <v>11100</v>
      </c>
      <c r="C1206" s="14" t="s">
        <v>1394</v>
      </c>
      <c r="D1206" s="14" t="s">
        <v>39</v>
      </c>
      <c r="E1206" s="15" t="str">
        <f>"737.07"</f>
        <v>737.07</v>
      </c>
      <c r="F1206" s="15"/>
      <c r="G1206" s="16" t="str">
        <f>"737.07"</f>
        <v>737.07</v>
      </c>
      <c r="H1206" s="17"/>
      <c r="I1206" s="18">
        <v>5</v>
      </c>
      <c r="J1206" s="18">
        <v>2016</v>
      </c>
      <c r="K1206" s="18"/>
      <c r="L1206" s="18"/>
      <c r="M1206" s="18"/>
      <c r="N1206" s="18"/>
      <c r="O1206" s="18"/>
      <c r="P1206" s="18" t="str">
        <f>"827.11"</f>
        <v>827.11</v>
      </c>
      <c r="Q1206" s="18"/>
      <c r="R1206" s="18" t="str">
        <f>"647.02"</f>
        <v>647.02</v>
      </c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  <c r="AF1206" s="18"/>
      <c r="AG1206" s="18"/>
      <c r="AH1206" s="18"/>
      <c r="AI1206" s="18"/>
    </row>
    <row r="1207" spans="1:35">
      <c r="A1207" s="14">
        <v>1205</v>
      </c>
      <c r="B1207" s="14">
        <v>10793</v>
      </c>
      <c r="C1207" s="14" t="s">
        <v>1395</v>
      </c>
      <c r="D1207" s="14" t="s">
        <v>98</v>
      </c>
      <c r="E1207" s="15" t="str">
        <f>"738.79"</f>
        <v>738.79</v>
      </c>
      <c r="F1207" s="15"/>
      <c r="G1207" s="16" t="str">
        <f>"738.79"</f>
        <v>738.79</v>
      </c>
      <c r="H1207" s="17" t="s">
        <v>54</v>
      </c>
      <c r="I1207" s="18">
        <v>4</v>
      </c>
      <c r="J1207" s="18">
        <v>2016</v>
      </c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 t="str">
        <f>"698.79"</f>
        <v>698.79</v>
      </c>
      <c r="AA1207" s="18"/>
      <c r="AB1207" s="18"/>
      <c r="AC1207" s="18"/>
      <c r="AD1207" s="18"/>
      <c r="AE1207" s="18"/>
      <c r="AF1207" s="18"/>
      <c r="AG1207" s="18"/>
      <c r="AH1207" s="18"/>
      <c r="AI1207" s="18"/>
    </row>
    <row r="1208" spans="1:35">
      <c r="A1208" s="14">
        <v>1206</v>
      </c>
      <c r="B1208" s="14">
        <v>9986</v>
      </c>
      <c r="C1208" s="14" t="s">
        <v>1396</v>
      </c>
      <c r="D1208" s="14" t="s">
        <v>148</v>
      </c>
      <c r="E1208" s="15" t="str">
        <f>"699.92"</f>
        <v>699.92</v>
      </c>
      <c r="F1208" s="15"/>
      <c r="G1208" s="16" t="str">
        <f>"739.92"</f>
        <v>739.92</v>
      </c>
      <c r="H1208" s="17" t="s">
        <v>48</v>
      </c>
      <c r="I1208" s="18">
        <v>1</v>
      </c>
      <c r="J1208" s="18">
        <v>2016</v>
      </c>
      <c r="K1208" s="18" t="str">
        <f>"699.92"</f>
        <v>699.92</v>
      </c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  <c r="AF1208" s="18"/>
      <c r="AG1208" s="18"/>
      <c r="AH1208" s="18"/>
      <c r="AI1208" s="18"/>
    </row>
    <row r="1209" spans="1:35">
      <c r="A1209" s="14">
        <v>1207</v>
      </c>
      <c r="B1209" s="14">
        <v>10524</v>
      </c>
      <c r="C1209" s="14" t="s">
        <v>1397</v>
      </c>
      <c r="D1209" s="14" t="s">
        <v>330</v>
      </c>
      <c r="E1209" s="15" t="str">
        <f>"689.11"</f>
        <v>689.11</v>
      </c>
      <c r="F1209" s="15"/>
      <c r="G1209" s="16" t="str">
        <f>"741.15"</f>
        <v>741.15</v>
      </c>
      <c r="H1209" s="17"/>
      <c r="I1209" s="18">
        <v>3</v>
      </c>
      <c r="J1209" s="18">
        <v>2016</v>
      </c>
      <c r="K1209" s="18" t="str">
        <f>"805.79"</f>
        <v>805.79</v>
      </c>
      <c r="L1209" s="18"/>
      <c r="M1209" s="18"/>
      <c r="N1209" s="18"/>
      <c r="O1209" s="18"/>
      <c r="P1209" s="18" t="str">
        <f>"909.87"</f>
        <v>909.87</v>
      </c>
      <c r="Q1209" s="18"/>
      <c r="R1209" s="18" t="str">
        <f>"572.43"</f>
        <v>572.43</v>
      </c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  <c r="AF1209" s="18"/>
      <c r="AG1209" s="18"/>
      <c r="AH1209" s="18"/>
      <c r="AI1209" s="18"/>
    </row>
    <row r="1210" spans="1:35">
      <c r="A1210" s="14">
        <v>1208</v>
      </c>
      <c r="B1210" s="14">
        <v>1439</v>
      </c>
      <c r="C1210" s="14" t="s">
        <v>1398</v>
      </c>
      <c r="D1210" s="14" t="s">
        <v>378</v>
      </c>
      <c r="E1210" s="15" t="str">
        <f>"702.00"</f>
        <v>702.00</v>
      </c>
      <c r="F1210" s="15"/>
      <c r="G1210" s="16" t="str">
        <f>"742.00"</f>
        <v>742.00</v>
      </c>
      <c r="H1210" s="17" t="s">
        <v>48</v>
      </c>
      <c r="I1210" s="18">
        <v>1</v>
      </c>
      <c r="J1210" s="18">
        <v>2016</v>
      </c>
      <c r="K1210" s="18" t="str">
        <f>"702.00"</f>
        <v>702.00</v>
      </c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  <c r="AF1210" s="18"/>
      <c r="AG1210" s="18"/>
      <c r="AH1210" s="18"/>
      <c r="AI1210" s="18"/>
    </row>
    <row r="1211" spans="1:35">
      <c r="A1211" s="14">
        <v>1209</v>
      </c>
      <c r="B1211" s="14">
        <v>10734</v>
      </c>
      <c r="C1211" s="14" t="s">
        <v>1399</v>
      </c>
      <c r="D1211" s="14" t="s">
        <v>98</v>
      </c>
      <c r="E1211" s="15" t="str">
        <f>"747.93"</f>
        <v>747.93</v>
      </c>
      <c r="F1211" s="15"/>
      <c r="G1211" s="16" t="str">
        <f>"747.93"</f>
        <v>747.93</v>
      </c>
      <c r="H1211" s="17" t="s">
        <v>54</v>
      </c>
      <c r="I1211" s="18">
        <v>4</v>
      </c>
      <c r="J1211" s="18">
        <v>2016</v>
      </c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 t="str">
        <f>"707.93"</f>
        <v>707.93</v>
      </c>
      <c r="AA1211" s="18"/>
      <c r="AB1211" s="18"/>
      <c r="AC1211" s="18"/>
      <c r="AD1211" s="18"/>
      <c r="AE1211" s="18"/>
      <c r="AF1211" s="18"/>
      <c r="AG1211" s="18"/>
      <c r="AH1211" s="18"/>
      <c r="AI1211" s="18"/>
    </row>
    <row r="1212" spans="1:35">
      <c r="A1212" s="14">
        <v>1210</v>
      </c>
      <c r="B1212" s="14">
        <v>10729</v>
      </c>
      <c r="C1212" s="14" t="s">
        <v>1400</v>
      </c>
      <c r="D1212" s="14" t="s">
        <v>98</v>
      </c>
      <c r="E1212" s="15" t="str">
        <f>"749.30"</f>
        <v>749.30</v>
      </c>
      <c r="F1212" s="15"/>
      <c r="G1212" s="16" t="str">
        <f>"749.30"</f>
        <v>749.30</v>
      </c>
      <c r="H1212" s="17" t="s">
        <v>54</v>
      </c>
      <c r="I1212" s="18">
        <v>4</v>
      </c>
      <c r="J1212" s="18">
        <v>2016</v>
      </c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 t="str">
        <f>"709.30"</f>
        <v>709.30</v>
      </c>
      <c r="AA1212" s="18"/>
      <c r="AB1212" s="18"/>
      <c r="AC1212" s="18"/>
      <c r="AD1212" s="18"/>
      <c r="AE1212" s="18"/>
      <c r="AF1212" s="18"/>
      <c r="AG1212" s="18"/>
      <c r="AH1212" s="18"/>
      <c r="AI1212" s="18"/>
    </row>
    <row r="1213" spans="1:35">
      <c r="A1213" s="14">
        <v>1211</v>
      </c>
      <c r="B1213" s="14">
        <v>11062</v>
      </c>
      <c r="C1213" s="14" t="s">
        <v>1401</v>
      </c>
      <c r="D1213" s="14" t="s">
        <v>330</v>
      </c>
      <c r="E1213" s="15" t="str">
        <f>"750.18"</f>
        <v>750.18</v>
      </c>
      <c r="F1213" s="15"/>
      <c r="G1213" s="16" t="str">
        <f>"750.18"</f>
        <v>750.18</v>
      </c>
      <c r="H1213" s="17"/>
      <c r="I1213" s="18">
        <v>5</v>
      </c>
      <c r="J1213" s="18">
        <v>2016</v>
      </c>
      <c r="K1213" s="18"/>
      <c r="L1213" s="18"/>
      <c r="M1213" s="18"/>
      <c r="N1213" s="18"/>
      <c r="O1213" s="18"/>
      <c r="P1213" s="18" t="str">
        <f>"810.09"</f>
        <v>810.09</v>
      </c>
      <c r="Q1213" s="18"/>
      <c r="R1213" s="18" t="str">
        <f>"690.27"</f>
        <v>690.27</v>
      </c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  <c r="AF1213" s="18"/>
      <c r="AG1213" s="18"/>
      <c r="AH1213" s="18"/>
      <c r="AI1213" s="18"/>
    </row>
    <row r="1214" spans="1:35">
      <c r="A1214" s="14">
        <v>1212</v>
      </c>
      <c r="B1214" s="14">
        <v>10102</v>
      </c>
      <c r="C1214" s="14" t="s">
        <v>1402</v>
      </c>
      <c r="D1214" s="14" t="s">
        <v>222</v>
      </c>
      <c r="E1214" s="15" t="str">
        <f>"711.74"</f>
        <v>711.74</v>
      </c>
      <c r="F1214" s="15"/>
      <c r="G1214" s="16" t="str">
        <f>"751.74"</f>
        <v>751.74</v>
      </c>
      <c r="H1214" s="17" t="s">
        <v>48</v>
      </c>
      <c r="I1214" s="18">
        <v>1</v>
      </c>
      <c r="J1214" s="18">
        <v>2016</v>
      </c>
      <c r="K1214" s="18" t="str">
        <f>"711.74"</f>
        <v>711.74</v>
      </c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  <c r="AF1214" s="18"/>
      <c r="AG1214" s="18"/>
      <c r="AH1214" s="18"/>
      <c r="AI1214" s="18"/>
    </row>
    <row r="1215" spans="1:35">
      <c r="A1215" s="14">
        <v>1213</v>
      </c>
      <c r="B1215" s="14">
        <v>3975</v>
      </c>
      <c r="C1215" s="14" t="s">
        <v>1403</v>
      </c>
      <c r="D1215" s="14" t="s">
        <v>1404</v>
      </c>
      <c r="E1215" s="15" t="str">
        <f>"718.02"</f>
        <v>718.02</v>
      </c>
      <c r="F1215" s="15"/>
      <c r="G1215" s="16" t="str">
        <f>"758.02"</f>
        <v>758.02</v>
      </c>
      <c r="H1215" s="17" t="s">
        <v>48</v>
      </c>
      <c r="I1215" s="18">
        <v>1</v>
      </c>
      <c r="J1215" s="18">
        <v>2016</v>
      </c>
      <c r="K1215" s="18" t="str">
        <f>"718.02"</f>
        <v>718.02</v>
      </c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  <c r="AF1215" s="18"/>
      <c r="AG1215" s="18"/>
      <c r="AH1215" s="18"/>
      <c r="AI1215" s="18"/>
    </row>
    <row r="1216" spans="1:35">
      <c r="A1216" s="14">
        <v>1214</v>
      </c>
      <c r="B1216" s="14">
        <v>10159</v>
      </c>
      <c r="C1216" s="14" t="s">
        <v>1405</v>
      </c>
      <c r="D1216" s="14" t="s">
        <v>98</v>
      </c>
      <c r="E1216" s="15" t="str">
        <f>"719.93"</f>
        <v>719.93</v>
      </c>
      <c r="F1216" s="15"/>
      <c r="G1216" s="16" t="str">
        <f>"759.93"</f>
        <v>759.93</v>
      </c>
      <c r="H1216" s="17" t="s">
        <v>48</v>
      </c>
      <c r="I1216" s="18">
        <v>1</v>
      </c>
      <c r="J1216" s="18">
        <v>2016</v>
      </c>
      <c r="K1216" s="18" t="str">
        <f>"719.93"</f>
        <v>719.93</v>
      </c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  <c r="AF1216" s="18"/>
      <c r="AG1216" s="18"/>
      <c r="AH1216" s="18"/>
      <c r="AI1216" s="18"/>
    </row>
    <row r="1217" spans="1:35">
      <c r="A1217" s="14">
        <v>1215</v>
      </c>
      <c r="B1217" s="14">
        <v>10472</v>
      </c>
      <c r="C1217" s="14" t="s">
        <v>1406</v>
      </c>
      <c r="D1217" s="14" t="s">
        <v>98</v>
      </c>
      <c r="E1217" s="15" t="str">
        <f>"1094.65"</f>
        <v>1094.65</v>
      </c>
      <c r="F1217" s="15"/>
      <c r="G1217" s="16" t="str">
        <f>"763.01"</f>
        <v>763.01</v>
      </c>
      <c r="H1217" s="17" t="s">
        <v>54</v>
      </c>
      <c r="I1217" s="18">
        <v>2</v>
      </c>
      <c r="J1217" s="18">
        <v>2016</v>
      </c>
      <c r="K1217" s="18" t="str">
        <f>"1466.28"</f>
        <v>1466.28</v>
      </c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 t="str">
        <f>"723.01"</f>
        <v>723.01</v>
      </c>
      <c r="AA1217" s="18"/>
      <c r="AB1217" s="18"/>
      <c r="AC1217" s="18"/>
      <c r="AD1217" s="18"/>
      <c r="AE1217" s="18"/>
      <c r="AF1217" s="18"/>
      <c r="AG1217" s="18"/>
      <c r="AH1217" s="18"/>
      <c r="AI1217" s="18"/>
    </row>
    <row r="1218" spans="1:35">
      <c r="A1218" s="14">
        <v>1216</v>
      </c>
      <c r="B1218" s="14">
        <v>10840</v>
      </c>
      <c r="C1218" s="14" t="s">
        <v>1407</v>
      </c>
      <c r="D1218" s="14" t="s">
        <v>76</v>
      </c>
      <c r="E1218" s="15" t="str">
        <f>"765.41"</f>
        <v>765.41</v>
      </c>
      <c r="F1218" s="15"/>
      <c r="G1218" s="16" t="str">
        <f>"765.41"</f>
        <v>765.41</v>
      </c>
      <c r="H1218" s="17" t="s">
        <v>54</v>
      </c>
      <c r="I1218" s="18">
        <v>4</v>
      </c>
      <c r="J1218" s="18">
        <v>2016</v>
      </c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 t="str">
        <f>"725.41"</f>
        <v>725.41</v>
      </c>
      <c r="Y1218" s="18"/>
      <c r="Z1218" s="18"/>
      <c r="AA1218" s="18"/>
      <c r="AB1218" s="18"/>
      <c r="AC1218" s="18"/>
      <c r="AD1218" s="18"/>
      <c r="AE1218" s="18"/>
      <c r="AF1218" s="18"/>
      <c r="AG1218" s="18"/>
      <c r="AH1218" s="18"/>
      <c r="AI1218" s="18"/>
    </row>
    <row r="1219" spans="1:35">
      <c r="A1219" s="14">
        <v>1217</v>
      </c>
      <c r="B1219" s="14">
        <v>11086</v>
      </c>
      <c r="C1219" s="14" t="s">
        <v>1408</v>
      </c>
      <c r="D1219" s="14" t="s">
        <v>74</v>
      </c>
      <c r="E1219" s="15" t="str">
        <f>"766.24"</f>
        <v>766.24</v>
      </c>
      <c r="F1219" s="15"/>
      <c r="G1219" s="16" t="str">
        <f>"766.24"</f>
        <v>766.24</v>
      </c>
      <c r="H1219" s="17"/>
      <c r="I1219" s="18">
        <v>5</v>
      </c>
      <c r="J1219" s="18">
        <v>2016</v>
      </c>
      <c r="K1219" s="18"/>
      <c r="L1219" s="18"/>
      <c r="M1219" s="18"/>
      <c r="N1219" s="18"/>
      <c r="O1219" s="18"/>
      <c r="P1219" s="18" t="str">
        <f>"920.77"</f>
        <v>920.77</v>
      </c>
      <c r="Q1219" s="18"/>
      <c r="R1219" s="18" t="str">
        <f>"611.71"</f>
        <v>611.71</v>
      </c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  <c r="AF1219" s="18"/>
      <c r="AG1219" s="18"/>
      <c r="AH1219" s="18"/>
      <c r="AI1219" s="18"/>
    </row>
    <row r="1220" spans="1:35">
      <c r="A1220" s="14">
        <v>1218</v>
      </c>
      <c r="B1220" s="14">
        <v>10477</v>
      </c>
      <c r="C1220" s="14" t="s">
        <v>1409</v>
      </c>
      <c r="D1220" s="14" t="s">
        <v>98</v>
      </c>
      <c r="E1220" s="15" t="str">
        <f>"1347.27"</f>
        <v>1347.27</v>
      </c>
      <c r="F1220" s="15"/>
      <c r="G1220" s="16" t="str">
        <f>"773.07"</f>
        <v>773.07</v>
      </c>
      <c r="H1220" s="17" t="s">
        <v>54</v>
      </c>
      <c r="I1220" s="18">
        <v>2</v>
      </c>
      <c r="J1220" s="18">
        <v>2016</v>
      </c>
      <c r="K1220" s="18" t="str">
        <f>"1961.46"</f>
        <v>1961.46</v>
      </c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 t="str">
        <f>"733.07"</f>
        <v>733.07</v>
      </c>
      <c r="AA1220" s="18"/>
      <c r="AB1220" s="18"/>
      <c r="AC1220" s="18"/>
      <c r="AD1220" s="18"/>
      <c r="AE1220" s="18"/>
      <c r="AF1220" s="18"/>
      <c r="AG1220" s="18"/>
      <c r="AH1220" s="18"/>
      <c r="AI1220" s="18"/>
    </row>
    <row r="1221" spans="1:35">
      <c r="A1221" s="14">
        <v>1219</v>
      </c>
      <c r="B1221" s="14">
        <v>11061</v>
      </c>
      <c r="C1221" s="14" t="s">
        <v>1410</v>
      </c>
      <c r="D1221" s="14" t="s">
        <v>330</v>
      </c>
      <c r="E1221" s="15" t="str">
        <f>"776.86"</f>
        <v>776.86</v>
      </c>
      <c r="F1221" s="15"/>
      <c r="G1221" s="16" t="str">
        <f>"776.86"</f>
        <v>776.86</v>
      </c>
      <c r="H1221" s="17" t="s">
        <v>54</v>
      </c>
      <c r="I1221" s="18">
        <v>4</v>
      </c>
      <c r="J1221" s="18">
        <v>2016</v>
      </c>
      <c r="K1221" s="18"/>
      <c r="L1221" s="18"/>
      <c r="M1221" s="18"/>
      <c r="N1221" s="18"/>
      <c r="O1221" s="18"/>
      <c r="P1221" s="18" t="str">
        <f>"736.86"</f>
        <v>736.86</v>
      </c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  <c r="AF1221" s="18"/>
      <c r="AG1221" s="18"/>
      <c r="AH1221" s="18"/>
      <c r="AI1221" s="18"/>
    </row>
    <row r="1222" spans="1:35">
      <c r="A1222" s="14">
        <v>1220</v>
      </c>
      <c r="B1222" s="14">
        <v>10791</v>
      </c>
      <c r="C1222" s="14" t="s">
        <v>1411</v>
      </c>
      <c r="D1222" s="14" t="s">
        <v>98</v>
      </c>
      <c r="E1222" s="15" t="str">
        <f>"779.93"</f>
        <v>779.93</v>
      </c>
      <c r="F1222" s="15"/>
      <c r="G1222" s="16" t="str">
        <f>"779.93"</f>
        <v>779.93</v>
      </c>
      <c r="H1222" s="17" t="s">
        <v>54</v>
      </c>
      <c r="I1222" s="18">
        <v>4</v>
      </c>
      <c r="J1222" s="18">
        <v>2016</v>
      </c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 t="str">
        <f>"739.93"</f>
        <v>739.93</v>
      </c>
      <c r="AA1222" s="18"/>
      <c r="AB1222" s="18"/>
      <c r="AC1222" s="18"/>
      <c r="AD1222" s="18"/>
      <c r="AE1222" s="18"/>
      <c r="AF1222" s="18"/>
      <c r="AG1222" s="18"/>
      <c r="AH1222" s="18"/>
      <c r="AI1222" s="18"/>
    </row>
    <row r="1223" spans="1:35">
      <c r="A1223" s="14">
        <v>1221</v>
      </c>
      <c r="B1223" s="14">
        <v>10856</v>
      </c>
      <c r="C1223" s="14" t="s">
        <v>1412</v>
      </c>
      <c r="D1223" s="14" t="s">
        <v>76</v>
      </c>
      <c r="E1223" s="15" t="str">
        <f>"780.00"</f>
        <v>780.00</v>
      </c>
      <c r="F1223" s="15"/>
      <c r="G1223" s="16" t="str">
        <f>"780.00"</f>
        <v>780.00</v>
      </c>
      <c r="H1223" s="17" t="s">
        <v>54</v>
      </c>
      <c r="I1223" s="18">
        <v>4</v>
      </c>
      <c r="J1223" s="18">
        <v>2016</v>
      </c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 t="str">
        <f>"740.00"</f>
        <v>740.00</v>
      </c>
      <c r="Y1223" s="18"/>
      <c r="Z1223" s="18"/>
      <c r="AA1223" s="18"/>
      <c r="AB1223" s="18"/>
      <c r="AC1223" s="18"/>
      <c r="AD1223" s="18"/>
      <c r="AE1223" s="18"/>
      <c r="AF1223" s="18"/>
      <c r="AG1223" s="18"/>
      <c r="AH1223" s="18"/>
      <c r="AI1223" s="18"/>
    </row>
    <row r="1224" spans="1:35">
      <c r="A1224" s="14">
        <v>1222</v>
      </c>
      <c r="B1224" s="14">
        <v>5766</v>
      </c>
      <c r="C1224" s="14" t="s">
        <v>1413</v>
      </c>
      <c r="D1224" s="14" t="s">
        <v>127</v>
      </c>
      <c r="E1224" s="15" t="str">
        <f>"742.07"</f>
        <v>742.07</v>
      </c>
      <c r="F1224" s="15"/>
      <c r="G1224" s="16" t="str">
        <f>"782.07"</f>
        <v>782.07</v>
      </c>
      <c r="H1224" s="17" t="s">
        <v>48</v>
      </c>
      <c r="I1224" s="18">
        <v>1</v>
      </c>
      <c r="J1224" s="18">
        <v>2016</v>
      </c>
      <c r="K1224" s="18" t="str">
        <f>"742.07"</f>
        <v>742.07</v>
      </c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  <c r="AF1224" s="18"/>
      <c r="AG1224" s="18"/>
      <c r="AH1224" s="18"/>
      <c r="AI1224" s="18"/>
    </row>
    <row r="1225" spans="1:35">
      <c r="A1225" s="14">
        <v>1223</v>
      </c>
      <c r="B1225" s="14">
        <v>10956</v>
      </c>
      <c r="C1225" s="14" t="s">
        <v>1414</v>
      </c>
      <c r="D1225" s="14" t="s">
        <v>98</v>
      </c>
      <c r="E1225" s="15" t="str">
        <f>"782.96"</f>
        <v>782.96</v>
      </c>
      <c r="F1225" s="15"/>
      <c r="G1225" s="16" t="str">
        <f>"782.96"</f>
        <v>782.96</v>
      </c>
      <c r="H1225" s="17" t="s">
        <v>54</v>
      </c>
      <c r="I1225" s="18">
        <v>4</v>
      </c>
      <c r="J1225" s="18">
        <v>2016</v>
      </c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  <c r="AF1225" s="18"/>
      <c r="AG1225" s="18"/>
      <c r="AH1225" s="18"/>
      <c r="AI1225" s="18" t="str">
        <f>"742.96"</f>
        <v>742.96</v>
      </c>
    </row>
    <row r="1226" spans="1:35">
      <c r="A1226" s="14">
        <v>1224</v>
      </c>
      <c r="B1226" s="14">
        <v>10476</v>
      </c>
      <c r="C1226" s="14" t="s">
        <v>1415</v>
      </c>
      <c r="D1226" s="14" t="s">
        <v>98</v>
      </c>
      <c r="E1226" s="15" t="str">
        <f>"790.44"</f>
        <v>790.44</v>
      </c>
      <c r="F1226" s="15"/>
      <c r="G1226" s="16" t="str">
        <f>"790.44"</f>
        <v>790.44</v>
      </c>
      <c r="H1226" s="17" t="s">
        <v>54</v>
      </c>
      <c r="I1226" s="18">
        <v>4</v>
      </c>
      <c r="J1226" s="18">
        <v>2016</v>
      </c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 t="str">
        <f>"750.44"</f>
        <v>750.44</v>
      </c>
      <c r="AA1226" s="18"/>
      <c r="AB1226" s="18"/>
      <c r="AC1226" s="18"/>
      <c r="AD1226" s="18"/>
      <c r="AE1226" s="18"/>
      <c r="AF1226" s="18"/>
      <c r="AG1226" s="18"/>
      <c r="AH1226" s="18"/>
      <c r="AI1226" s="18"/>
    </row>
    <row r="1227" spans="1:35">
      <c r="A1227" s="14">
        <v>1225</v>
      </c>
      <c r="B1227" s="14">
        <v>10628</v>
      </c>
      <c r="C1227" s="14" t="s">
        <v>1416</v>
      </c>
      <c r="D1227" s="14" t="s">
        <v>76</v>
      </c>
      <c r="E1227" s="15" t="str">
        <f>"766.01"</f>
        <v>766.01</v>
      </c>
      <c r="F1227" s="15"/>
      <c r="G1227" s="16" t="str">
        <f>"806.01"</f>
        <v>806.01</v>
      </c>
      <c r="H1227" s="17" t="s">
        <v>48</v>
      </c>
      <c r="I1227" s="18">
        <v>1</v>
      </c>
      <c r="J1227" s="18">
        <v>2016</v>
      </c>
      <c r="K1227" s="18" t="str">
        <f>"766.01"</f>
        <v>766.01</v>
      </c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  <c r="AF1227" s="18"/>
      <c r="AG1227" s="18"/>
      <c r="AH1227" s="18"/>
      <c r="AI1227" s="18"/>
    </row>
    <row r="1228" spans="1:35">
      <c r="A1228" s="14">
        <v>1226</v>
      </c>
      <c r="B1228" s="14">
        <v>10786</v>
      </c>
      <c r="C1228" s="14" t="s">
        <v>1417</v>
      </c>
      <c r="D1228" s="14" t="s">
        <v>98</v>
      </c>
      <c r="E1228" s="15" t="str">
        <f>"806.44"</f>
        <v>806.44</v>
      </c>
      <c r="F1228" s="15"/>
      <c r="G1228" s="16" t="str">
        <f>"806.44"</f>
        <v>806.44</v>
      </c>
      <c r="H1228" s="17" t="s">
        <v>54</v>
      </c>
      <c r="I1228" s="18">
        <v>4</v>
      </c>
      <c r="J1228" s="18">
        <v>2016</v>
      </c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 t="str">
        <f>"766.44"</f>
        <v>766.44</v>
      </c>
      <c r="AA1228" s="18"/>
      <c r="AB1228" s="18"/>
      <c r="AC1228" s="18"/>
      <c r="AD1228" s="18"/>
      <c r="AE1228" s="18"/>
      <c r="AF1228" s="18"/>
      <c r="AG1228" s="18"/>
      <c r="AH1228" s="18"/>
      <c r="AI1228" s="18"/>
    </row>
    <row r="1229" spans="1:35">
      <c r="A1229" s="14">
        <v>1227</v>
      </c>
      <c r="B1229" s="14">
        <v>10701</v>
      </c>
      <c r="C1229" s="14" t="s">
        <v>1418</v>
      </c>
      <c r="D1229" s="14" t="s">
        <v>148</v>
      </c>
      <c r="E1229" s="15" t="str">
        <f>"1263.15"</f>
        <v>1263.15</v>
      </c>
      <c r="F1229" s="15"/>
      <c r="G1229" s="16" t="str">
        <f>"819.26"</f>
        <v>819.26</v>
      </c>
      <c r="H1229" s="17" t="s">
        <v>54</v>
      </c>
      <c r="I1229" s="18">
        <v>2</v>
      </c>
      <c r="J1229" s="18">
        <v>2016</v>
      </c>
      <c r="K1229" s="18" t="str">
        <f>"1747.03"</f>
        <v>1747.03</v>
      </c>
      <c r="L1229" s="18"/>
      <c r="M1229" s="18"/>
      <c r="N1229" s="18"/>
      <c r="O1229" s="18"/>
      <c r="P1229" s="18" t="str">
        <f>"779.26"</f>
        <v>779.26</v>
      </c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  <c r="AF1229" s="18"/>
      <c r="AG1229" s="18"/>
      <c r="AH1229" s="18"/>
      <c r="AI1229" s="18"/>
    </row>
    <row r="1230" spans="1:35">
      <c r="A1230" s="14">
        <v>1228</v>
      </c>
      <c r="B1230" s="14">
        <v>10026</v>
      </c>
      <c r="C1230" s="14" t="s">
        <v>1419</v>
      </c>
      <c r="D1230" s="14" t="s">
        <v>76</v>
      </c>
      <c r="E1230" s="15" t="str">
        <f>"802.85"</f>
        <v>802.85</v>
      </c>
      <c r="F1230" s="15"/>
      <c r="G1230" s="16" t="str">
        <f>"842.85"</f>
        <v>842.85</v>
      </c>
      <c r="H1230" s="17" t="s">
        <v>48</v>
      </c>
      <c r="I1230" s="18">
        <v>1</v>
      </c>
      <c r="J1230" s="18">
        <v>2016</v>
      </c>
      <c r="K1230" s="18" t="str">
        <f>"802.85"</f>
        <v>802.85</v>
      </c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  <c r="AF1230" s="18"/>
      <c r="AG1230" s="18"/>
      <c r="AH1230" s="18"/>
      <c r="AI1230" s="18"/>
    </row>
    <row r="1231" spans="1:35">
      <c r="A1231" s="14">
        <v>1229</v>
      </c>
      <c r="B1231" s="14">
        <v>10887</v>
      </c>
      <c r="C1231" s="14" t="s">
        <v>1420</v>
      </c>
      <c r="D1231" s="14" t="s">
        <v>76</v>
      </c>
      <c r="E1231" s="15" t="str">
        <f>"842.97"</f>
        <v>842.97</v>
      </c>
      <c r="F1231" s="15"/>
      <c r="G1231" s="16" t="str">
        <f>"842.97"</f>
        <v>842.97</v>
      </c>
      <c r="H1231" s="17" t="s">
        <v>54</v>
      </c>
      <c r="I1231" s="18">
        <v>4</v>
      </c>
      <c r="J1231" s="18">
        <v>2016</v>
      </c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 t="str">
        <f>"802.97"</f>
        <v>802.97</v>
      </c>
      <c r="Y1231" s="18"/>
      <c r="Z1231" s="18"/>
      <c r="AA1231" s="18"/>
      <c r="AB1231" s="18"/>
      <c r="AC1231" s="18"/>
      <c r="AD1231" s="18"/>
      <c r="AE1231" s="18"/>
      <c r="AF1231" s="18"/>
      <c r="AG1231" s="18"/>
      <c r="AH1231" s="18"/>
      <c r="AI1231" s="18"/>
    </row>
    <row r="1232" spans="1:35">
      <c r="A1232" s="14">
        <v>1230</v>
      </c>
      <c r="B1232" s="14">
        <v>10393</v>
      </c>
      <c r="C1232" s="14" t="s">
        <v>1421</v>
      </c>
      <c r="D1232" s="14" t="s">
        <v>98</v>
      </c>
      <c r="E1232" s="15" t="str">
        <f>"881.88"</f>
        <v>881.88</v>
      </c>
      <c r="F1232" s="15"/>
      <c r="G1232" s="16" t="str">
        <f>"848.49"</f>
        <v>848.49</v>
      </c>
      <c r="H1232" s="17" t="s">
        <v>54</v>
      </c>
      <c r="I1232" s="18">
        <v>2</v>
      </c>
      <c r="J1232" s="18">
        <v>2016</v>
      </c>
      <c r="K1232" s="18" t="str">
        <f>"955.27"</f>
        <v>955.27</v>
      </c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 t="str">
        <f>"808.49"</f>
        <v>808.49</v>
      </c>
      <c r="AA1232" s="18"/>
      <c r="AB1232" s="18"/>
      <c r="AC1232" s="18"/>
      <c r="AD1232" s="18"/>
      <c r="AE1232" s="18"/>
      <c r="AF1232" s="18"/>
      <c r="AG1232" s="18"/>
      <c r="AH1232" s="18"/>
      <c r="AI1232" s="18"/>
    </row>
    <row r="1233" spans="1:35">
      <c r="A1233" s="14">
        <v>1231</v>
      </c>
      <c r="B1233" s="14">
        <v>10780</v>
      </c>
      <c r="C1233" s="14" t="s">
        <v>1422</v>
      </c>
      <c r="D1233" s="14" t="s">
        <v>98</v>
      </c>
      <c r="E1233" s="15" t="str">
        <f>"852.11"</f>
        <v>852.11</v>
      </c>
      <c r="F1233" s="15"/>
      <c r="G1233" s="16" t="str">
        <f>"852.11"</f>
        <v>852.11</v>
      </c>
      <c r="H1233" s="17"/>
      <c r="I1233" s="18">
        <v>5</v>
      </c>
      <c r="J1233" s="18">
        <v>2016</v>
      </c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 t="str">
        <f>"844.14"</f>
        <v>844.14</v>
      </c>
      <c r="AA1233" s="18"/>
      <c r="AB1233" s="18"/>
      <c r="AC1233" s="18"/>
      <c r="AD1233" s="18"/>
      <c r="AE1233" s="18"/>
      <c r="AF1233" s="18"/>
      <c r="AG1233" s="18"/>
      <c r="AH1233" s="18"/>
      <c r="AI1233" s="18" t="str">
        <f>"860.07"</f>
        <v>860.07</v>
      </c>
    </row>
    <row r="1234" spans="1:35">
      <c r="A1234" s="14">
        <v>1232</v>
      </c>
      <c r="B1234" s="14">
        <v>10471</v>
      </c>
      <c r="C1234" s="14" t="s">
        <v>1423</v>
      </c>
      <c r="D1234" s="14" t="s">
        <v>98</v>
      </c>
      <c r="E1234" s="15" t="str">
        <f>"1174.46"</f>
        <v>1174.46</v>
      </c>
      <c r="F1234" s="15"/>
      <c r="G1234" s="16" t="str">
        <f>"853.06"</f>
        <v>853.06</v>
      </c>
      <c r="H1234" s="17" t="s">
        <v>54</v>
      </c>
      <c r="I1234" s="18">
        <v>2</v>
      </c>
      <c r="J1234" s="18">
        <v>2016</v>
      </c>
      <c r="K1234" s="18" t="str">
        <f>"1535.85"</f>
        <v>1535.85</v>
      </c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 t="str">
        <f>"813.06"</f>
        <v>813.06</v>
      </c>
      <c r="AA1234" s="18"/>
      <c r="AB1234" s="18"/>
      <c r="AC1234" s="18"/>
      <c r="AD1234" s="18"/>
      <c r="AE1234" s="18"/>
      <c r="AF1234" s="18"/>
      <c r="AG1234" s="18"/>
      <c r="AH1234" s="18"/>
      <c r="AI1234" s="18"/>
    </row>
    <row r="1235" spans="1:35">
      <c r="A1235" s="14">
        <v>1233</v>
      </c>
      <c r="B1235" s="14">
        <v>10468</v>
      </c>
      <c r="C1235" s="14" t="s">
        <v>1424</v>
      </c>
      <c r="D1235" s="14" t="s">
        <v>98</v>
      </c>
      <c r="E1235" s="15" t="str">
        <f>"1379.91"</f>
        <v>1379.91</v>
      </c>
      <c r="F1235" s="15"/>
      <c r="G1235" s="16" t="str">
        <f>"854.89"</f>
        <v>854.89</v>
      </c>
      <c r="H1235" s="17" t="s">
        <v>54</v>
      </c>
      <c r="I1235" s="18">
        <v>2</v>
      </c>
      <c r="J1235" s="18">
        <v>2016</v>
      </c>
      <c r="K1235" s="18" t="str">
        <f>"1944.92"</f>
        <v>1944.92</v>
      </c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 t="str">
        <f>"814.89"</f>
        <v>814.89</v>
      </c>
      <c r="AA1235" s="18"/>
      <c r="AB1235" s="18"/>
      <c r="AC1235" s="18"/>
      <c r="AD1235" s="18"/>
      <c r="AE1235" s="18"/>
      <c r="AF1235" s="18"/>
      <c r="AG1235" s="18"/>
      <c r="AH1235" s="18"/>
      <c r="AI1235" s="18"/>
    </row>
    <row r="1236" spans="1:35">
      <c r="A1236" s="14">
        <v>1234</v>
      </c>
      <c r="B1236" s="14">
        <v>10763</v>
      </c>
      <c r="C1236" s="14" t="s">
        <v>1425</v>
      </c>
      <c r="D1236" s="14" t="s">
        <v>98</v>
      </c>
      <c r="E1236" s="15" t="str">
        <f>"864.49"</f>
        <v>864.49</v>
      </c>
      <c r="F1236" s="15"/>
      <c r="G1236" s="16" t="str">
        <f>"864.49"</f>
        <v>864.49</v>
      </c>
      <c r="H1236" s="17" t="s">
        <v>54</v>
      </c>
      <c r="I1236" s="18">
        <v>4</v>
      </c>
      <c r="J1236" s="18">
        <v>2016</v>
      </c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 t="str">
        <f>"824.49"</f>
        <v>824.49</v>
      </c>
      <c r="AA1236" s="18"/>
      <c r="AB1236" s="18"/>
      <c r="AC1236" s="18"/>
      <c r="AD1236" s="18"/>
      <c r="AE1236" s="18"/>
      <c r="AF1236" s="18"/>
      <c r="AG1236" s="18"/>
      <c r="AH1236" s="18"/>
      <c r="AI1236" s="18"/>
    </row>
    <row r="1237" spans="1:35">
      <c r="A1237" s="14">
        <v>1235</v>
      </c>
      <c r="B1237" s="14">
        <v>10859</v>
      </c>
      <c r="C1237" s="14" t="s">
        <v>1426</v>
      </c>
      <c r="D1237" s="14" t="s">
        <v>76</v>
      </c>
      <c r="E1237" s="15" t="str">
        <f>"870.67"</f>
        <v>870.67</v>
      </c>
      <c r="F1237" s="15"/>
      <c r="G1237" s="16" t="str">
        <f>"870.67"</f>
        <v>870.67</v>
      </c>
      <c r="H1237" s="17" t="s">
        <v>54</v>
      </c>
      <c r="I1237" s="18">
        <v>4</v>
      </c>
      <c r="J1237" s="18">
        <v>2016</v>
      </c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 t="str">
        <f>"830.67"</f>
        <v>830.67</v>
      </c>
      <c r="AD1237" s="18"/>
      <c r="AE1237" s="18"/>
      <c r="AF1237" s="18"/>
      <c r="AG1237" s="18"/>
      <c r="AH1237" s="18"/>
      <c r="AI1237" s="18"/>
    </row>
    <row r="1238" spans="1:35">
      <c r="A1238" s="14">
        <v>1236</v>
      </c>
      <c r="B1238" s="14">
        <v>10192</v>
      </c>
      <c r="C1238" s="14" t="s">
        <v>1427</v>
      </c>
      <c r="D1238" s="14" t="s">
        <v>76</v>
      </c>
      <c r="E1238" s="15" t="str">
        <f>"838.46"</f>
        <v>838.46</v>
      </c>
      <c r="F1238" s="15"/>
      <c r="G1238" s="16" t="str">
        <f>"878.46"</f>
        <v>878.46</v>
      </c>
      <c r="H1238" s="17" t="s">
        <v>48</v>
      </c>
      <c r="I1238" s="18">
        <v>1</v>
      </c>
      <c r="J1238" s="18">
        <v>2016</v>
      </c>
      <c r="K1238" s="18" t="str">
        <f>"838.46"</f>
        <v>838.46</v>
      </c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  <c r="AF1238" s="18"/>
      <c r="AG1238" s="18"/>
      <c r="AH1238" s="18"/>
      <c r="AI1238" s="18"/>
    </row>
    <row r="1239" spans="1:35">
      <c r="A1239" s="14">
        <v>1237</v>
      </c>
      <c r="B1239" s="14">
        <v>11059</v>
      </c>
      <c r="C1239" s="14" t="s">
        <v>1428</v>
      </c>
      <c r="D1239" s="14" t="s">
        <v>330</v>
      </c>
      <c r="E1239" s="15" t="str">
        <f>"890.62"</f>
        <v>890.62</v>
      </c>
      <c r="F1239" s="15"/>
      <c r="G1239" s="16" t="str">
        <f>"890.62"</f>
        <v>890.62</v>
      </c>
      <c r="H1239" s="17" t="s">
        <v>54</v>
      </c>
      <c r="I1239" s="18">
        <v>4</v>
      </c>
      <c r="J1239" s="18">
        <v>2016</v>
      </c>
      <c r="K1239" s="18"/>
      <c r="L1239" s="18"/>
      <c r="M1239" s="18"/>
      <c r="N1239" s="18"/>
      <c r="O1239" s="18"/>
      <c r="P1239" s="18"/>
      <c r="Q1239" s="18"/>
      <c r="R1239" s="18" t="str">
        <f>"850.62"</f>
        <v>850.62</v>
      </c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  <c r="AF1239" s="18"/>
      <c r="AG1239" s="18"/>
      <c r="AH1239" s="18"/>
      <c r="AI1239" s="18"/>
    </row>
    <row r="1240" spans="1:35">
      <c r="A1240" s="14">
        <v>1238</v>
      </c>
      <c r="B1240" s="14">
        <v>9981</v>
      </c>
      <c r="C1240" s="14" t="s">
        <v>1429</v>
      </c>
      <c r="D1240" s="14" t="s">
        <v>148</v>
      </c>
      <c r="E1240" s="15" t="str">
        <f>"863.26"</f>
        <v>863.26</v>
      </c>
      <c r="F1240" s="15"/>
      <c r="G1240" s="16" t="str">
        <f>"903.26"</f>
        <v>903.26</v>
      </c>
      <c r="H1240" s="17" t="s">
        <v>48</v>
      </c>
      <c r="I1240" s="18">
        <v>1</v>
      </c>
      <c r="J1240" s="18">
        <v>2016</v>
      </c>
      <c r="K1240" s="18" t="str">
        <f>"863.26"</f>
        <v>863.26</v>
      </c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  <c r="AF1240" s="18"/>
      <c r="AG1240" s="18"/>
      <c r="AH1240" s="18"/>
      <c r="AI1240" s="18"/>
    </row>
    <row r="1241" spans="1:35">
      <c r="A1241" s="14">
        <v>1239</v>
      </c>
      <c r="B1241" s="14">
        <v>10788</v>
      </c>
      <c r="C1241" s="14" t="s">
        <v>1430</v>
      </c>
      <c r="D1241" s="14" t="s">
        <v>98</v>
      </c>
      <c r="E1241" s="15" t="str">
        <f>"928.88"</f>
        <v>928.88</v>
      </c>
      <c r="F1241" s="15"/>
      <c r="G1241" s="16" t="str">
        <f>"928.88"</f>
        <v>928.88</v>
      </c>
      <c r="H1241" s="17"/>
      <c r="I1241" s="18">
        <v>5</v>
      </c>
      <c r="J1241" s="18">
        <v>2016</v>
      </c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 t="str">
        <f>"1188.67"</f>
        <v>1188.67</v>
      </c>
      <c r="V1241" s="18"/>
      <c r="W1241" s="18"/>
      <c r="X1241" s="18"/>
      <c r="Y1241" s="18"/>
      <c r="Z1241" s="18" t="str">
        <f>"669.08"</f>
        <v>669.08</v>
      </c>
      <c r="AA1241" s="18"/>
      <c r="AB1241" s="18"/>
      <c r="AC1241" s="18"/>
      <c r="AD1241" s="18"/>
      <c r="AE1241" s="18"/>
      <c r="AF1241" s="18"/>
      <c r="AG1241" s="18"/>
      <c r="AH1241" s="18"/>
      <c r="AI1241" s="18"/>
    </row>
    <row r="1242" spans="1:35">
      <c r="A1242" s="14">
        <v>1240</v>
      </c>
      <c r="B1242" s="14">
        <v>10735</v>
      </c>
      <c r="C1242" s="14" t="s">
        <v>1431</v>
      </c>
      <c r="D1242" s="14" t="s">
        <v>98</v>
      </c>
      <c r="E1242" s="15" t="str">
        <f>"978.95"</f>
        <v>978.95</v>
      </c>
      <c r="F1242" s="15"/>
      <c r="G1242" s="16" t="str">
        <f>"978.95"</f>
        <v>978.95</v>
      </c>
      <c r="H1242" s="17"/>
      <c r="I1242" s="18">
        <v>5</v>
      </c>
      <c r="J1242" s="18">
        <v>2016</v>
      </c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 t="str">
        <f>"1270.99"</f>
        <v>1270.99</v>
      </c>
      <c r="V1242" s="18"/>
      <c r="W1242" s="18"/>
      <c r="X1242" s="18"/>
      <c r="Y1242" s="18"/>
      <c r="Z1242" s="18" t="str">
        <f>"686.90"</f>
        <v>686.90</v>
      </c>
      <c r="AA1242" s="18"/>
      <c r="AB1242" s="18"/>
      <c r="AC1242" s="18"/>
      <c r="AD1242" s="18"/>
      <c r="AE1242" s="18"/>
      <c r="AF1242" s="18"/>
      <c r="AG1242" s="18"/>
      <c r="AH1242" s="18"/>
      <c r="AI1242" s="18"/>
    </row>
    <row r="1243" spans="1:35">
      <c r="A1243" s="14">
        <v>1241</v>
      </c>
      <c r="B1243" s="14">
        <v>10908</v>
      </c>
      <c r="C1243" s="14" t="s">
        <v>1432</v>
      </c>
      <c r="D1243" s="14" t="s">
        <v>76</v>
      </c>
      <c r="E1243" s="15" t="str">
        <f>"981.87"</f>
        <v>981.87</v>
      </c>
      <c r="F1243" s="15"/>
      <c r="G1243" s="16" t="str">
        <f>"981.87"</f>
        <v>981.87</v>
      </c>
      <c r="H1243" s="17" t="s">
        <v>54</v>
      </c>
      <c r="I1243" s="18">
        <v>4</v>
      </c>
      <c r="J1243" s="18">
        <v>2016</v>
      </c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 t="str">
        <f>"941.87"</f>
        <v>941.87</v>
      </c>
      <c r="Y1243" s="18"/>
      <c r="Z1243" s="18"/>
      <c r="AA1243" s="18"/>
      <c r="AB1243" s="18"/>
      <c r="AC1243" s="18"/>
      <c r="AD1243" s="18"/>
      <c r="AE1243" s="18"/>
      <c r="AF1243" s="18"/>
      <c r="AG1243" s="18"/>
      <c r="AH1243" s="18"/>
      <c r="AI1243" s="18"/>
    </row>
    <row r="1244" spans="1:35">
      <c r="A1244" s="14">
        <v>1242</v>
      </c>
      <c r="B1244" s="14">
        <v>10721</v>
      </c>
      <c r="C1244" s="14" t="s">
        <v>1433</v>
      </c>
      <c r="D1244" s="14" t="s">
        <v>98</v>
      </c>
      <c r="E1244" s="15" t="str">
        <f>"1067.44"</f>
        <v>1067.44</v>
      </c>
      <c r="F1244" s="15"/>
      <c r="G1244" s="16" t="str">
        <f>"1067.44"</f>
        <v>1067.44</v>
      </c>
      <c r="H1244" s="17" t="s">
        <v>54</v>
      </c>
      <c r="I1244" s="18">
        <v>4</v>
      </c>
      <c r="J1244" s="18">
        <v>2016</v>
      </c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 t="str">
        <f>"1027.44"</f>
        <v>1027.44</v>
      </c>
      <c r="AA1244" s="18"/>
      <c r="AB1244" s="18"/>
      <c r="AC1244" s="18"/>
      <c r="AD1244" s="18"/>
      <c r="AE1244" s="18"/>
      <c r="AF1244" s="18"/>
      <c r="AG1244" s="18"/>
      <c r="AH1244" s="18"/>
      <c r="AI1244" s="18"/>
    </row>
    <row r="1245" spans="1:35">
      <c r="A1245" s="14">
        <v>1243</v>
      </c>
      <c r="B1245" s="14">
        <v>10732</v>
      </c>
      <c r="C1245" s="14" t="s">
        <v>1434</v>
      </c>
      <c r="D1245" s="14" t="s">
        <v>98</v>
      </c>
      <c r="E1245" s="15" t="str">
        <f>"1077.49"</f>
        <v>1077.49</v>
      </c>
      <c r="F1245" s="15"/>
      <c r="G1245" s="16" t="str">
        <f>"1077.49"</f>
        <v>1077.49</v>
      </c>
      <c r="H1245" s="17" t="s">
        <v>54</v>
      </c>
      <c r="I1245" s="18">
        <v>4</v>
      </c>
      <c r="J1245" s="18">
        <v>2016</v>
      </c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 t="str">
        <f>"1037.49"</f>
        <v>1037.49</v>
      </c>
      <c r="AA1245" s="18"/>
      <c r="AB1245" s="18"/>
      <c r="AC1245" s="18"/>
      <c r="AD1245" s="18"/>
      <c r="AE1245" s="18"/>
      <c r="AF1245" s="18"/>
      <c r="AG1245" s="18"/>
      <c r="AH1245" s="18"/>
      <c r="AI1245" s="18"/>
    </row>
    <row r="1246" spans="1:35">
      <c r="A1246" s="14">
        <v>1244</v>
      </c>
      <c r="B1246" s="14">
        <v>10851</v>
      </c>
      <c r="C1246" s="14" t="s">
        <v>1435</v>
      </c>
      <c r="D1246" s="14" t="s">
        <v>76</v>
      </c>
      <c r="E1246" s="15" t="str">
        <f>"1079.01"</f>
        <v>1079.01</v>
      </c>
      <c r="F1246" s="15"/>
      <c r="G1246" s="16" t="str">
        <f>"1079.01"</f>
        <v>1079.01</v>
      </c>
      <c r="H1246" s="17" t="s">
        <v>54</v>
      </c>
      <c r="I1246" s="18">
        <v>4</v>
      </c>
      <c r="J1246" s="18">
        <v>2016</v>
      </c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 t="str">
        <f>"1039.01"</f>
        <v>1039.01</v>
      </c>
      <c r="Y1246" s="18"/>
      <c r="Z1246" s="18"/>
      <c r="AA1246" s="18"/>
      <c r="AB1246" s="18"/>
      <c r="AC1246" s="18"/>
      <c r="AD1246" s="18"/>
      <c r="AE1246" s="18"/>
      <c r="AF1246" s="18"/>
      <c r="AG1246" s="18"/>
      <c r="AH1246" s="18"/>
      <c r="AI1246" s="18"/>
    </row>
    <row r="1247" spans="1:35">
      <c r="A1247" s="14">
        <v>1245</v>
      </c>
      <c r="B1247" s="14">
        <v>10164</v>
      </c>
      <c r="C1247" s="14" t="s">
        <v>1436</v>
      </c>
      <c r="D1247" s="14" t="s">
        <v>98</v>
      </c>
      <c r="E1247" s="15" t="str">
        <f>"1086.46"</f>
        <v>1086.46</v>
      </c>
      <c r="F1247" s="15"/>
      <c r="G1247" s="16" t="str">
        <f>"1126.46"</f>
        <v>1126.46</v>
      </c>
      <c r="H1247" s="17" t="s">
        <v>48</v>
      </c>
      <c r="I1247" s="18">
        <v>1</v>
      </c>
      <c r="J1247" s="18">
        <v>2016</v>
      </c>
      <c r="K1247" s="18" t="str">
        <f>"1086.46"</f>
        <v>1086.46</v>
      </c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  <c r="AF1247" s="18"/>
      <c r="AG1247" s="18"/>
      <c r="AH1247" s="18"/>
      <c r="AI1247" s="18"/>
    </row>
    <row r="1248" spans="1:35">
      <c r="A1248" s="14">
        <v>1246</v>
      </c>
      <c r="B1248" s="14">
        <v>10798</v>
      </c>
      <c r="C1248" s="14" t="s">
        <v>1437</v>
      </c>
      <c r="D1248" s="14" t="s">
        <v>98</v>
      </c>
      <c r="E1248" s="15" t="str">
        <f>"1210.05"</f>
        <v>1210.05</v>
      </c>
      <c r="F1248" s="15"/>
      <c r="G1248" s="16" t="str">
        <f>"1210.05"</f>
        <v>1210.05</v>
      </c>
      <c r="H1248" s="17" t="s">
        <v>54</v>
      </c>
      <c r="I1248" s="18">
        <v>4</v>
      </c>
      <c r="J1248" s="18">
        <v>2016</v>
      </c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 t="str">
        <f>"1170.05"</f>
        <v>1170.05</v>
      </c>
      <c r="AA1248" s="18"/>
      <c r="AB1248" s="18"/>
      <c r="AC1248" s="18"/>
      <c r="AD1248" s="18"/>
      <c r="AE1248" s="18"/>
      <c r="AF1248" s="18"/>
      <c r="AG1248" s="18"/>
      <c r="AH1248" s="18"/>
      <c r="AI1248" s="18"/>
    </row>
    <row r="1249" spans="1:35">
      <c r="A1249" s="14">
        <v>1247</v>
      </c>
      <c r="B1249" s="14">
        <v>10762</v>
      </c>
      <c r="C1249" s="14" t="s">
        <v>1438</v>
      </c>
      <c r="D1249" s="14" t="s">
        <v>98</v>
      </c>
      <c r="E1249" s="15" t="str">
        <f>"1222.39"</f>
        <v>1222.39</v>
      </c>
      <c r="F1249" s="15"/>
      <c r="G1249" s="16" t="str">
        <f>"1222.39"</f>
        <v>1222.39</v>
      </c>
      <c r="H1249" s="17" t="s">
        <v>54</v>
      </c>
      <c r="I1249" s="18">
        <v>4</v>
      </c>
      <c r="J1249" s="18">
        <v>2016</v>
      </c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 t="str">
        <f>"1182.39"</f>
        <v>1182.39</v>
      </c>
      <c r="AA1249" s="18"/>
      <c r="AB1249" s="18"/>
      <c r="AC1249" s="18"/>
      <c r="AD1249" s="18"/>
      <c r="AE1249" s="18"/>
      <c r="AF1249" s="18"/>
      <c r="AG1249" s="18"/>
      <c r="AH1249" s="18"/>
      <c r="AI1249" s="18"/>
    </row>
    <row r="1250" spans="1:35">
      <c r="A1250" s="14">
        <v>1248</v>
      </c>
      <c r="B1250" s="14">
        <v>10779</v>
      </c>
      <c r="C1250" s="14" t="s">
        <v>1439</v>
      </c>
      <c r="D1250" s="14" t="s">
        <v>98</v>
      </c>
      <c r="E1250" s="15" t="str">
        <f>"1266.27"</f>
        <v>1266.27</v>
      </c>
      <c r="F1250" s="15"/>
      <c r="G1250" s="16" t="str">
        <f>"1266.27"</f>
        <v>1266.27</v>
      </c>
      <c r="H1250" s="17" t="s">
        <v>54</v>
      </c>
      <c r="I1250" s="18">
        <v>4</v>
      </c>
      <c r="J1250" s="18">
        <v>2016</v>
      </c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 t="str">
        <f>"1226.27"</f>
        <v>1226.27</v>
      </c>
      <c r="AA1250" s="18"/>
      <c r="AB1250" s="18"/>
      <c r="AC1250" s="18"/>
      <c r="AD1250" s="18"/>
      <c r="AE1250" s="18"/>
      <c r="AF1250" s="18"/>
      <c r="AG1250" s="18"/>
      <c r="AH1250" s="18"/>
      <c r="AI1250" s="18"/>
    </row>
    <row r="1251" spans="1:35">
      <c r="A1251" s="14">
        <v>1249</v>
      </c>
      <c r="B1251" s="14">
        <v>10797</v>
      </c>
      <c r="C1251" s="14" t="s">
        <v>1440</v>
      </c>
      <c r="D1251" s="14" t="s">
        <v>98</v>
      </c>
      <c r="E1251" s="15" t="str">
        <f>"1307.41"</f>
        <v>1307.41</v>
      </c>
      <c r="F1251" s="15"/>
      <c r="G1251" s="16" t="str">
        <f>"1307.41"</f>
        <v>1307.41</v>
      </c>
      <c r="H1251" s="17" t="s">
        <v>54</v>
      </c>
      <c r="I1251" s="18">
        <v>4</v>
      </c>
      <c r="J1251" s="18">
        <v>2016</v>
      </c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 t="str">
        <f>"1267.41"</f>
        <v>1267.41</v>
      </c>
      <c r="AA1251" s="18"/>
      <c r="AB1251" s="18"/>
      <c r="AC1251" s="18"/>
      <c r="AD1251" s="18"/>
      <c r="AE1251" s="18"/>
      <c r="AF1251" s="18"/>
      <c r="AG1251" s="18"/>
      <c r="AH1251" s="18"/>
      <c r="AI1251" s="18"/>
    </row>
    <row r="1252" spans="1:35">
      <c r="A1252" s="14">
        <v>1250</v>
      </c>
      <c r="B1252" s="14">
        <v>3991</v>
      </c>
      <c r="C1252" s="14" t="s">
        <v>1441</v>
      </c>
      <c r="D1252" s="14" t="s">
        <v>240</v>
      </c>
      <c r="E1252" s="15" t="str">
        <f>"1322.48"</f>
        <v>1322.48</v>
      </c>
      <c r="F1252" s="15"/>
      <c r="G1252" s="16" t="str">
        <f>"1362.48"</f>
        <v>1362.48</v>
      </c>
      <c r="H1252" s="17" t="s">
        <v>48</v>
      </c>
      <c r="I1252" s="18">
        <v>1</v>
      </c>
      <c r="J1252" s="18">
        <v>2016</v>
      </c>
      <c r="K1252" s="18" t="str">
        <f>"1322.48"</f>
        <v>1322.48</v>
      </c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  <c r="AF1252" s="18"/>
      <c r="AG1252" s="18"/>
      <c r="AH1252" s="18"/>
      <c r="AI1252" s="18"/>
    </row>
    <row r="1253" spans="1:35">
      <c r="A1253" s="14">
        <v>1251</v>
      </c>
      <c r="B1253" s="14">
        <v>10789</v>
      </c>
      <c r="C1253" s="14" t="s">
        <v>1442</v>
      </c>
      <c r="D1253" s="14" t="s">
        <v>98</v>
      </c>
      <c r="E1253" s="15" t="str">
        <f>"1392.64"</f>
        <v>1392.64</v>
      </c>
      <c r="F1253" s="15"/>
      <c r="G1253" s="16" t="str">
        <f>"1392.64"</f>
        <v>1392.64</v>
      </c>
      <c r="H1253" s="17"/>
      <c r="I1253" s="18">
        <v>5</v>
      </c>
      <c r="J1253" s="18">
        <v>2016</v>
      </c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 t="str">
        <f>"1910.51"</f>
        <v>1910.51</v>
      </c>
      <c r="V1253" s="18"/>
      <c r="W1253" s="18"/>
      <c r="X1253" s="18"/>
      <c r="Y1253" s="18"/>
      <c r="Z1253" s="18" t="str">
        <f>"874.77"</f>
        <v>874.77</v>
      </c>
      <c r="AA1253" s="18"/>
      <c r="AB1253" s="18"/>
      <c r="AC1253" s="18"/>
      <c r="AD1253" s="18"/>
      <c r="AE1253" s="18"/>
      <c r="AF1253" s="18"/>
      <c r="AG1253" s="18"/>
      <c r="AH1253" s="18"/>
      <c r="AI1253" s="18"/>
    </row>
  </sheetData>
  <sheetProtection algorithmName="SHA-512" hashValue="IYnkKq5gJg2UXNnNcPo85o4P/IU/3Oq35GraQ85GmmpjevmgVlTi0jfdjI157PAfXXe+t8OssJnlFKCqjFqdnA==" saltValue="1fmv8OAV5cZ/3Qo32cz4iQ==" spinCount="100000" sheet="1" objects="1" scenarios="1" selectLockedCells="1" sort="0" autoFilter="0" selectUnlockedCells="1"/>
  <autoFilter ref="A2:AI1253"/>
  <phoneticPr fontId="2"/>
  <pageMargins left="0.23622047244094491" right="0.23622047244094491" top="0.15748031496062992" bottom="0.15748031496062992" header="0.31496062992125984" footer="0.31496062992125984"/>
  <pageSetup paperSize="9" scale="29" fitToHeight="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</dc:creator>
  <cp:lastModifiedBy>OST</cp:lastModifiedBy>
  <dcterms:created xsi:type="dcterms:W3CDTF">2016-08-31T07:12:31Z</dcterms:created>
  <dcterms:modified xsi:type="dcterms:W3CDTF">2016-08-31T07:13:26Z</dcterms:modified>
</cp:coreProperties>
</file>